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VITERBO FOODS OPC\"/>
    </mc:Choice>
  </mc:AlternateContent>
  <xr:revisionPtr revIDLastSave="0" documentId="8_{04F0D692-C9FC-4286-988D-AA4A17B73644}" xr6:coauthVersionLast="47" xr6:coauthVersionMax="47" xr10:uidLastSave="{00000000-0000-0000-0000-000000000000}"/>
  <bookViews>
    <workbookView xWindow="-110" yWindow="-110" windowWidth="21820" windowHeight="13900" activeTab="5" xr2:uid="{00000000-000D-0000-FFFF-FFFF00000000}"/>
  </bookViews>
  <sheets>
    <sheet name="Sheet4" sheetId="1" r:id="rId1"/>
    <sheet name="JAN" sheetId="2" state="hidden" r:id="rId2"/>
    <sheet name="FEB" sheetId="3" state="hidden" r:id="rId3"/>
    <sheet name="mar" sheetId="4" state="hidden" r:id="rId4"/>
    <sheet name="april" sheetId="5" state="hidden" r:id="rId5"/>
    <sheet name="JULY " sheetId="6" r:id="rId6"/>
    <sheet name="BABY ANN" sheetId="7" r:id="rId7"/>
    <sheet name="CHRISTIAN" sheetId="8" r:id="rId8"/>
    <sheet name="RENOR" sheetId="9" r:id="rId9"/>
    <sheet name="JUMAR" sheetId="10" r:id="rId10"/>
    <sheet name="Sheet10" sheetId="11" r:id="rId11"/>
    <sheet name="ANUAL CONSO" sheetId="12" r:id="rId12"/>
    <sheet name="COMPARISON" sheetId="13" r:id="rId13"/>
    <sheet name="OCT. 2025 - CONSO" sheetId="14" state="hidden" r:id="rId14"/>
    <sheet name="NOV. 2025 - CONSO" sheetId="15" state="hidden" r:id="rId15"/>
    <sheet name="JAN 2026-CONSO" sheetId="16" state="hidden" r:id="rId16"/>
    <sheet name="DEC. 2026-CONSO" sheetId="17" state="hidden" r:id="rId17"/>
    <sheet name="FEB 2026-CONSO" sheetId="18" state="hidden" r:id="rId18"/>
    <sheet name="MAR 2026-CONSO" sheetId="19" state="hidden" r:id="rId19"/>
    <sheet name="APRIL 2026-CONSO" sheetId="20" state="hidden" r:id="rId20"/>
    <sheet name="Sheet6" sheetId="21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5" roundtripDataChecksum="bV00/CeUcwy3i7jnY65fnnAYUAkQjuWrtUUJr6TcXSU="/>
    </ext>
  </extLst>
</workbook>
</file>

<file path=xl/calcChain.xml><?xml version="1.0" encoding="utf-8"?>
<calcChain xmlns="http://schemas.openxmlformats.org/spreadsheetml/2006/main">
  <c r="BU48" i="6" l="1"/>
  <c r="BU47" i="6"/>
  <c r="BV47" i="6"/>
  <c r="BS47" i="6"/>
  <c r="BE48" i="6"/>
  <c r="BE47" i="6"/>
  <c r="BT46" i="6"/>
  <c r="BG46" i="6"/>
  <c r="BI46" i="6"/>
  <c r="BM46" i="6"/>
  <c r="BN46" i="6"/>
  <c r="BO46" i="6"/>
  <c r="BP46" i="6"/>
  <c r="BQ46" i="6"/>
  <c r="BR46" i="6"/>
  <c r="BV46" i="6"/>
  <c r="AH44" i="20"/>
  <c r="AA44" i="20"/>
  <c r="Y44" i="20"/>
  <c r="W44" i="20"/>
  <c r="T44" i="20"/>
  <c r="S44" i="20"/>
  <c r="Q44" i="20"/>
  <c r="J44" i="20"/>
  <c r="H44" i="20"/>
  <c r="C44" i="20"/>
  <c r="AH43" i="20"/>
  <c r="AG43" i="20"/>
  <c r="AF43" i="20"/>
  <c r="AA43" i="20"/>
  <c r="Y43" i="20"/>
  <c r="V43" i="20"/>
  <c r="U43" i="20"/>
  <c r="J43" i="20"/>
  <c r="I43" i="20"/>
  <c r="H43" i="20"/>
  <c r="E43" i="20"/>
  <c r="C43" i="20"/>
  <c r="AK42" i="20"/>
  <c r="AK44" i="20" s="1"/>
  <c r="AJ42" i="20"/>
  <c r="AI42" i="20"/>
  <c r="AG42" i="20"/>
  <c r="AG44" i="20" s="1"/>
  <c r="AF42" i="20"/>
  <c r="AF44" i="20" s="1"/>
  <c r="AE42" i="20"/>
  <c r="AD42" i="20"/>
  <c r="AB42" i="20"/>
  <c r="AA42" i="20"/>
  <c r="Y42" i="20"/>
  <c r="T42" i="20"/>
  <c r="T43" i="20" s="1"/>
  <c r="R42" i="20"/>
  <c r="O42" i="20"/>
  <c r="M42" i="20"/>
  <c r="M44" i="20" s="1"/>
  <c r="F42" i="20"/>
  <c r="C42" i="20"/>
  <c r="AM41" i="20"/>
  <c r="AM42" i="20" s="1"/>
  <c r="AL41" i="20"/>
  <c r="AL42" i="20" s="1"/>
  <c r="AK41" i="20"/>
  <c r="AJ41" i="20"/>
  <c r="AI41" i="20"/>
  <c r="AH41" i="20"/>
  <c r="AH42" i="20" s="1"/>
  <c r="AG41" i="20"/>
  <c r="AF41" i="20"/>
  <c r="AE41" i="20"/>
  <c r="AD41" i="20"/>
  <c r="AC41" i="20"/>
  <c r="AC42" i="20" s="1"/>
  <c r="AB41" i="20"/>
  <c r="AA41" i="20"/>
  <c r="Z41" i="20"/>
  <c r="Z42" i="20" s="1"/>
  <c r="Y41" i="20"/>
  <c r="X41" i="20"/>
  <c r="X42" i="20" s="1"/>
  <c r="W41" i="20"/>
  <c r="W42" i="20" s="1"/>
  <c r="W43" i="20" s="1"/>
  <c r="V41" i="20"/>
  <c r="V42" i="20" s="1"/>
  <c r="V44" i="20" s="1"/>
  <c r="U41" i="20"/>
  <c r="U42" i="20" s="1"/>
  <c r="U44" i="20" s="1"/>
  <c r="T41" i="20"/>
  <c r="S41" i="20"/>
  <c r="S42" i="20" s="1"/>
  <c r="S43" i="20" s="1"/>
  <c r="R41" i="20"/>
  <c r="Q41" i="20"/>
  <c r="Q42" i="20" s="1"/>
  <c r="Q43" i="20" s="1"/>
  <c r="P41" i="20"/>
  <c r="P42" i="20" s="1"/>
  <c r="O41" i="20"/>
  <c r="N41" i="20"/>
  <c r="N42" i="20" s="1"/>
  <c r="N43" i="20" s="1"/>
  <c r="M41" i="20"/>
  <c r="L41" i="20"/>
  <c r="L42" i="20" s="1"/>
  <c r="K41" i="20"/>
  <c r="K42" i="20" s="1"/>
  <c r="J41" i="20"/>
  <c r="J42" i="20" s="1"/>
  <c r="I41" i="20"/>
  <c r="I42" i="20" s="1"/>
  <c r="I44" i="20" s="1"/>
  <c r="H41" i="20"/>
  <c r="H42" i="20" s="1"/>
  <c r="G41" i="20"/>
  <c r="G42" i="20" s="1"/>
  <c r="F41" i="20"/>
  <c r="E41" i="20"/>
  <c r="E42" i="20" s="1"/>
  <c r="E44" i="20" s="1"/>
  <c r="D41" i="20"/>
  <c r="D42" i="20" s="1"/>
  <c r="C41" i="20"/>
  <c r="B41" i="20"/>
  <c r="AN41" i="20" s="1"/>
  <c r="AN40" i="20"/>
  <c r="AN39" i="20"/>
  <c r="AN38" i="20"/>
  <c r="AN37" i="20"/>
  <c r="AN36" i="20"/>
  <c r="AN35" i="20"/>
  <c r="AN34" i="20"/>
  <c r="AN33" i="20"/>
  <c r="AN32" i="20"/>
  <c r="AN31" i="20"/>
  <c r="AN30" i="20"/>
  <c r="AN29" i="20"/>
  <c r="AN28" i="20"/>
  <c r="AN27" i="20"/>
  <c r="AN26" i="20"/>
  <c r="AN25" i="20"/>
  <c r="AN24" i="20"/>
  <c r="AN23" i="20"/>
  <c r="AN22" i="20"/>
  <c r="AN21" i="20"/>
  <c r="AN20" i="20"/>
  <c r="AN19" i="20"/>
  <c r="AN18" i="20"/>
  <c r="AN17" i="20"/>
  <c r="AN16" i="20"/>
  <c r="AN15" i="20"/>
  <c r="AN14" i="20"/>
  <c r="AN13" i="20"/>
  <c r="AN12" i="20"/>
  <c r="AN11" i="20"/>
  <c r="AN10" i="20"/>
  <c r="AN9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7" i="20"/>
  <c r="AN6" i="20"/>
  <c r="AN5" i="20"/>
  <c r="AN7" i="20" s="1"/>
  <c r="AK44" i="19"/>
  <c r="AH44" i="19"/>
  <c r="AG44" i="19"/>
  <c r="AF44" i="19"/>
  <c r="AC44" i="19"/>
  <c r="AA44" i="19"/>
  <c r="T44" i="19"/>
  <c r="R44" i="19"/>
  <c r="Q44" i="19"/>
  <c r="N44" i="19"/>
  <c r="M44" i="19"/>
  <c r="J44" i="19"/>
  <c r="H44" i="19"/>
  <c r="G44" i="19"/>
  <c r="E44" i="19"/>
  <c r="C44" i="19"/>
  <c r="AF43" i="19"/>
  <c r="AE43" i="19"/>
  <c r="AC43" i="19"/>
  <c r="AB43" i="19"/>
  <c r="AA43" i="19"/>
  <c r="X43" i="19"/>
  <c r="R43" i="19"/>
  <c r="Q43" i="19"/>
  <c r="O43" i="19"/>
  <c r="H43" i="19"/>
  <c r="C43" i="19"/>
  <c r="AJ42" i="19"/>
  <c r="AI42" i="19"/>
  <c r="AH42" i="19"/>
  <c r="AH43" i="19" s="1"/>
  <c r="AF42" i="19"/>
  <c r="AD42" i="19"/>
  <c r="AD43" i="19" s="1"/>
  <c r="AC42" i="19"/>
  <c r="AA42" i="19"/>
  <c r="U42" i="19"/>
  <c r="S42" i="19"/>
  <c r="Q42" i="19"/>
  <c r="P42" i="19"/>
  <c r="O42" i="19"/>
  <c r="O44" i="19" s="1"/>
  <c r="I42" i="19"/>
  <c r="H42" i="19"/>
  <c r="C42" i="19"/>
  <c r="AK41" i="19"/>
  <c r="AK42" i="19" s="1"/>
  <c r="AK43" i="19" s="1"/>
  <c r="AJ41" i="19"/>
  <c r="AI41" i="19"/>
  <c r="AH41" i="19"/>
  <c r="AG41" i="19"/>
  <c r="AG42" i="19" s="1"/>
  <c r="AG43" i="19" s="1"/>
  <c r="AF41" i="19"/>
  <c r="AE41" i="19"/>
  <c r="AE42" i="19" s="1"/>
  <c r="AD41" i="19"/>
  <c r="AC41" i="19"/>
  <c r="AB41" i="19"/>
  <c r="AB42" i="19" s="1"/>
  <c r="AB44" i="19" s="1"/>
  <c r="AA41" i="19"/>
  <c r="Z41" i="19"/>
  <c r="Z42" i="19" s="1"/>
  <c r="Y41" i="19"/>
  <c r="Y42" i="19" s="1"/>
  <c r="X41" i="19"/>
  <c r="X42" i="19" s="1"/>
  <c r="X44" i="19" s="1"/>
  <c r="W41" i="19"/>
  <c r="W42" i="19" s="1"/>
  <c r="V41" i="19"/>
  <c r="V42" i="19" s="1"/>
  <c r="U41" i="19"/>
  <c r="T41" i="19"/>
  <c r="T42" i="19" s="1"/>
  <c r="T43" i="19" s="1"/>
  <c r="S41" i="19"/>
  <c r="R41" i="19"/>
  <c r="R42" i="19" s="1"/>
  <c r="Q41" i="19"/>
  <c r="P41" i="19"/>
  <c r="O41" i="19"/>
  <c r="N41" i="19"/>
  <c r="N42" i="19" s="1"/>
  <c r="N43" i="19" s="1"/>
  <c r="M41" i="19"/>
  <c r="M42" i="19" s="1"/>
  <c r="M43" i="19" s="1"/>
  <c r="L41" i="19"/>
  <c r="L42" i="19" s="1"/>
  <c r="K41" i="19"/>
  <c r="K42" i="19" s="1"/>
  <c r="K44" i="19" s="1"/>
  <c r="J41" i="19"/>
  <c r="J42" i="19" s="1"/>
  <c r="J43" i="19" s="1"/>
  <c r="I41" i="19"/>
  <c r="H41" i="19"/>
  <c r="G41" i="19"/>
  <c r="G42" i="19" s="1"/>
  <c r="G43" i="19" s="1"/>
  <c r="F41" i="19"/>
  <c r="F42" i="19" s="1"/>
  <c r="E41" i="19"/>
  <c r="E42" i="19" s="1"/>
  <c r="E43" i="19" s="1"/>
  <c r="D41" i="19"/>
  <c r="D42" i="19" s="1"/>
  <c r="C41" i="19"/>
  <c r="B41" i="19"/>
  <c r="B42" i="19" s="1"/>
  <c r="AL40" i="19"/>
  <c r="AL39" i="19"/>
  <c r="AL38" i="19"/>
  <c r="AL37" i="19"/>
  <c r="AL36" i="19"/>
  <c r="AL35" i="19"/>
  <c r="AL34" i="19"/>
  <c r="AL33" i="19"/>
  <c r="AL32" i="19"/>
  <c r="AL31" i="19"/>
  <c r="AL30" i="19"/>
  <c r="AL29" i="19"/>
  <c r="AL28" i="19"/>
  <c r="AL27" i="19"/>
  <c r="AL26" i="19"/>
  <c r="AL25" i="19"/>
  <c r="AL24" i="19"/>
  <c r="AL23" i="19"/>
  <c r="AL22" i="19"/>
  <c r="AL21" i="19"/>
  <c r="AL20" i="19"/>
  <c r="AL19" i="19"/>
  <c r="AL18" i="19"/>
  <c r="AL17" i="19"/>
  <c r="AL16" i="19"/>
  <c r="AL15" i="19"/>
  <c r="AL14" i="19"/>
  <c r="AL13" i="19"/>
  <c r="AL12" i="19"/>
  <c r="AL11" i="19"/>
  <c r="AL10" i="19"/>
  <c r="AL9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7" i="19"/>
  <c r="AL6" i="19"/>
  <c r="AL5" i="19"/>
  <c r="AL7" i="19" s="1"/>
  <c r="AJ44" i="18"/>
  <c r="AH44" i="18"/>
  <c r="AE44" i="18"/>
  <c r="X44" i="18"/>
  <c r="W44" i="18"/>
  <c r="V44" i="18"/>
  <c r="S44" i="18"/>
  <c r="P44" i="18"/>
  <c r="N44" i="18"/>
  <c r="G44" i="18"/>
  <c r="F44" i="18"/>
  <c r="E44" i="18"/>
  <c r="D44" i="18"/>
  <c r="AJ43" i="18"/>
  <c r="AA43" i="18"/>
  <c r="W43" i="18"/>
  <c r="R43" i="18"/>
  <c r="N43" i="18"/>
  <c r="E43" i="18"/>
  <c r="D43" i="18"/>
  <c r="C43" i="18"/>
  <c r="AG42" i="18"/>
  <c r="AE42" i="18"/>
  <c r="AC42" i="18"/>
  <c r="AB42" i="18"/>
  <c r="AA42" i="18"/>
  <c r="AA44" i="18" s="1"/>
  <c r="Z42" i="18"/>
  <c r="X42" i="18"/>
  <c r="X43" i="18" s="1"/>
  <c r="Q42" i="18"/>
  <c r="P42" i="18"/>
  <c r="P43" i="18" s="1"/>
  <c r="O42" i="18"/>
  <c r="L42" i="18"/>
  <c r="L44" i="18" s="1"/>
  <c r="K42" i="18"/>
  <c r="J42" i="18"/>
  <c r="G42" i="18"/>
  <c r="G43" i="18" s="1"/>
  <c r="E42" i="18"/>
  <c r="D42" i="18"/>
  <c r="C42" i="18"/>
  <c r="C44" i="18" s="1"/>
  <c r="B42" i="18"/>
  <c r="AJ41" i="18"/>
  <c r="AJ42" i="18" s="1"/>
  <c r="AI41" i="18"/>
  <c r="AI42" i="18" s="1"/>
  <c r="AH41" i="18"/>
  <c r="AH42" i="18" s="1"/>
  <c r="AH43" i="18" s="1"/>
  <c r="AG41" i="18"/>
  <c r="AF41" i="18"/>
  <c r="AF42" i="18" s="1"/>
  <c r="AE41" i="18"/>
  <c r="AD41" i="18"/>
  <c r="AD42" i="18" s="1"/>
  <c r="AD43" i="18" s="1"/>
  <c r="AC41" i="18"/>
  <c r="AB41" i="18"/>
  <c r="AA41" i="18"/>
  <c r="Z41" i="18"/>
  <c r="Y41" i="18"/>
  <c r="Y42" i="18" s="1"/>
  <c r="X41" i="18"/>
  <c r="W41" i="18"/>
  <c r="W42" i="18" s="1"/>
  <c r="V41" i="18"/>
  <c r="V42" i="18" s="1"/>
  <c r="V43" i="18" s="1"/>
  <c r="U41" i="18"/>
  <c r="U42" i="18" s="1"/>
  <c r="T41" i="18"/>
  <c r="T42" i="18" s="1"/>
  <c r="S41" i="18"/>
  <c r="S42" i="18" s="1"/>
  <c r="S43" i="18" s="1"/>
  <c r="R41" i="18"/>
  <c r="R42" i="18" s="1"/>
  <c r="R44" i="18" s="1"/>
  <c r="Q41" i="18"/>
  <c r="P41" i="18"/>
  <c r="O41" i="18"/>
  <c r="N41" i="18"/>
  <c r="N42" i="18" s="1"/>
  <c r="M41" i="18"/>
  <c r="M42" i="18" s="1"/>
  <c r="L41" i="18"/>
  <c r="K41" i="18"/>
  <c r="J41" i="18"/>
  <c r="I41" i="18"/>
  <c r="I42" i="18" s="1"/>
  <c r="H41" i="18"/>
  <c r="H42" i="18" s="1"/>
  <c r="G41" i="18"/>
  <c r="F41" i="18"/>
  <c r="F42" i="18" s="1"/>
  <c r="F43" i="18" s="1"/>
  <c r="E41" i="18"/>
  <c r="D41" i="18"/>
  <c r="C41" i="18"/>
  <c r="B41" i="18"/>
  <c r="AK40" i="18"/>
  <c r="AK39" i="18"/>
  <c r="AK38" i="18"/>
  <c r="AK37" i="18"/>
  <c r="AK36" i="18"/>
  <c r="AK35" i="18"/>
  <c r="AK34" i="18"/>
  <c r="AK33" i="18"/>
  <c r="AK32" i="18"/>
  <c r="AK31" i="18"/>
  <c r="AK30" i="18"/>
  <c r="AK29" i="18"/>
  <c r="AK28" i="18"/>
  <c r="AK27" i="18"/>
  <c r="AK26" i="18"/>
  <c r="AK25" i="18"/>
  <c r="AK24" i="18"/>
  <c r="AK23" i="18"/>
  <c r="AK22" i="18"/>
  <c r="AK21" i="18"/>
  <c r="AK20" i="18"/>
  <c r="AK19" i="18"/>
  <c r="AK18" i="18"/>
  <c r="AK17" i="18"/>
  <c r="AK16" i="18"/>
  <c r="AK15" i="18"/>
  <c r="AK14" i="18"/>
  <c r="AK13" i="18"/>
  <c r="AK12" i="18"/>
  <c r="AK11" i="18"/>
  <c r="AK10" i="18"/>
  <c r="AK9" i="18"/>
  <c r="AJ7" i="18"/>
  <c r="AI7" i="18"/>
  <c r="AH7" i="18"/>
  <c r="AG7" i="18"/>
  <c r="AF7" i="18"/>
  <c r="AE7" i="18"/>
  <c r="AE43" i="18" s="1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K6" i="18"/>
  <c r="AK5" i="18"/>
  <c r="AK7" i="18" s="1"/>
  <c r="AG49" i="17"/>
  <c r="AF49" i="17"/>
  <c r="AB49" i="17"/>
  <c r="W49" i="17"/>
  <c r="U49" i="17"/>
  <c r="R49" i="17"/>
  <c r="Q49" i="17"/>
  <c r="P49" i="17"/>
  <c r="H49" i="17"/>
  <c r="F49" i="17"/>
  <c r="AG48" i="17"/>
  <c r="AF48" i="17"/>
  <c r="AB48" i="17"/>
  <c r="Z48" i="17"/>
  <c r="Q48" i="17"/>
  <c r="P48" i="17"/>
  <c r="N48" i="17"/>
  <c r="D48" i="17"/>
  <c r="AH47" i="17"/>
  <c r="AF47" i="17"/>
  <c r="AB47" i="17"/>
  <c r="Z47" i="17"/>
  <c r="Z49" i="17" s="1"/>
  <c r="V47" i="17"/>
  <c r="U47" i="17"/>
  <c r="U48" i="17" s="1"/>
  <c r="S47" i="17"/>
  <c r="S49" i="17" s="1"/>
  <c r="N47" i="17"/>
  <c r="N49" i="17" s="1"/>
  <c r="K47" i="17"/>
  <c r="J47" i="17"/>
  <c r="I47" i="17"/>
  <c r="G47" i="17"/>
  <c r="G48" i="17" s="1"/>
  <c r="F47" i="17"/>
  <c r="F48" i="17" s="1"/>
  <c r="D47" i="17"/>
  <c r="D49" i="17" s="1"/>
  <c r="B47" i="17"/>
  <c r="AJ46" i="17"/>
  <c r="AJ47" i="17" s="1"/>
  <c r="AJ49" i="17" s="1"/>
  <c r="AI46" i="17"/>
  <c r="AI47" i="17" s="1"/>
  <c r="AH46" i="17"/>
  <c r="AG46" i="17"/>
  <c r="AG47" i="17" s="1"/>
  <c r="AF46" i="17"/>
  <c r="AD46" i="17"/>
  <c r="AD47" i="17" s="1"/>
  <c r="AC46" i="17"/>
  <c r="AC47" i="17" s="1"/>
  <c r="AB46" i="17"/>
  <c r="AA46" i="17"/>
  <c r="AA47" i="17" s="1"/>
  <c r="Z46" i="17"/>
  <c r="Y46" i="17"/>
  <c r="Y47" i="17" s="1"/>
  <c r="X46" i="17"/>
  <c r="X47" i="17" s="1"/>
  <c r="W46" i="17"/>
  <c r="W47" i="17" s="1"/>
  <c r="W48" i="17" s="1"/>
  <c r="V46" i="17"/>
  <c r="U46" i="17"/>
  <c r="T46" i="17"/>
  <c r="T47" i="17" s="1"/>
  <c r="T48" i="17" s="1"/>
  <c r="S46" i="17"/>
  <c r="R46" i="17"/>
  <c r="R47" i="17" s="1"/>
  <c r="R48" i="17" s="1"/>
  <c r="Q46" i="17"/>
  <c r="Q47" i="17" s="1"/>
  <c r="P46" i="17"/>
  <c r="P47" i="17" s="1"/>
  <c r="O46" i="17"/>
  <c r="O47" i="17" s="1"/>
  <c r="N46" i="17"/>
  <c r="M46" i="17"/>
  <c r="M47" i="17" s="1"/>
  <c r="L46" i="17"/>
  <c r="L47" i="17" s="1"/>
  <c r="K46" i="17"/>
  <c r="J46" i="17"/>
  <c r="I46" i="17"/>
  <c r="H46" i="17"/>
  <c r="H47" i="17" s="1"/>
  <c r="H48" i="17" s="1"/>
  <c r="G46" i="17"/>
  <c r="F46" i="17"/>
  <c r="E46" i="17"/>
  <c r="E47" i="17" s="1"/>
  <c r="D46" i="17"/>
  <c r="C46" i="17"/>
  <c r="B46" i="17"/>
  <c r="AK45" i="17"/>
  <c r="AK44" i="17"/>
  <c r="AK43" i="17"/>
  <c r="AK42" i="17"/>
  <c r="AK41" i="17"/>
  <c r="AK40" i="17"/>
  <c r="AK39" i="17"/>
  <c r="AK38" i="17"/>
  <c r="AK37" i="17"/>
  <c r="AK36" i="17"/>
  <c r="AK35" i="17"/>
  <c r="AK34" i="17"/>
  <c r="AK33" i="17"/>
  <c r="AK32" i="17"/>
  <c r="AK31" i="17"/>
  <c r="AK30" i="17"/>
  <c r="AK29" i="17"/>
  <c r="AK28" i="17"/>
  <c r="AK27" i="17"/>
  <c r="AK26" i="17"/>
  <c r="AK25" i="17"/>
  <c r="AK24" i="17"/>
  <c r="AK23" i="17"/>
  <c r="AK22" i="17"/>
  <c r="AK21" i="17"/>
  <c r="AK20" i="17"/>
  <c r="AK19" i="17"/>
  <c r="AK18" i="17"/>
  <c r="AK17" i="17"/>
  <c r="AK16" i="17"/>
  <c r="AK15" i="17"/>
  <c r="AK14" i="17"/>
  <c r="AJ12" i="17"/>
  <c r="AI12" i="17"/>
  <c r="AH12" i="17"/>
  <c r="AG12" i="17"/>
  <c r="AF12" i="17"/>
  <c r="AD12" i="17"/>
  <c r="AC12" i="17"/>
  <c r="AB12" i="17"/>
  <c r="AA12" i="17"/>
  <c r="Z12" i="17"/>
  <c r="Y12" i="17"/>
  <c r="X12" i="17"/>
  <c r="W12" i="17"/>
  <c r="V12" i="17"/>
  <c r="U12" i="17"/>
  <c r="T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K11" i="17"/>
  <c r="AK10" i="17"/>
  <c r="AK12" i="17" s="1"/>
  <c r="Z57" i="16"/>
  <c r="Y57" i="16"/>
  <c r="Y55" i="16"/>
  <c r="T55" i="16"/>
  <c r="J55" i="16"/>
  <c r="U53" i="16"/>
  <c r="U55" i="16" s="1"/>
  <c r="AK52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AK50" i="16"/>
  <c r="AK49" i="16"/>
  <c r="AK48" i="16"/>
  <c r="AK47" i="16"/>
  <c r="AJ45" i="16"/>
  <c r="AJ53" i="16" s="1"/>
  <c r="AI45" i="16"/>
  <c r="AI53" i="16" s="1"/>
  <c r="AI55" i="16" s="1"/>
  <c r="AF45" i="16"/>
  <c r="AF53" i="16" s="1"/>
  <c r="Z45" i="16"/>
  <c r="Z53" i="16" s="1"/>
  <c r="Z55" i="16" s="1"/>
  <c r="Z56" i="16" s="1"/>
  <c r="W45" i="16"/>
  <c r="W53" i="16" s="1"/>
  <c r="W55" i="16" s="1"/>
  <c r="U45" i="16"/>
  <c r="T45" i="16"/>
  <c r="T53" i="16" s="1"/>
  <c r="T56" i="16" s="1"/>
  <c r="L45" i="16"/>
  <c r="L53" i="16" s="1"/>
  <c r="L55" i="16" s="1"/>
  <c r="K45" i="16"/>
  <c r="K53" i="16" s="1"/>
  <c r="J45" i="16"/>
  <c r="J53" i="16" s="1"/>
  <c r="J56" i="16" s="1"/>
  <c r="I45" i="16"/>
  <c r="I53" i="16" s="1"/>
  <c r="H45" i="16"/>
  <c r="H53" i="16" s="1"/>
  <c r="H55" i="16" s="1"/>
  <c r="H56" i="16" s="1"/>
  <c r="F45" i="16"/>
  <c r="F53" i="16" s="1"/>
  <c r="F55" i="16" s="1"/>
  <c r="AI44" i="16"/>
  <c r="Y44" i="16"/>
  <c r="T44" i="16"/>
  <c r="O44" i="16"/>
  <c r="N44" i="16"/>
  <c r="L44" i="16"/>
  <c r="J44" i="16"/>
  <c r="H44" i="16"/>
  <c r="AI43" i="16"/>
  <c r="AG43" i="16"/>
  <c r="AF43" i="16"/>
  <c r="AF44" i="16" s="1"/>
  <c r="AE43" i="16"/>
  <c r="Y43" i="16"/>
  <c r="Y45" i="16" s="1"/>
  <c r="Y53" i="16" s="1"/>
  <c r="X43" i="16"/>
  <c r="T43" i="16"/>
  <c r="S43" i="16"/>
  <c r="N43" i="16"/>
  <c r="N45" i="16" s="1"/>
  <c r="N53" i="16" s="1"/>
  <c r="N55" i="16" s="1"/>
  <c r="M43" i="16"/>
  <c r="I43" i="16"/>
  <c r="I44" i="16" s="1"/>
  <c r="G43" i="16"/>
  <c r="E43" i="16"/>
  <c r="C43" i="16"/>
  <c r="AJ42" i="16"/>
  <c r="AJ43" i="16" s="1"/>
  <c r="AJ44" i="16" s="1"/>
  <c r="AI42" i="16"/>
  <c r="AH42" i="16"/>
  <c r="AH43" i="16" s="1"/>
  <c r="AG42" i="16"/>
  <c r="AF42" i="16"/>
  <c r="AE42" i="16"/>
  <c r="AD42" i="16"/>
  <c r="AD43" i="16" s="1"/>
  <c r="AC42" i="16"/>
  <c r="AC43" i="16" s="1"/>
  <c r="AB42" i="16"/>
  <c r="AB43" i="16" s="1"/>
  <c r="AA42" i="16"/>
  <c r="AA43" i="16" s="1"/>
  <c r="AA45" i="16" s="1"/>
  <c r="Z42" i="16"/>
  <c r="Z43" i="16" s="1"/>
  <c r="Z44" i="16" s="1"/>
  <c r="Y42" i="16"/>
  <c r="X42" i="16"/>
  <c r="W42" i="16"/>
  <c r="W43" i="16" s="1"/>
  <c r="W44" i="16" s="1"/>
  <c r="V42" i="16"/>
  <c r="V43" i="16" s="1"/>
  <c r="U42" i="16"/>
  <c r="U43" i="16" s="1"/>
  <c r="U44" i="16" s="1"/>
  <c r="T42" i="16"/>
  <c r="S42" i="16"/>
  <c r="R42" i="16"/>
  <c r="R43" i="16" s="1"/>
  <c r="Q42" i="16"/>
  <c r="Q43" i="16" s="1"/>
  <c r="P42" i="16"/>
  <c r="P43" i="16" s="1"/>
  <c r="O42" i="16"/>
  <c r="O43" i="16" s="1"/>
  <c r="O45" i="16" s="1"/>
  <c r="N42" i="16"/>
  <c r="M42" i="16"/>
  <c r="L42" i="16"/>
  <c r="L43" i="16" s="1"/>
  <c r="K42" i="16"/>
  <c r="K43" i="16" s="1"/>
  <c r="K44" i="16" s="1"/>
  <c r="J42" i="16"/>
  <c r="J43" i="16" s="1"/>
  <c r="I42" i="16"/>
  <c r="H42" i="16"/>
  <c r="H43" i="16" s="1"/>
  <c r="G42" i="16"/>
  <c r="F42" i="16"/>
  <c r="F43" i="16" s="1"/>
  <c r="F44" i="16" s="1"/>
  <c r="E42" i="16"/>
  <c r="D42" i="16"/>
  <c r="D43" i="16" s="1"/>
  <c r="C42" i="16"/>
  <c r="B42" i="16"/>
  <c r="B43" i="16" s="1"/>
  <c r="AK41" i="16"/>
  <c r="AK40" i="16"/>
  <c r="AK39" i="16"/>
  <c r="AK38" i="16"/>
  <c r="AK37" i="16"/>
  <c r="AK36" i="16"/>
  <c r="AK35" i="16"/>
  <c r="AK34" i="16"/>
  <c r="C31" i="12" s="1"/>
  <c r="AK33" i="16"/>
  <c r="AK32" i="16"/>
  <c r="AK31" i="16"/>
  <c r="AK30" i="16"/>
  <c r="AK29" i="16"/>
  <c r="AK28" i="16"/>
  <c r="AK27" i="16"/>
  <c r="AK26" i="16"/>
  <c r="C23" i="12" s="1"/>
  <c r="AK25" i="16"/>
  <c r="AK24" i="16"/>
  <c r="AK23" i="16"/>
  <c r="AK22" i="16"/>
  <c r="C19" i="12" s="1"/>
  <c r="AK21" i="16"/>
  <c r="AK20" i="16"/>
  <c r="AK19" i="16"/>
  <c r="AK18" i="16"/>
  <c r="AK17" i="16"/>
  <c r="AK16" i="16"/>
  <c r="AK15" i="16"/>
  <c r="AK14" i="16"/>
  <c r="C11" i="12" s="1"/>
  <c r="AK13" i="16"/>
  <c r="AK12" i="16"/>
  <c r="AK11" i="16"/>
  <c r="AK10" i="16"/>
  <c r="C7" i="12" s="1"/>
  <c r="AJ8" i="16"/>
  <c r="AI8" i="16"/>
  <c r="AH8" i="16"/>
  <c r="AG8" i="16"/>
  <c r="AF8" i="16"/>
  <c r="AE8" i="16"/>
  <c r="AD8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B8" i="16"/>
  <c r="AK7" i="16"/>
  <c r="C4" i="12" s="1"/>
  <c r="AK6" i="16"/>
  <c r="AI49" i="15"/>
  <c r="AG49" i="15"/>
  <c r="AC49" i="15"/>
  <c r="V49" i="15"/>
  <c r="N49" i="15"/>
  <c r="H49" i="15"/>
  <c r="G49" i="15"/>
  <c r="AD48" i="15"/>
  <c r="Z48" i="15"/>
  <c r="P48" i="15"/>
  <c r="N48" i="15"/>
  <c r="D48" i="15"/>
  <c r="B48" i="15"/>
  <c r="AI47" i="15"/>
  <c r="AI48" i="15" s="1"/>
  <c r="AH47" i="15"/>
  <c r="Z47" i="15"/>
  <c r="Z49" i="15" s="1"/>
  <c r="W47" i="15"/>
  <c r="V47" i="15"/>
  <c r="V48" i="15" s="1"/>
  <c r="U47" i="15"/>
  <c r="N47" i="15"/>
  <c r="K47" i="15"/>
  <c r="J47" i="15"/>
  <c r="I47" i="15"/>
  <c r="D47" i="15"/>
  <c r="D49" i="15" s="1"/>
  <c r="C47" i="15"/>
  <c r="C49" i="15" s="1"/>
  <c r="B47" i="15"/>
  <c r="B49" i="15" s="1"/>
  <c r="AI46" i="15"/>
  <c r="AH46" i="15"/>
  <c r="AG46" i="15"/>
  <c r="AG47" i="15" s="1"/>
  <c r="AG48" i="15" s="1"/>
  <c r="AF46" i="15"/>
  <c r="AF47" i="15" s="1"/>
  <c r="AD46" i="15"/>
  <c r="AD47" i="15" s="1"/>
  <c r="AD49" i="15" s="1"/>
  <c r="AC46" i="15"/>
  <c r="AC47" i="15" s="1"/>
  <c r="AC48" i="15" s="1"/>
  <c r="AB46" i="15"/>
  <c r="AB47" i="15" s="1"/>
  <c r="AA46" i="15"/>
  <c r="AA47" i="15" s="1"/>
  <c r="Z46" i="15"/>
  <c r="Y46" i="15"/>
  <c r="Y47" i="15" s="1"/>
  <c r="X46" i="15"/>
  <c r="X47" i="15" s="1"/>
  <c r="W46" i="15"/>
  <c r="V46" i="15"/>
  <c r="U46" i="15"/>
  <c r="T46" i="15"/>
  <c r="T47" i="15" s="1"/>
  <c r="S46" i="15"/>
  <c r="S47" i="15" s="1"/>
  <c r="R46" i="15"/>
  <c r="R47" i="15" s="1"/>
  <c r="R49" i="15" s="1"/>
  <c r="Q46" i="15"/>
  <c r="Q47" i="15" s="1"/>
  <c r="P46" i="15"/>
  <c r="P47" i="15" s="1"/>
  <c r="P49" i="15" s="1"/>
  <c r="O46" i="15"/>
  <c r="O47" i="15" s="1"/>
  <c r="N46" i="15"/>
  <c r="M46" i="15"/>
  <c r="M47" i="15" s="1"/>
  <c r="L46" i="15"/>
  <c r="L47" i="15" s="1"/>
  <c r="K46" i="15"/>
  <c r="J46" i="15"/>
  <c r="I46" i="15"/>
  <c r="H46" i="15"/>
  <c r="H47" i="15" s="1"/>
  <c r="H48" i="15" s="1"/>
  <c r="G46" i="15"/>
  <c r="G47" i="15" s="1"/>
  <c r="G48" i="15" s="1"/>
  <c r="F46" i="15"/>
  <c r="F47" i="15" s="1"/>
  <c r="E46" i="15"/>
  <c r="E47" i="15" s="1"/>
  <c r="D46" i="15"/>
  <c r="C46" i="15"/>
  <c r="B46" i="15"/>
  <c r="AI12" i="15"/>
  <c r="AH12" i="15"/>
  <c r="AG12" i="15"/>
  <c r="AF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G49" i="14"/>
  <c r="AD49" i="14"/>
  <c r="X49" i="14"/>
  <c r="V49" i="14"/>
  <c r="U49" i="14"/>
  <c r="Q49" i="14"/>
  <c r="N49" i="14"/>
  <c r="I49" i="14"/>
  <c r="AH48" i="14"/>
  <c r="AD48" i="14"/>
  <c r="X48" i="14"/>
  <c r="U48" i="14"/>
  <c r="T48" i="14"/>
  <c r="S48" i="14"/>
  <c r="N48" i="14"/>
  <c r="I48" i="14"/>
  <c r="AG47" i="14"/>
  <c r="AG48" i="14" s="1"/>
  <c r="AD47" i="14"/>
  <c r="AC47" i="14"/>
  <c r="AB47" i="14"/>
  <c r="AA47" i="14"/>
  <c r="X47" i="14"/>
  <c r="U47" i="14"/>
  <c r="R47" i="14"/>
  <c r="Q47" i="14"/>
  <c r="Q48" i="14" s="1"/>
  <c r="O47" i="14"/>
  <c r="M47" i="14"/>
  <c r="J47" i="14"/>
  <c r="D47" i="14"/>
  <c r="D49" i="14" s="1"/>
  <c r="C47" i="14"/>
  <c r="AJ46" i="14"/>
  <c r="AJ47" i="14" s="1"/>
  <c r="AJ48" i="14" s="1"/>
  <c r="AI46" i="14"/>
  <c r="AI47" i="14" s="1"/>
  <c r="AH46" i="14"/>
  <c r="AH47" i="14" s="1"/>
  <c r="AH49" i="14" s="1"/>
  <c r="AG46" i="14"/>
  <c r="AF46" i="14"/>
  <c r="AF47" i="14" s="1"/>
  <c r="AE46" i="14"/>
  <c r="AE47" i="14" s="1"/>
  <c r="AD46" i="14"/>
  <c r="AC46" i="14"/>
  <c r="AB46" i="14"/>
  <c r="AA46" i="14"/>
  <c r="Z46" i="14"/>
  <c r="Z47" i="14" s="1"/>
  <c r="Y46" i="14"/>
  <c r="Y47" i="14" s="1"/>
  <c r="Y48" i="14" s="1"/>
  <c r="X46" i="14"/>
  <c r="W46" i="14"/>
  <c r="W47" i="14" s="1"/>
  <c r="V46" i="14"/>
  <c r="V47" i="14" s="1"/>
  <c r="V48" i="14" s="1"/>
  <c r="U46" i="14"/>
  <c r="T46" i="14"/>
  <c r="T47" i="14" s="1"/>
  <c r="T49" i="14" s="1"/>
  <c r="S46" i="14"/>
  <c r="S47" i="14" s="1"/>
  <c r="S49" i="14" s="1"/>
  <c r="R46" i="14"/>
  <c r="Q46" i="14"/>
  <c r="P46" i="14"/>
  <c r="P47" i="14" s="1"/>
  <c r="O46" i="14"/>
  <c r="N46" i="14"/>
  <c r="N47" i="14" s="1"/>
  <c r="M46" i="14"/>
  <c r="L46" i="14"/>
  <c r="L47" i="14" s="1"/>
  <c r="K46" i="14"/>
  <c r="K47" i="14" s="1"/>
  <c r="J46" i="14"/>
  <c r="I46" i="14"/>
  <c r="I47" i="14" s="1"/>
  <c r="H46" i="14"/>
  <c r="H47" i="14" s="1"/>
  <c r="G46" i="14"/>
  <c r="G47" i="14" s="1"/>
  <c r="F46" i="14"/>
  <c r="F47" i="14" s="1"/>
  <c r="E46" i="14"/>
  <c r="E47" i="14" s="1"/>
  <c r="D46" i="14"/>
  <c r="C46" i="14"/>
  <c r="B46" i="14"/>
  <c r="B47" i="14" s="1"/>
  <c r="AK45" i="14"/>
  <c r="AK44" i="14"/>
  <c r="AK43" i="14"/>
  <c r="AK42" i="14"/>
  <c r="AK41" i="14"/>
  <c r="AK40" i="14"/>
  <c r="AK39" i="14"/>
  <c r="AK38" i="14"/>
  <c r="AK37" i="14"/>
  <c r="AK36" i="14"/>
  <c r="AK35" i="14"/>
  <c r="AK34" i="14"/>
  <c r="AK33" i="14"/>
  <c r="AK32" i="14"/>
  <c r="AK31" i="14"/>
  <c r="AK30" i="14"/>
  <c r="AK29" i="14"/>
  <c r="AK28" i="14"/>
  <c r="AK27" i="14"/>
  <c r="AK26" i="14"/>
  <c r="AK25" i="14"/>
  <c r="AK24" i="14"/>
  <c r="AK23" i="14"/>
  <c r="AK22" i="14"/>
  <c r="AK21" i="14"/>
  <c r="AK20" i="14"/>
  <c r="AK19" i="14"/>
  <c r="AK18" i="14"/>
  <c r="AA17" i="14"/>
  <c r="AK17" i="14" s="1"/>
  <c r="AK16" i="14"/>
  <c r="AK15" i="14"/>
  <c r="AK14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K11" i="14"/>
  <c r="AK10" i="14"/>
  <c r="AK12" i="14" s="1"/>
  <c r="O275" i="13"/>
  <c r="N275" i="13"/>
  <c r="K275" i="13"/>
  <c r="I275" i="13"/>
  <c r="G275" i="13"/>
  <c r="E275" i="13"/>
  <c r="D275" i="13"/>
  <c r="C275" i="13"/>
  <c r="P274" i="13"/>
  <c r="P275" i="13" s="1"/>
  <c r="O274" i="13"/>
  <c r="N274" i="13"/>
  <c r="M274" i="13"/>
  <c r="M275" i="13" s="1"/>
  <c r="L274" i="13"/>
  <c r="L275" i="13" s="1"/>
  <c r="J274" i="13"/>
  <c r="J275" i="13" s="1"/>
  <c r="H274" i="13"/>
  <c r="H275" i="13" s="1"/>
  <c r="G274" i="13"/>
  <c r="F274" i="13"/>
  <c r="F275" i="13" s="1"/>
  <c r="N268" i="13"/>
  <c r="M268" i="13"/>
  <c r="K268" i="13"/>
  <c r="I268" i="13"/>
  <c r="F268" i="13"/>
  <c r="E268" i="13"/>
  <c r="D268" i="13"/>
  <c r="C268" i="13"/>
  <c r="P267" i="13"/>
  <c r="P268" i="13" s="1"/>
  <c r="O267" i="13"/>
  <c r="O268" i="13" s="1"/>
  <c r="N267" i="13"/>
  <c r="M267" i="13"/>
  <c r="L267" i="13"/>
  <c r="L268" i="13" s="1"/>
  <c r="J267" i="13"/>
  <c r="J268" i="13" s="1"/>
  <c r="I267" i="13"/>
  <c r="H267" i="13"/>
  <c r="H268" i="13" s="1"/>
  <c r="G267" i="13"/>
  <c r="G268" i="13" s="1"/>
  <c r="F267" i="13"/>
  <c r="N261" i="13"/>
  <c r="K261" i="13"/>
  <c r="J261" i="13"/>
  <c r="H261" i="13"/>
  <c r="E261" i="13"/>
  <c r="D261" i="13"/>
  <c r="C261" i="13"/>
  <c r="P260" i="13"/>
  <c r="P261" i="13" s="1"/>
  <c r="O260" i="13"/>
  <c r="O261" i="13" s="1"/>
  <c r="N260" i="13"/>
  <c r="M260" i="13"/>
  <c r="M261" i="13" s="1"/>
  <c r="L260" i="13"/>
  <c r="L261" i="13" s="1"/>
  <c r="J260" i="13"/>
  <c r="I260" i="13"/>
  <c r="I261" i="13" s="1"/>
  <c r="H260" i="13"/>
  <c r="G260" i="13"/>
  <c r="G261" i="13" s="1"/>
  <c r="F260" i="13"/>
  <c r="F261" i="13" s="1"/>
  <c r="Q254" i="13"/>
  <c r="P254" i="13"/>
  <c r="O254" i="13"/>
  <c r="L254" i="13"/>
  <c r="K254" i="13"/>
  <c r="E254" i="13"/>
  <c r="D254" i="13"/>
  <c r="C254" i="13"/>
  <c r="Q253" i="13"/>
  <c r="P253" i="13"/>
  <c r="O253" i="13"/>
  <c r="N253" i="13"/>
  <c r="N254" i="13" s="1"/>
  <c r="M253" i="13"/>
  <c r="M254" i="13" s="1"/>
  <c r="L253" i="13"/>
  <c r="J253" i="13"/>
  <c r="J254" i="13" s="1"/>
  <c r="I253" i="13"/>
  <c r="I254" i="13" s="1"/>
  <c r="H253" i="13"/>
  <c r="H254" i="13" s="1"/>
  <c r="G253" i="13"/>
  <c r="G254" i="13" s="1"/>
  <c r="F253" i="13"/>
  <c r="F254" i="13" s="1"/>
  <c r="Q247" i="13"/>
  <c r="M247" i="13"/>
  <c r="K247" i="13"/>
  <c r="F247" i="13"/>
  <c r="E247" i="13"/>
  <c r="D247" i="13"/>
  <c r="C247" i="13"/>
  <c r="Q246" i="13"/>
  <c r="P246" i="13"/>
  <c r="P247" i="13" s="1"/>
  <c r="O246" i="13"/>
  <c r="O247" i="13" s="1"/>
  <c r="N246" i="13"/>
  <c r="N247" i="13" s="1"/>
  <c r="M246" i="13"/>
  <c r="L246" i="13"/>
  <c r="L247" i="13" s="1"/>
  <c r="K246" i="13"/>
  <c r="J246" i="13"/>
  <c r="J247" i="13" s="1"/>
  <c r="H246" i="13"/>
  <c r="H247" i="13" s="1"/>
  <c r="G246" i="13"/>
  <c r="G247" i="13" s="1"/>
  <c r="F246" i="13"/>
  <c r="I245" i="13"/>
  <c r="I244" i="13"/>
  <c r="I243" i="13"/>
  <c r="M240" i="13"/>
  <c r="L240" i="13"/>
  <c r="K240" i="13"/>
  <c r="E240" i="13"/>
  <c r="D240" i="13"/>
  <c r="C240" i="13"/>
  <c r="Q239" i="13"/>
  <c r="Q240" i="13" s="1"/>
  <c r="P239" i="13"/>
  <c r="P240" i="13" s="1"/>
  <c r="O239" i="13"/>
  <c r="O240" i="13" s="1"/>
  <c r="N239" i="13"/>
  <c r="N240" i="13" s="1"/>
  <c r="M239" i="13"/>
  <c r="L239" i="13"/>
  <c r="J239" i="13"/>
  <c r="J240" i="13" s="1"/>
  <c r="I239" i="13"/>
  <c r="I240" i="13" s="1"/>
  <c r="H239" i="13"/>
  <c r="H240" i="13" s="1"/>
  <c r="G239" i="13"/>
  <c r="G240" i="13" s="1"/>
  <c r="F239" i="13"/>
  <c r="F240" i="13" s="1"/>
  <c r="P233" i="13"/>
  <c r="N233" i="13"/>
  <c r="L233" i="13"/>
  <c r="K233" i="13"/>
  <c r="J233" i="13"/>
  <c r="G233" i="13"/>
  <c r="E233" i="13"/>
  <c r="D233" i="13"/>
  <c r="C233" i="13"/>
  <c r="Q232" i="13"/>
  <c r="Q233" i="13" s="1"/>
  <c r="P232" i="13"/>
  <c r="O232" i="13"/>
  <c r="O233" i="13" s="1"/>
  <c r="N232" i="13"/>
  <c r="M232" i="13"/>
  <c r="M233" i="13" s="1"/>
  <c r="L232" i="13"/>
  <c r="J232" i="13"/>
  <c r="I232" i="13"/>
  <c r="I233" i="13" s="1"/>
  <c r="H232" i="13"/>
  <c r="H233" i="13" s="1"/>
  <c r="G232" i="13"/>
  <c r="F232" i="13"/>
  <c r="F233" i="13" s="1"/>
  <c r="P226" i="13"/>
  <c r="L226" i="13"/>
  <c r="K226" i="13"/>
  <c r="J226" i="13"/>
  <c r="H226" i="13"/>
  <c r="G226" i="13"/>
  <c r="E226" i="13"/>
  <c r="D226" i="13"/>
  <c r="C226" i="13"/>
  <c r="Q225" i="13"/>
  <c r="Q226" i="13" s="1"/>
  <c r="P225" i="13"/>
  <c r="O225" i="13"/>
  <c r="O226" i="13" s="1"/>
  <c r="N225" i="13"/>
  <c r="N226" i="13" s="1"/>
  <c r="M225" i="13"/>
  <c r="M226" i="13" s="1"/>
  <c r="L225" i="13"/>
  <c r="J225" i="13"/>
  <c r="I225" i="13"/>
  <c r="I226" i="13" s="1"/>
  <c r="H225" i="13"/>
  <c r="G225" i="13"/>
  <c r="F225" i="13"/>
  <c r="F226" i="13" s="1"/>
  <c r="P219" i="13"/>
  <c r="K219" i="13"/>
  <c r="J219" i="13"/>
  <c r="I219" i="13"/>
  <c r="F219" i="13"/>
  <c r="E219" i="13"/>
  <c r="D219" i="13"/>
  <c r="C219" i="13"/>
  <c r="Q218" i="13"/>
  <c r="Q219" i="13" s="1"/>
  <c r="P218" i="13"/>
  <c r="O218" i="13"/>
  <c r="O219" i="13" s="1"/>
  <c r="N218" i="13"/>
  <c r="N219" i="13" s="1"/>
  <c r="M218" i="13"/>
  <c r="M219" i="13" s="1"/>
  <c r="L218" i="13"/>
  <c r="L219" i="13" s="1"/>
  <c r="J218" i="13"/>
  <c r="I218" i="13"/>
  <c r="H218" i="13"/>
  <c r="H219" i="13" s="1"/>
  <c r="G218" i="13"/>
  <c r="G219" i="13" s="1"/>
  <c r="F218" i="13"/>
  <c r="K212" i="13"/>
  <c r="J212" i="13"/>
  <c r="G212" i="13"/>
  <c r="E212" i="13"/>
  <c r="D212" i="13"/>
  <c r="C212" i="13"/>
  <c r="Q211" i="13"/>
  <c r="Q212" i="13" s="1"/>
  <c r="P211" i="13"/>
  <c r="P212" i="13" s="1"/>
  <c r="O211" i="13"/>
  <c r="O212" i="13" s="1"/>
  <c r="N211" i="13"/>
  <c r="N212" i="13" s="1"/>
  <c r="M211" i="13"/>
  <c r="M212" i="13" s="1"/>
  <c r="L211" i="13"/>
  <c r="L212" i="13" s="1"/>
  <c r="J211" i="13"/>
  <c r="I211" i="13"/>
  <c r="I212" i="13" s="1"/>
  <c r="H211" i="13"/>
  <c r="H212" i="13" s="1"/>
  <c r="G211" i="13"/>
  <c r="F211" i="13"/>
  <c r="F212" i="13" s="1"/>
  <c r="O205" i="13"/>
  <c r="M205" i="13"/>
  <c r="L205" i="13"/>
  <c r="K205" i="13"/>
  <c r="I205" i="13"/>
  <c r="E205" i="13"/>
  <c r="D205" i="13"/>
  <c r="C205" i="13"/>
  <c r="Q204" i="13"/>
  <c r="Q205" i="13" s="1"/>
  <c r="P204" i="13"/>
  <c r="P205" i="13" s="1"/>
  <c r="O204" i="13"/>
  <c r="N204" i="13"/>
  <c r="N205" i="13" s="1"/>
  <c r="M204" i="13"/>
  <c r="L204" i="13"/>
  <c r="J204" i="13"/>
  <c r="J205" i="13" s="1"/>
  <c r="I204" i="13"/>
  <c r="H204" i="13"/>
  <c r="H205" i="13" s="1"/>
  <c r="G204" i="13"/>
  <c r="G205" i="13" s="1"/>
  <c r="F204" i="13"/>
  <c r="F205" i="13" s="1"/>
  <c r="P198" i="13"/>
  <c r="O198" i="13"/>
  <c r="M198" i="13"/>
  <c r="L198" i="13"/>
  <c r="K198" i="13"/>
  <c r="J198" i="13"/>
  <c r="G198" i="13"/>
  <c r="E198" i="13"/>
  <c r="D198" i="13"/>
  <c r="C198" i="13"/>
  <c r="Q197" i="13"/>
  <c r="Q198" i="13" s="1"/>
  <c r="P197" i="13"/>
  <c r="O197" i="13"/>
  <c r="N197" i="13"/>
  <c r="N198" i="13" s="1"/>
  <c r="M197" i="13"/>
  <c r="L197" i="13"/>
  <c r="J197" i="13"/>
  <c r="I197" i="13"/>
  <c r="I198" i="13" s="1"/>
  <c r="H197" i="13"/>
  <c r="H198" i="13" s="1"/>
  <c r="G197" i="13"/>
  <c r="F197" i="13"/>
  <c r="F198" i="13" s="1"/>
  <c r="Q191" i="13"/>
  <c r="P191" i="13"/>
  <c r="O191" i="13"/>
  <c r="N191" i="13"/>
  <c r="M191" i="13"/>
  <c r="K191" i="13"/>
  <c r="H191" i="13"/>
  <c r="G191" i="13"/>
  <c r="E191" i="13"/>
  <c r="D191" i="13"/>
  <c r="C191" i="13"/>
  <c r="Q190" i="13"/>
  <c r="P190" i="13"/>
  <c r="O190" i="13"/>
  <c r="N190" i="13"/>
  <c r="M190" i="13"/>
  <c r="L190" i="13"/>
  <c r="L191" i="13" s="1"/>
  <c r="J190" i="13"/>
  <c r="J191" i="13" s="1"/>
  <c r="I190" i="13"/>
  <c r="I191" i="13" s="1"/>
  <c r="H190" i="13"/>
  <c r="G190" i="13"/>
  <c r="F190" i="13"/>
  <c r="F191" i="13" s="1"/>
  <c r="P184" i="13"/>
  <c r="K184" i="13"/>
  <c r="I184" i="13"/>
  <c r="H184" i="13"/>
  <c r="G184" i="13"/>
  <c r="E184" i="13"/>
  <c r="D184" i="13"/>
  <c r="C184" i="13"/>
  <c r="Q183" i="13"/>
  <c r="Q184" i="13" s="1"/>
  <c r="P183" i="13"/>
  <c r="O183" i="13"/>
  <c r="O184" i="13" s="1"/>
  <c r="N183" i="13"/>
  <c r="N184" i="13" s="1"/>
  <c r="M183" i="13"/>
  <c r="M184" i="13" s="1"/>
  <c r="L183" i="13"/>
  <c r="L184" i="13" s="1"/>
  <c r="J183" i="13"/>
  <c r="J184" i="13" s="1"/>
  <c r="I183" i="13"/>
  <c r="H183" i="13"/>
  <c r="G183" i="13"/>
  <c r="F183" i="13"/>
  <c r="F184" i="13" s="1"/>
  <c r="Q177" i="13"/>
  <c r="K177" i="13"/>
  <c r="H177" i="13"/>
  <c r="G177" i="13"/>
  <c r="F177" i="13"/>
  <c r="E177" i="13"/>
  <c r="D177" i="13"/>
  <c r="C177" i="13"/>
  <c r="Q176" i="13"/>
  <c r="P176" i="13"/>
  <c r="P177" i="13" s="1"/>
  <c r="O176" i="13"/>
  <c r="O177" i="13" s="1"/>
  <c r="N176" i="13"/>
  <c r="N177" i="13" s="1"/>
  <c r="M176" i="13"/>
  <c r="M177" i="13" s="1"/>
  <c r="L176" i="13"/>
  <c r="L177" i="13" s="1"/>
  <c r="J176" i="13"/>
  <c r="J177" i="13" s="1"/>
  <c r="I176" i="13"/>
  <c r="I177" i="13" s="1"/>
  <c r="H176" i="13"/>
  <c r="G176" i="13"/>
  <c r="F176" i="13"/>
  <c r="Q170" i="13"/>
  <c r="L170" i="13"/>
  <c r="K170" i="13"/>
  <c r="H170" i="13"/>
  <c r="G170" i="13"/>
  <c r="F170" i="13"/>
  <c r="E170" i="13"/>
  <c r="D170" i="13"/>
  <c r="C170" i="13"/>
  <c r="Q169" i="13"/>
  <c r="P169" i="13"/>
  <c r="P170" i="13" s="1"/>
  <c r="O169" i="13"/>
  <c r="O170" i="13" s="1"/>
  <c r="N169" i="13"/>
  <c r="N170" i="13" s="1"/>
  <c r="M169" i="13"/>
  <c r="M170" i="13" s="1"/>
  <c r="L169" i="13"/>
  <c r="J169" i="13"/>
  <c r="J170" i="13" s="1"/>
  <c r="I169" i="13"/>
  <c r="I170" i="13" s="1"/>
  <c r="H169" i="13"/>
  <c r="G169" i="13"/>
  <c r="F169" i="13"/>
  <c r="K163" i="13"/>
  <c r="J163" i="13"/>
  <c r="I163" i="13"/>
  <c r="H163" i="13"/>
  <c r="G163" i="13"/>
  <c r="F163" i="13"/>
  <c r="E163" i="13"/>
  <c r="D163" i="13"/>
  <c r="C163" i="13"/>
  <c r="Q162" i="13"/>
  <c r="Q163" i="13" s="1"/>
  <c r="P162" i="13"/>
  <c r="P163" i="13" s="1"/>
  <c r="O162" i="13"/>
  <c r="O163" i="13" s="1"/>
  <c r="N162" i="13"/>
  <c r="N163" i="13" s="1"/>
  <c r="M162" i="13"/>
  <c r="M163" i="13" s="1"/>
  <c r="L162" i="13"/>
  <c r="L163" i="13" s="1"/>
  <c r="J162" i="13"/>
  <c r="I162" i="13"/>
  <c r="H162" i="13"/>
  <c r="G162" i="13"/>
  <c r="F162" i="13"/>
  <c r="I156" i="13"/>
  <c r="H156" i="13"/>
  <c r="E156" i="13"/>
  <c r="D156" i="13"/>
  <c r="C156" i="13"/>
  <c r="Q155" i="13"/>
  <c r="Q156" i="13" s="1"/>
  <c r="P155" i="13"/>
  <c r="P156" i="13" s="1"/>
  <c r="O155" i="13"/>
  <c r="O156" i="13" s="1"/>
  <c r="N155" i="13"/>
  <c r="N156" i="13" s="1"/>
  <c r="M155" i="13"/>
  <c r="M156" i="13" s="1"/>
  <c r="L155" i="13"/>
  <c r="L156" i="13" s="1"/>
  <c r="J155" i="13"/>
  <c r="J156" i="13" s="1"/>
  <c r="I155" i="13"/>
  <c r="H155" i="13"/>
  <c r="G155" i="13"/>
  <c r="G156" i="13" s="1"/>
  <c r="F155" i="13"/>
  <c r="F156" i="13" s="1"/>
  <c r="N149" i="13"/>
  <c r="M149" i="13"/>
  <c r="L149" i="13"/>
  <c r="J149" i="13"/>
  <c r="H149" i="13"/>
  <c r="E149" i="13"/>
  <c r="D149" i="13"/>
  <c r="C149" i="13"/>
  <c r="Q148" i="13"/>
  <c r="Q149" i="13" s="1"/>
  <c r="P148" i="13"/>
  <c r="P149" i="13" s="1"/>
  <c r="O148" i="13"/>
  <c r="O149" i="13" s="1"/>
  <c r="N148" i="13"/>
  <c r="M148" i="13"/>
  <c r="L148" i="13"/>
  <c r="K148" i="13"/>
  <c r="K149" i="13" s="1"/>
  <c r="J148" i="13"/>
  <c r="I148" i="13"/>
  <c r="I149" i="13" s="1"/>
  <c r="H148" i="13"/>
  <c r="G148" i="13"/>
  <c r="G149" i="13" s="1"/>
  <c r="F148" i="13"/>
  <c r="F149" i="13" s="1"/>
  <c r="Q142" i="13"/>
  <c r="P142" i="13"/>
  <c r="O142" i="13"/>
  <c r="N142" i="13"/>
  <c r="M142" i="13"/>
  <c r="K142" i="13"/>
  <c r="I142" i="13"/>
  <c r="H142" i="13"/>
  <c r="E142" i="13"/>
  <c r="D142" i="13"/>
  <c r="C142" i="13"/>
  <c r="Q141" i="13"/>
  <c r="P141" i="13"/>
  <c r="O141" i="13"/>
  <c r="N141" i="13"/>
  <c r="M141" i="13"/>
  <c r="L141" i="13"/>
  <c r="L142" i="13" s="1"/>
  <c r="J141" i="13"/>
  <c r="J142" i="13" s="1"/>
  <c r="I141" i="13"/>
  <c r="H141" i="13"/>
  <c r="G141" i="13"/>
  <c r="G142" i="13" s="1"/>
  <c r="F141" i="13"/>
  <c r="F142" i="13" s="1"/>
  <c r="Q135" i="13"/>
  <c r="O135" i="13"/>
  <c r="K135" i="13"/>
  <c r="I135" i="13"/>
  <c r="H135" i="13"/>
  <c r="E135" i="13"/>
  <c r="D135" i="13"/>
  <c r="C135" i="13"/>
  <c r="Q134" i="13"/>
  <c r="P134" i="13"/>
  <c r="P135" i="13" s="1"/>
  <c r="O134" i="13"/>
  <c r="N134" i="13"/>
  <c r="N135" i="13" s="1"/>
  <c r="M134" i="13"/>
  <c r="M135" i="13" s="1"/>
  <c r="L134" i="13"/>
  <c r="L135" i="13" s="1"/>
  <c r="J134" i="13"/>
  <c r="J135" i="13" s="1"/>
  <c r="I134" i="13"/>
  <c r="H134" i="13"/>
  <c r="G134" i="13"/>
  <c r="G135" i="13" s="1"/>
  <c r="F134" i="13"/>
  <c r="F135" i="13" s="1"/>
  <c r="Q128" i="13"/>
  <c r="M128" i="13"/>
  <c r="K128" i="13"/>
  <c r="J128" i="13"/>
  <c r="I128" i="13"/>
  <c r="H128" i="13"/>
  <c r="F128" i="13"/>
  <c r="E128" i="13"/>
  <c r="D128" i="13"/>
  <c r="C128" i="13"/>
  <c r="Q127" i="13"/>
  <c r="P127" i="13"/>
  <c r="P128" i="13" s="1"/>
  <c r="O127" i="13"/>
  <c r="O128" i="13" s="1"/>
  <c r="N127" i="13"/>
  <c r="N128" i="13" s="1"/>
  <c r="M127" i="13"/>
  <c r="L127" i="13"/>
  <c r="L128" i="13" s="1"/>
  <c r="J127" i="13"/>
  <c r="I127" i="13"/>
  <c r="H127" i="13"/>
  <c r="G127" i="13"/>
  <c r="G128" i="13" s="1"/>
  <c r="F127" i="13"/>
  <c r="H122" i="13"/>
  <c r="P121" i="13"/>
  <c r="M121" i="13"/>
  <c r="L121" i="13"/>
  <c r="K121" i="13"/>
  <c r="G121" i="13"/>
  <c r="E121" i="13"/>
  <c r="D121" i="13"/>
  <c r="C121" i="13"/>
  <c r="Q120" i="13"/>
  <c r="Q121" i="13" s="1"/>
  <c r="P120" i="13"/>
  <c r="O120" i="13"/>
  <c r="O121" i="13" s="1"/>
  <c r="N120" i="13"/>
  <c r="N121" i="13" s="1"/>
  <c r="M120" i="13"/>
  <c r="L120" i="13"/>
  <c r="J120" i="13"/>
  <c r="J121" i="13" s="1"/>
  <c r="I120" i="13"/>
  <c r="I121" i="13" s="1"/>
  <c r="H120" i="13"/>
  <c r="H121" i="13" s="1"/>
  <c r="G120" i="13"/>
  <c r="G122" i="13" s="1"/>
  <c r="F117" i="13"/>
  <c r="Q114" i="13"/>
  <c r="P114" i="13"/>
  <c r="O114" i="13"/>
  <c r="L114" i="13"/>
  <c r="K114" i="13"/>
  <c r="H114" i="13"/>
  <c r="G114" i="13"/>
  <c r="E114" i="13"/>
  <c r="D114" i="13"/>
  <c r="C114" i="13"/>
  <c r="Q113" i="13"/>
  <c r="P113" i="13"/>
  <c r="O113" i="13"/>
  <c r="N113" i="13"/>
  <c r="N114" i="13" s="1"/>
  <c r="M113" i="13"/>
  <c r="M114" i="13" s="1"/>
  <c r="L113" i="13"/>
  <c r="J113" i="13"/>
  <c r="J114" i="13" s="1"/>
  <c r="I113" i="13"/>
  <c r="I114" i="13" s="1"/>
  <c r="H113" i="13"/>
  <c r="G113" i="13"/>
  <c r="F113" i="13"/>
  <c r="F114" i="13" s="1"/>
  <c r="M107" i="13"/>
  <c r="L107" i="13"/>
  <c r="K107" i="13"/>
  <c r="G107" i="13"/>
  <c r="F107" i="13"/>
  <c r="E107" i="13"/>
  <c r="D107" i="13"/>
  <c r="C107" i="13"/>
  <c r="Q106" i="13"/>
  <c r="Q107" i="13" s="1"/>
  <c r="P106" i="13"/>
  <c r="P107" i="13" s="1"/>
  <c r="O106" i="13"/>
  <c r="O107" i="13" s="1"/>
  <c r="N106" i="13"/>
  <c r="N107" i="13" s="1"/>
  <c r="M106" i="13"/>
  <c r="L106" i="13"/>
  <c r="J106" i="13"/>
  <c r="J107" i="13" s="1"/>
  <c r="I106" i="13"/>
  <c r="I107" i="13" s="1"/>
  <c r="H106" i="13"/>
  <c r="H107" i="13" s="1"/>
  <c r="G106" i="13"/>
  <c r="F106" i="13"/>
  <c r="L100" i="13"/>
  <c r="K100" i="13"/>
  <c r="I100" i="13"/>
  <c r="H100" i="13"/>
  <c r="G100" i="13"/>
  <c r="E100" i="13"/>
  <c r="D100" i="13"/>
  <c r="C100" i="13"/>
  <c r="Q99" i="13"/>
  <c r="Q100" i="13" s="1"/>
  <c r="P99" i="13"/>
  <c r="P100" i="13" s="1"/>
  <c r="O99" i="13"/>
  <c r="O100" i="13" s="1"/>
  <c r="N99" i="13"/>
  <c r="N100" i="13" s="1"/>
  <c r="M99" i="13"/>
  <c r="M100" i="13" s="1"/>
  <c r="L99" i="13"/>
  <c r="J99" i="13"/>
  <c r="J100" i="13" s="1"/>
  <c r="I99" i="13"/>
  <c r="H99" i="13"/>
  <c r="G99" i="13"/>
  <c r="F99" i="13"/>
  <c r="F100" i="13" s="1"/>
  <c r="O93" i="13"/>
  <c r="K93" i="13"/>
  <c r="J93" i="13"/>
  <c r="I93" i="13"/>
  <c r="E93" i="13"/>
  <c r="D93" i="13"/>
  <c r="C93" i="13"/>
  <c r="Q92" i="13"/>
  <c r="Q93" i="13" s="1"/>
  <c r="P92" i="13"/>
  <c r="P93" i="13" s="1"/>
  <c r="O92" i="13"/>
  <c r="N92" i="13"/>
  <c r="N93" i="13" s="1"/>
  <c r="M92" i="13"/>
  <c r="M93" i="13" s="1"/>
  <c r="L92" i="13"/>
  <c r="L93" i="13" s="1"/>
  <c r="J92" i="13"/>
  <c r="I92" i="13"/>
  <c r="H92" i="13"/>
  <c r="H93" i="13" s="1"/>
  <c r="G92" i="13"/>
  <c r="G93" i="13" s="1"/>
  <c r="F92" i="13"/>
  <c r="F93" i="13" s="1"/>
  <c r="N86" i="13"/>
  <c r="M86" i="13"/>
  <c r="L86" i="13"/>
  <c r="K86" i="13"/>
  <c r="G86" i="13"/>
  <c r="E86" i="13"/>
  <c r="D86" i="13"/>
  <c r="C86" i="13"/>
  <c r="Q85" i="13"/>
  <c r="Q86" i="13" s="1"/>
  <c r="P85" i="13"/>
  <c r="P86" i="13" s="1"/>
  <c r="O85" i="13"/>
  <c r="O86" i="13" s="1"/>
  <c r="N85" i="13"/>
  <c r="M85" i="13"/>
  <c r="L85" i="13"/>
  <c r="J85" i="13"/>
  <c r="J86" i="13" s="1"/>
  <c r="I85" i="13"/>
  <c r="I86" i="13" s="1"/>
  <c r="H85" i="13"/>
  <c r="H86" i="13" s="1"/>
  <c r="G85" i="13"/>
  <c r="F85" i="13"/>
  <c r="F86" i="13" s="1"/>
  <c r="O79" i="13"/>
  <c r="N79" i="13"/>
  <c r="M79" i="13"/>
  <c r="K79" i="13"/>
  <c r="H79" i="13"/>
  <c r="E79" i="13"/>
  <c r="D79" i="13"/>
  <c r="C79" i="13"/>
  <c r="Q78" i="13"/>
  <c r="Q79" i="13" s="1"/>
  <c r="P78" i="13"/>
  <c r="P79" i="13" s="1"/>
  <c r="O78" i="13"/>
  <c r="N78" i="13"/>
  <c r="M78" i="13"/>
  <c r="L78" i="13"/>
  <c r="L79" i="13" s="1"/>
  <c r="J78" i="13"/>
  <c r="J79" i="13" s="1"/>
  <c r="I78" i="13"/>
  <c r="I79" i="13" s="1"/>
  <c r="H78" i="13"/>
  <c r="G78" i="13"/>
  <c r="G79" i="13" s="1"/>
  <c r="F78" i="13"/>
  <c r="F79" i="13" s="1"/>
  <c r="Q72" i="13"/>
  <c r="P72" i="13"/>
  <c r="O72" i="13"/>
  <c r="L72" i="13"/>
  <c r="K72" i="13"/>
  <c r="I72" i="13"/>
  <c r="H72" i="13"/>
  <c r="G72" i="13"/>
  <c r="E72" i="13"/>
  <c r="D72" i="13"/>
  <c r="C72" i="13"/>
  <c r="Q71" i="13"/>
  <c r="P71" i="13"/>
  <c r="O71" i="13"/>
  <c r="N71" i="13"/>
  <c r="N72" i="13" s="1"/>
  <c r="M71" i="13"/>
  <c r="M72" i="13" s="1"/>
  <c r="L71" i="13"/>
  <c r="J71" i="13"/>
  <c r="J72" i="13" s="1"/>
  <c r="I71" i="13"/>
  <c r="H71" i="13"/>
  <c r="G71" i="13"/>
  <c r="F71" i="13"/>
  <c r="F72" i="13" s="1"/>
  <c r="M65" i="13"/>
  <c r="L65" i="13"/>
  <c r="K65" i="13"/>
  <c r="J65" i="13"/>
  <c r="I65" i="13"/>
  <c r="H65" i="13"/>
  <c r="G65" i="13"/>
  <c r="F65" i="13"/>
  <c r="E65" i="13"/>
  <c r="D65" i="13"/>
  <c r="C65" i="13"/>
  <c r="Q64" i="13"/>
  <c r="Q65" i="13" s="1"/>
  <c r="P64" i="13"/>
  <c r="P65" i="13" s="1"/>
  <c r="O64" i="13"/>
  <c r="O65" i="13" s="1"/>
  <c r="N64" i="13"/>
  <c r="N65" i="13" s="1"/>
  <c r="M64" i="13"/>
  <c r="L64" i="13"/>
  <c r="J64" i="13"/>
  <c r="I64" i="13"/>
  <c r="H64" i="13"/>
  <c r="G64" i="13"/>
  <c r="F64" i="13"/>
  <c r="K58" i="13"/>
  <c r="J58" i="13"/>
  <c r="I58" i="13"/>
  <c r="H58" i="13"/>
  <c r="G58" i="13"/>
  <c r="E58" i="13"/>
  <c r="D58" i="13"/>
  <c r="C58" i="13"/>
  <c r="Q57" i="13"/>
  <c r="Q58" i="13" s="1"/>
  <c r="P57" i="13"/>
  <c r="P58" i="13" s="1"/>
  <c r="O57" i="13"/>
  <c r="O58" i="13" s="1"/>
  <c r="N57" i="13"/>
  <c r="N58" i="13" s="1"/>
  <c r="M57" i="13"/>
  <c r="M58" i="13" s="1"/>
  <c r="L57" i="13"/>
  <c r="L58" i="13" s="1"/>
  <c r="J57" i="13"/>
  <c r="I57" i="13"/>
  <c r="H57" i="13"/>
  <c r="G57" i="13"/>
  <c r="F57" i="13"/>
  <c r="F58" i="13" s="1"/>
  <c r="O51" i="13"/>
  <c r="K51" i="13"/>
  <c r="J51" i="13"/>
  <c r="I51" i="13"/>
  <c r="E51" i="13"/>
  <c r="D51" i="13"/>
  <c r="C51" i="13"/>
  <c r="Q50" i="13"/>
  <c r="Q51" i="13" s="1"/>
  <c r="P50" i="13"/>
  <c r="P51" i="13" s="1"/>
  <c r="O50" i="13"/>
  <c r="N50" i="13"/>
  <c r="N51" i="13" s="1"/>
  <c r="M50" i="13"/>
  <c r="M51" i="13" s="1"/>
  <c r="L50" i="13"/>
  <c r="L51" i="13" s="1"/>
  <c r="J50" i="13"/>
  <c r="I50" i="13"/>
  <c r="H50" i="13"/>
  <c r="H51" i="13" s="1"/>
  <c r="G50" i="13"/>
  <c r="G51" i="13" s="1"/>
  <c r="F50" i="13"/>
  <c r="F51" i="13" s="1"/>
  <c r="M44" i="13"/>
  <c r="L44" i="13"/>
  <c r="K44" i="13"/>
  <c r="H44" i="13"/>
  <c r="E44" i="13"/>
  <c r="D44" i="13"/>
  <c r="C44" i="13"/>
  <c r="Q43" i="13"/>
  <c r="Q44" i="13" s="1"/>
  <c r="P43" i="13"/>
  <c r="P44" i="13" s="1"/>
  <c r="O43" i="13"/>
  <c r="O44" i="13" s="1"/>
  <c r="N43" i="13"/>
  <c r="N44" i="13" s="1"/>
  <c r="M43" i="13"/>
  <c r="L43" i="13"/>
  <c r="J43" i="13"/>
  <c r="J44" i="13" s="1"/>
  <c r="I43" i="13"/>
  <c r="I44" i="13" s="1"/>
  <c r="H43" i="13"/>
  <c r="G43" i="13"/>
  <c r="G44" i="13" s="1"/>
  <c r="F43" i="13"/>
  <c r="F44" i="13" s="1"/>
  <c r="P37" i="13"/>
  <c r="O37" i="13"/>
  <c r="N37" i="13"/>
  <c r="K37" i="13"/>
  <c r="I37" i="13"/>
  <c r="H37" i="13"/>
  <c r="F37" i="13"/>
  <c r="E37" i="13"/>
  <c r="D37" i="13"/>
  <c r="C37" i="13"/>
  <c r="Q36" i="13"/>
  <c r="Q37" i="13" s="1"/>
  <c r="P36" i="13"/>
  <c r="O36" i="13"/>
  <c r="N36" i="13"/>
  <c r="M36" i="13"/>
  <c r="M37" i="13" s="1"/>
  <c r="L36" i="13"/>
  <c r="L37" i="13" s="1"/>
  <c r="J36" i="13"/>
  <c r="J37" i="13" s="1"/>
  <c r="I36" i="13"/>
  <c r="H36" i="13"/>
  <c r="G36" i="13"/>
  <c r="G37" i="13" s="1"/>
  <c r="F36" i="13"/>
  <c r="Q30" i="13"/>
  <c r="P30" i="13"/>
  <c r="L30" i="13"/>
  <c r="K30" i="13"/>
  <c r="I30" i="13"/>
  <c r="E30" i="13"/>
  <c r="D30" i="13"/>
  <c r="C30" i="13"/>
  <c r="Q29" i="13"/>
  <c r="P29" i="13"/>
  <c r="O29" i="13"/>
  <c r="O30" i="13" s="1"/>
  <c r="N29" i="13"/>
  <c r="N30" i="13" s="1"/>
  <c r="M29" i="13"/>
  <c r="M30" i="13" s="1"/>
  <c r="L29" i="13"/>
  <c r="J29" i="13"/>
  <c r="J30" i="13" s="1"/>
  <c r="I29" i="13"/>
  <c r="H29" i="13"/>
  <c r="H30" i="13" s="1"/>
  <c r="G29" i="13"/>
  <c r="G30" i="13" s="1"/>
  <c r="F29" i="13"/>
  <c r="F30" i="13" s="1"/>
  <c r="K23" i="13"/>
  <c r="I23" i="13"/>
  <c r="F23" i="13"/>
  <c r="E23" i="13"/>
  <c r="D23" i="13"/>
  <c r="C23" i="13"/>
  <c r="Q22" i="13"/>
  <c r="Q23" i="13" s="1"/>
  <c r="P22" i="13"/>
  <c r="P23" i="13" s="1"/>
  <c r="O22" i="13"/>
  <c r="O23" i="13" s="1"/>
  <c r="N22" i="13"/>
  <c r="N23" i="13" s="1"/>
  <c r="M22" i="13"/>
  <c r="M23" i="13" s="1"/>
  <c r="L22" i="13"/>
  <c r="L23" i="13" s="1"/>
  <c r="J22" i="13"/>
  <c r="J23" i="13" s="1"/>
  <c r="I22" i="13"/>
  <c r="H22" i="13"/>
  <c r="H23" i="13" s="1"/>
  <c r="G22" i="13"/>
  <c r="G23" i="13" s="1"/>
  <c r="F22" i="13"/>
  <c r="P16" i="13"/>
  <c r="K16" i="13"/>
  <c r="J16" i="13"/>
  <c r="I16" i="13"/>
  <c r="H16" i="13"/>
  <c r="G16" i="13"/>
  <c r="E16" i="13"/>
  <c r="D16" i="13"/>
  <c r="C16" i="13"/>
  <c r="Q15" i="13"/>
  <c r="Q16" i="13" s="1"/>
  <c r="P15" i="13"/>
  <c r="O15" i="13"/>
  <c r="O16" i="13" s="1"/>
  <c r="N15" i="13"/>
  <c r="N16" i="13" s="1"/>
  <c r="M15" i="13"/>
  <c r="M16" i="13" s="1"/>
  <c r="L15" i="13"/>
  <c r="L16" i="13" s="1"/>
  <c r="J15" i="13"/>
  <c r="I15" i="13"/>
  <c r="H15" i="13"/>
  <c r="G15" i="13"/>
  <c r="F15" i="13"/>
  <c r="F16" i="13" s="1"/>
  <c r="P9" i="13"/>
  <c r="N9" i="13"/>
  <c r="L9" i="13"/>
  <c r="K9" i="13"/>
  <c r="J9" i="13"/>
  <c r="I9" i="13"/>
  <c r="F9" i="13"/>
  <c r="E9" i="13"/>
  <c r="D9" i="13"/>
  <c r="C9" i="13"/>
  <c r="Q8" i="13"/>
  <c r="Q9" i="13" s="1"/>
  <c r="P8" i="13"/>
  <c r="O8" i="13"/>
  <c r="O9" i="13" s="1"/>
  <c r="N8" i="13"/>
  <c r="M8" i="13"/>
  <c r="M9" i="13" s="1"/>
  <c r="L8" i="13"/>
  <c r="J8" i="13"/>
  <c r="I8" i="13"/>
  <c r="H8" i="13"/>
  <c r="H9" i="13" s="1"/>
  <c r="G8" i="13"/>
  <c r="G9" i="13" s="1"/>
  <c r="F8" i="13"/>
  <c r="N39" i="12"/>
  <c r="M39" i="12"/>
  <c r="L39" i="12"/>
  <c r="K39" i="12"/>
  <c r="J39" i="12"/>
  <c r="I39" i="12"/>
  <c r="H39" i="12"/>
  <c r="G39" i="12"/>
  <c r="F39" i="12"/>
  <c r="E39" i="12"/>
  <c r="D39" i="12"/>
  <c r="C38" i="12"/>
  <c r="C37" i="12"/>
  <c r="C36" i="12"/>
  <c r="C35" i="12"/>
  <c r="C34" i="12"/>
  <c r="C33" i="12"/>
  <c r="C32" i="12"/>
  <c r="C30" i="12"/>
  <c r="C29" i="12"/>
  <c r="C28" i="12"/>
  <c r="C27" i="12"/>
  <c r="C26" i="12"/>
  <c r="C25" i="12"/>
  <c r="C24" i="12"/>
  <c r="C22" i="12"/>
  <c r="C21" i="12"/>
  <c r="C20" i="12"/>
  <c r="C18" i="12"/>
  <c r="C17" i="12"/>
  <c r="C16" i="12"/>
  <c r="C15" i="12"/>
  <c r="C14" i="12"/>
  <c r="C13" i="12"/>
  <c r="C12" i="12"/>
  <c r="C10" i="12"/>
  <c r="C9" i="12"/>
  <c r="C8" i="12"/>
  <c r="N5" i="12"/>
  <c r="M5" i="12"/>
  <c r="L5" i="12"/>
  <c r="K5" i="12"/>
  <c r="J5" i="12"/>
  <c r="I5" i="12"/>
  <c r="H5" i="12"/>
  <c r="G5" i="12"/>
  <c r="F5" i="12"/>
  <c r="E5" i="12"/>
  <c r="D5" i="12"/>
  <c r="C3" i="12"/>
  <c r="CJ39" i="11"/>
  <c r="CI39" i="11"/>
  <c r="CH39" i="11"/>
  <c r="CG39" i="11"/>
  <c r="CF39" i="11"/>
  <c r="CE39" i="11"/>
  <c r="CD39" i="11"/>
  <c r="BU39" i="11"/>
  <c r="BV39" i="11" s="1"/>
  <c r="BT39" i="11"/>
  <c r="BJ39" i="11"/>
  <c r="BG39" i="11"/>
  <c r="AZ39" i="11"/>
  <c r="AY39" i="11"/>
  <c r="AX39" i="11"/>
  <c r="AN39" i="11"/>
  <c r="AM39" i="11"/>
  <c r="AJ39" i="11"/>
  <c r="AG39" i="11"/>
  <c r="AD39" i="11"/>
  <c r="AA39" i="11"/>
  <c r="X39" i="11"/>
  <c r="U39" i="11"/>
  <c r="S39" i="11"/>
  <c r="BA39" i="11" s="1"/>
  <c r="P39" i="11"/>
  <c r="M39" i="11"/>
  <c r="J39" i="11"/>
  <c r="CH38" i="11"/>
  <c r="CG38" i="11"/>
  <c r="CF38" i="11"/>
  <c r="CE38" i="11"/>
  <c r="CD38" i="11"/>
  <c r="BI38" i="11" s="1"/>
  <c r="BU38" i="11"/>
  <c r="BT38" i="11"/>
  <c r="BO38" i="11"/>
  <c r="BP38" i="11" s="1"/>
  <c r="BN38" i="11"/>
  <c r="BM38" i="11"/>
  <c r="BL38" i="11"/>
  <c r="BK38" i="11"/>
  <c r="BJ38" i="11"/>
  <c r="BH38" i="11"/>
  <c r="BG38" i="11"/>
  <c r="AZ38" i="11"/>
  <c r="AY38" i="11"/>
  <c r="AX38" i="11"/>
  <c r="AN38" i="11"/>
  <c r="AM38" i="11"/>
  <c r="AJ38" i="11"/>
  <c r="AG38" i="11"/>
  <c r="AD38" i="11"/>
  <c r="AA38" i="11"/>
  <c r="X38" i="11"/>
  <c r="U38" i="11"/>
  <c r="S38" i="11"/>
  <c r="P38" i="11"/>
  <c r="M38" i="11"/>
  <c r="J38" i="11"/>
  <c r="G38" i="11"/>
  <c r="CH37" i="11"/>
  <c r="CF37" i="11"/>
  <c r="CE37" i="11"/>
  <c r="CD37" i="11"/>
  <c r="BZ37" i="11"/>
  <c r="BU37" i="11"/>
  <c r="BT37" i="11"/>
  <c r="BO37" i="11"/>
  <c r="BP37" i="11" s="1"/>
  <c r="BN37" i="11"/>
  <c r="BM37" i="11"/>
  <c r="BK37" i="11"/>
  <c r="BJ37" i="11"/>
  <c r="BG37" i="11"/>
  <c r="AX37" i="11"/>
  <c r="AV37" i="11"/>
  <c r="AZ37" i="11" s="1"/>
  <c r="AN37" i="11"/>
  <c r="AY37" i="11" s="1"/>
  <c r="AM37" i="11"/>
  <c r="AJ37" i="11"/>
  <c r="AG37" i="11"/>
  <c r="AD37" i="11"/>
  <c r="AA37" i="11"/>
  <c r="X37" i="11"/>
  <c r="U37" i="11"/>
  <c r="S37" i="11"/>
  <c r="P37" i="11"/>
  <c r="M37" i="11"/>
  <c r="J37" i="11"/>
  <c r="G37" i="11"/>
  <c r="CH36" i="11"/>
  <c r="CG36" i="11"/>
  <c r="CF36" i="11"/>
  <c r="CE36" i="11"/>
  <c r="BI36" i="11" s="1"/>
  <c r="CD36" i="11"/>
  <c r="BU36" i="11"/>
  <c r="BT36" i="11"/>
  <c r="BR36" i="11"/>
  <c r="BP36" i="11"/>
  <c r="BO36" i="11"/>
  <c r="BM36" i="11"/>
  <c r="BQ36" i="11" s="1"/>
  <c r="BL36" i="11"/>
  <c r="BK36" i="11"/>
  <c r="BJ36" i="11"/>
  <c r="BH36" i="11"/>
  <c r="BG36" i="11"/>
  <c r="AZ36" i="11"/>
  <c r="AY36" i="11"/>
  <c r="AX36" i="11"/>
  <c r="AV36" i="11"/>
  <c r="AN36" i="11"/>
  <c r="AM36" i="11"/>
  <c r="AJ36" i="11"/>
  <c r="AG36" i="11"/>
  <c r="AD36" i="11"/>
  <c r="AA36" i="11"/>
  <c r="X36" i="11"/>
  <c r="U36" i="11"/>
  <c r="S36" i="11"/>
  <c r="BB36" i="11" s="1"/>
  <c r="P36" i="11"/>
  <c r="M36" i="11"/>
  <c r="J36" i="11"/>
  <c r="G36" i="11"/>
  <c r="CH35" i="11"/>
  <c r="CG35" i="11"/>
  <c r="CF35" i="11"/>
  <c r="CE35" i="11"/>
  <c r="CD35" i="11"/>
  <c r="BZ35" i="11"/>
  <c r="BH35" i="11" s="1"/>
  <c r="BU35" i="11"/>
  <c r="BT35" i="11"/>
  <c r="BP35" i="11"/>
  <c r="BO35" i="11"/>
  <c r="BM35" i="11"/>
  <c r="BN35" i="11" s="1"/>
  <c r="BL35" i="11"/>
  <c r="BK35" i="11"/>
  <c r="BJ35" i="11"/>
  <c r="BG35" i="11"/>
  <c r="AX35" i="11"/>
  <c r="AV35" i="11"/>
  <c r="AZ35" i="11" s="1"/>
  <c r="AN35" i="11"/>
  <c r="AY35" i="11" s="1"/>
  <c r="AM35" i="11"/>
  <c r="AJ35" i="11"/>
  <c r="AG35" i="11"/>
  <c r="AD35" i="11"/>
  <c r="AA35" i="11"/>
  <c r="X35" i="11"/>
  <c r="U35" i="11"/>
  <c r="S35" i="11"/>
  <c r="P35" i="11"/>
  <c r="M35" i="11"/>
  <c r="J35" i="11"/>
  <c r="G35" i="11"/>
  <c r="CH34" i="11"/>
  <c r="CG34" i="11"/>
  <c r="CF34" i="11"/>
  <c r="CE34" i="11"/>
  <c r="CD34" i="11"/>
  <c r="BZ34" i="11"/>
  <c r="BV34" i="11"/>
  <c r="BU34" i="11"/>
  <c r="BT34" i="11"/>
  <c r="BQ34" i="11"/>
  <c r="BR34" i="11" s="1"/>
  <c r="BP34" i="11"/>
  <c r="BO34" i="11"/>
  <c r="BM34" i="11"/>
  <c r="BN34" i="11" s="1"/>
  <c r="BK34" i="11"/>
  <c r="BL34" i="11" s="1"/>
  <c r="BJ34" i="11"/>
  <c r="BI34" i="11"/>
  <c r="BH34" i="11"/>
  <c r="BG34" i="11"/>
  <c r="AZ34" i="11"/>
  <c r="AY34" i="11"/>
  <c r="AX34" i="11"/>
  <c r="AV34" i="11"/>
  <c r="AN34" i="11"/>
  <c r="AM34" i="11"/>
  <c r="AJ34" i="11"/>
  <c r="AG34" i="11"/>
  <c r="AD34" i="11"/>
  <c r="AA34" i="11"/>
  <c r="X34" i="11"/>
  <c r="U34" i="11"/>
  <c r="S34" i="11"/>
  <c r="P34" i="11"/>
  <c r="M34" i="11"/>
  <c r="J34" i="11"/>
  <c r="G34" i="11"/>
  <c r="CJ33" i="11"/>
  <c r="CI33" i="11"/>
  <c r="CH33" i="11"/>
  <c r="CG33" i="11"/>
  <c r="BI33" i="11" s="1"/>
  <c r="CF33" i="11"/>
  <c r="CE33" i="11"/>
  <c r="CD33" i="11"/>
  <c r="BZ33" i="11"/>
  <c r="BV33" i="11"/>
  <c r="BU33" i="11"/>
  <c r="BT33" i="11"/>
  <c r="BO33" i="11"/>
  <c r="BP33" i="11" s="1"/>
  <c r="BM33" i="11"/>
  <c r="BK33" i="11"/>
  <c r="BL33" i="11" s="1"/>
  <c r="BH33" i="11"/>
  <c r="BG33" i="11"/>
  <c r="AZ33" i="11"/>
  <c r="AY33" i="11"/>
  <c r="AX33" i="11"/>
  <c r="AV33" i="11"/>
  <c r="AN33" i="11"/>
  <c r="AM33" i="11"/>
  <c r="AJ33" i="11"/>
  <c r="AG33" i="11"/>
  <c r="AD33" i="11"/>
  <c r="AA33" i="11"/>
  <c r="X33" i="11"/>
  <c r="U33" i="11"/>
  <c r="BA33" i="11" s="1"/>
  <c r="S33" i="11"/>
  <c r="BB33" i="11" s="1"/>
  <c r="P33" i="11"/>
  <c r="M33" i="11"/>
  <c r="J33" i="11"/>
  <c r="G33" i="11"/>
  <c r="CH32" i="11"/>
  <c r="CG32" i="11"/>
  <c r="CF32" i="11"/>
  <c r="CE32" i="11"/>
  <c r="CD32" i="11"/>
  <c r="BU32" i="11"/>
  <c r="BV32" i="11" s="1"/>
  <c r="BT32" i="11"/>
  <c r="BP32" i="11"/>
  <c r="BO32" i="11"/>
  <c r="BN32" i="11"/>
  <c r="BM32" i="11"/>
  <c r="BK32" i="11"/>
  <c r="BJ32" i="11"/>
  <c r="BI32" i="11"/>
  <c r="BH32" i="11"/>
  <c r="BG32" i="11"/>
  <c r="BC32" i="11"/>
  <c r="BB32" i="11"/>
  <c r="AZ32" i="11"/>
  <c r="AX32" i="11"/>
  <c r="AN32" i="11"/>
  <c r="AY32" i="11" s="1"/>
  <c r="AM32" i="11"/>
  <c r="AJ32" i="11"/>
  <c r="AG32" i="11"/>
  <c r="AD32" i="11"/>
  <c r="AA32" i="11"/>
  <c r="X32" i="11"/>
  <c r="U32" i="11"/>
  <c r="BD32" i="11" s="1"/>
  <c r="S32" i="11"/>
  <c r="P32" i="11"/>
  <c r="M32" i="11"/>
  <c r="J32" i="11"/>
  <c r="G32" i="11"/>
  <c r="CJ31" i="11"/>
  <c r="CI31" i="11"/>
  <c r="CH31" i="11"/>
  <c r="CG31" i="11"/>
  <c r="CF31" i="11"/>
  <c r="CE31" i="11"/>
  <c r="BI31" i="11" s="1"/>
  <c r="CD31" i="11"/>
  <c r="BV31" i="11"/>
  <c r="BU31" i="11"/>
  <c r="BT31" i="11"/>
  <c r="BO31" i="11"/>
  <c r="BP31" i="11" s="1"/>
  <c r="BM31" i="11"/>
  <c r="BN31" i="11" s="1"/>
  <c r="BL31" i="11"/>
  <c r="BK31" i="11"/>
  <c r="BJ31" i="11"/>
  <c r="BH31" i="11"/>
  <c r="BG31" i="11"/>
  <c r="AZ31" i="11"/>
  <c r="AX31" i="11"/>
  <c r="AN31" i="11"/>
  <c r="AY31" i="11" s="1"/>
  <c r="AM31" i="11"/>
  <c r="AJ31" i="11"/>
  <c r="AG31" i="11"/>
  <c r="AD31" i="11"/>
  <c r="AA31" i="11"/>
  <c r="X31" i="11"/>
  <c r="U31" i="11"/>
  <c r="S31" i="11"/>
  <c r="P31" i="11"/>
  <c r="M31" i="11"/>
  <c r="J31" i="11"/>
  <c r="G31" i="11"/>
  <c r="CJ30" i="11"/>
  <c r="CH30" i="11"/>
  <c r="CG30" i="11"/>
  <c r="CF30" i="11"/>
  <c r="CE30" i="11"/>
  <c r="CD30" i="11"/>
  <c r="BU30" i="11"/>
  <c r="CI30" i="11" s="1"/>
  <c r="BT30" i="11"/>
  <c r="BP30" i="11"/>
  <c r="BO30" i="11"/>
  <c r="BM30" i="11"/>
  <c r="BN30" i="11" s="1"/>
  <c r="BL30" i="11"/>
  <c r="BK30" i="11"/>
  <c r="BJ30" i="11"/>
  <c r="BH30" i="11"/>
  <c r="BG30" i="11"/>
  <c r="AZ30" i="11"/>
  <c r="AY30" i="11"/>
  <c r="AX30" i="11"/>
  <c r="AN30" i="11"/>
  <c r="AM30" i="11"/>
  <c r="AJ30" i="11"/>
  <c r="AG30" i="11"/>
  <c r="AD30" i="11"/>
  <c r="AA30" i="11"/>
  <c r="X30" i="11"/>
  <c r="U30" i="11"/>
  <c r="S30" i="11"/>
  <c r="P30" i="11"/>
  <c r="M30" i="11"/>
  <c r="BB30" i="11" s="1"/>
  <c r="J30" i="11"/>
  <c r="G30" i="11"/>
  <c r="CH29" i="11"/>
  <c r="CG29" i="11"/>
  <c r="BI29" i="11" s="1"/>
  <c r="CF29" i="11"/>
  <c r="CE29" i="11"/>
  <c r="CD29" i="11"/>
  <c r="BZ29" i="11"/>
  <c r="BQ29" i="11" s="1"/>
  <c r="BR29" i="11" s="1"/>
  <c r="BU29" i="11"/>
  <c r="BV29" i="11" s="1"/>
  <c r="BT29" i="11"/>
  <c r="BP29" i="11"/>
  <c r="BO29" i="11"/>
  <c r="BN29" i="11"/>
  <c r="BM29" i="11"/>
  <c r="BL29" i="11"/>
  <c r="BK29" i="11"/>
  <c r="BG29" i="11"/>
  <c r="BC29" i="11"/>
  <c r="AY29" i="11"/>
  <c r="AX29" i="11"/>
  <c r="AV29" i="11"/>
  <c r="AZ29" i="11" s="1"/>
  <c r="AN29" i="11"/>
  <c r="AM29" i="11"/>
  <c r="AJ29" i="11"/>
  <c r="AG29" i="11"/>
  <c r="AD29" i="11"/>
  <c r="BB29" i="11" s="1"/>
  <c r="AA29" i="11"/>
  <c r="X29" i="11"/>
  <c r="U29" i="11"/>
  <c r="BA29" i="11" s="1"/>
  <c r="S29" i="11"/>
  <c r="P29" i="11"/>
  <c r="M29" i="11"/>
  <c r="J29" i="11"/>
  <c r="G29" i="11"/>
  <c r="CJ28" i="11"/>
  <c r="CI28" i="11"/>
  <c r="CH28" i="11"/>
  <c r="CG28" i="11"/>
  <c r="CF28" i="11"/>
  <c r="CE28" i="11"/>
  <c r="BI28" i="11" s="1"/>
  <c r="CD28" i="11"/>
  <c r="BV28" i="11"/>
  <c r="BU28" i="11"/>
  <c r="BT28" i="11"/>
  <c r="BO28" i="11"/>
  <c r="BP28" i="11" s="1"/>
  <c r="BM28" i="11"/>
  <c r="BL28" i="11"/>
  <c r="BK28" i="11"/>
  <c r="BJ28" i="11"/>
  <c r="BH28" i="11"/>
  <c r="BG28" i="11"/>
  <c r="AZ28" i="11"/>
  <c r="AX28" i="11"/>
  <c r="AN28" i="11"/>
  <c r="AY28" i="11" s="1"/>
  <c r="AM28" i="11"/>
  <c r="AJ28" i="11"/>
  <c r="AG28" i="11"/>
  <c r="AD28" i="11"/>
  <c r="AA28" i="11"/>
  <c r="X28" i="11"/>
  <c r="U28" i="11"/>
  <c r="S28" i="11"/>
  <c r="P28" i="11"/>
  <c r="M28" i="11"/>
  <c r="J28" i="11"/>
  <c r="G28" i="11"/>
  <c r="CJ27" i="11"/>
  <c r="CH27" i="11"/>
  <c r="CG27" i="11"/>
  <c r="CF27" i="11"/>
  <c r="CE27" i="11"/>
  <c r="CD27" i="11"/>
  <c r="BI27" i="11" s="1"/>
  <c r="BV27" i="11"/>
  <c r="BU27" i="11"/>
  <c r="CI27" i="11" s="1"/>
  <c r="BT27" i="11"/>
  <c r="BP27" i="11"/>
  <c r="BO27" i="11"/>
  <c r="BN27" i="11"/>
  <c r="BM27" i="11"/>
  <c r="BK27" i="11"/>
  <c r="BQ27" i="11" s="1"/>
  <c r="BR27" i="11" s="1"/>
  <c r="BJ27" i="11"/>
  <c r="BH27" i="11"/>
  <c r="BG27" i="11"/>
  <c r="AZ27" i="11"/>
  <c r="AX27" i="11"/>
  <c r="AN27" i="11"/>
  <c r="AY27" i="11" s="1"/>
  <c r="AM27" i="11"/>
  <c r="AJ27" i="11"/>
  <c r="AG27" i="11"/>
  <c r="AD27" i="11"/>
  <c r="AA27" i="11"/>
  <c r="X27" i="11"/>
  <c r="U27" i="11"/>
  <c r="S27" i="11"/>
  <c r="P27" i="11"/>
  <c r="M27" i="11"/>
  <c r="J27" i="11"/>
  <c r="G27" i="11"/>
  <c r="A27" i="1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CI26" i="11"/>
  <c r="CH26" i="11"/>
  <c r="CG26" i="11"/>
  <c r="CF26" i="11"/>
  <c r="CE26" i="11"/>
  <c r="BI26" i="11" s="1"/>
  <c r="CD26" i="11"/>
  <c r="BZ26" i="11"/>
  <c r="BH26" i="11" s="1"/>
  <c r="BU26" i="11"/>
  <c r="BT26" i="11"/>
  <c r="BO26" i="11"/>
  <c r="BM26" i="11"/>
  <c r="BN26" i="11" s="1"/>
  <c r="BL26" i="11"/>
  <c r="BK26" i="11"/>
  <c r="BG26" i="11"/>
  <c r="BB26" i="11"/>
  <c r="BA26" i="11"/>
  <c r="AY26" i="11"/>
  <c r="AX26" i="11"/>
  <c r="AV26" i="11"/>
  <c r="AZ26" i="11" s="1"/>
  <c r="AN26" i="11"/>
  <c r="AM26" i="11"/>
  <c r="AJ26" i="11"/>
  <c r="AG26" i="11"/>
  <c r="AD26" i="11"/>
  <c r="AA26" i="11"/>
  <c r="X26" i="11"/>
  <c r="U26" i="11"/>
  <c r="BC26" i="11" s="1"/>
  <c r="S26" i="11"/>
  <c r="P26" i="11"/>
  <c r="M26" i="11"/>
  <c r="J26" i="11"/>
  <c r="G26" i="11"/>
  <c r="A26" i="11"/>
  <c r="CH25" i="11"/>
  <c r="CF25" i="11"/>
  <c r="CE25" i="11"/>
  <c r="CD25" i="11"/>
  <c r="BZ25" i="11"/>
  <c r="CG25" i="11" s="1"/>
  <c r="BV25" i="11"/>
  <c r="BU25" i="11"/>
  <c r="BT25" i="11"/>
  <c r="BP25" i="11"/>
  <c r="BO25" i="11"/>
  <c r="BM25" i="11"/>
  <c r="BN25" i="11" s="1"/>
  <c r="BK25" i="11"/>
  <c r="BJ25" i="11"/>
  <c r="BH25" i="11"/>
  <c r="BG25" i="11"/>
  <c r="AZ25" i="11"/>
  <c r="AX25" i="11"/>
  <c r="AV25" i="11"/>
  <c r="AN25" i="11"/>
  <c r="AY25" i="11" s="1"/>
  <c r="AM25" i="11"/>
  <c r="AJ25" i="11"/>
  <c r="AG25" i="11"/>
  <c r="AD25" i="11"/>
  <c r="BB25" i="11" s="1"/>
  <c r="AA25" i="11"/>
  <c r="X25" i="11"/>
  <c r="BA25" i="11" s="1"/>
  <c r="U25" i="11"/>
  <c r="S25" i="11"/>
  <c r="P25" i="11"/>
  <c r="M25" i="11"/>
  <c r="J25" i="11"/>
  <c r="G25" i="11"/>
  <c r="CJ24" i="11"/>
  <c r="CH24" i="11"/>
  <c r="CF24" i="11"/>
  <c r="CE24" i="11"/>
  <c r="CD24" i="11"/>
  <c r="BZ24" i="11"/>
  <c r="BV24" i="11"/>
  <c r="BU24" i="11"/>
  <c r="CI24" i="11" s="1"/>
  <c r="BT24" i="11"/>
  <c r="BO24" i="11"/>
  <c r="BP24" i="11" s="1"/>
  <c r="BM24" i="11"/>
  <c r="BN24" i="11" s="1"/>
  <c r="BK24" i="11"/>
  <c r="BJ24" i="11"/>
  <c r="BG24" i="11"/>
  <c r="AY24" i="11"/>
  <c r="AX24" i="11"/>
  <c r="AV24" i="11"/>
  <c r="AZ24" i="11" s="1"/>
  <c r="AN24" i="11"/>
  <c r="AM24" i="11"/>
  <c r="AJ24" i="11"/>
  <c r="AG24" i="11"/>
  <c r="AD24" i="11"/>
  <c r="BC24" i="11" s="1"/>
  <c r="AA24" i="11"/>
  <c r="X24" i="11"/>
  <c r="U24" i="11"/>
  <c r="S24" i="11"/>
  <c r="P24" i="11"/>
  <c r="M24" i="11"/>
  <c r="J24" i="11"/>
  <c r="G24" i="11"/>
  <c r="A24" i="11"/>
  <c r="A25" i="11" s="1"/>
  <c r="CH23" i="11"/>
  <c r="CG23" i="11"/>
  <c r="CF23" i="11"/>
  <c r="CE23" i="11"/>
  <c r="CD23" i="11"/>
  <c r="BU23" i="11"/>
  <c r="BT23" i="11"/>
  <c r="BP23" i="11"/>
  <c r="BO23" i="11"/>
  <c r="BM23" i="11"/>
  <c r="BK23" i="11"/>
  <c r="BL23" i="11" s="1"/>
  <c r="BJ23" i="11"/>
  <c r="BH23" i="11"/>
  <c r="BG23" i="11"/>
  <c r="AZ23" i="11"/>
  <c r="AY23" i="11"/>
  <c r="AX23" i="11"/>
  <c r="AN23" i="11"/>
  <c r="AM23" i="11"/>
  <c r="AJ23" i="11"/>
  <c r="AG23" i="11"/>
  <c r="AD23" i="11"/>
  <c r="BB23" i="11" s="1"/>
  <c r="AA23" i="11"/>
  <c r="BD23" i="11" s="1"/>
  <c r="X23" i="11"/>
  <c r="U23" i="11"/>
  <c r="S23" i="11"/>
  <c r="P23" i="11"/>
  <c r="M23" i="11"/>
  <c r="J23" i="11"/>
  <c r="G23" i="11"/>
  <c r="CI22" i="11"/>
  <c r="CG22" i="11"/>
  <c r="CF22" i="11"/>
  <c r="CE22" i="11"/>
  <c r="CD22" i="11"/>
  <c r="BI22" i="11" s="1"/>
  <c r="CA22" i="11"/>
  <c r="CH22" i="11" s="1"/>
  <c r="BV22" i="11"/>
  <c r="BU22" i="11"/>
  <c r="CJ22" i="11" s="1"/>
  <c r="BT22" i="11"/>
  <c r="BO22" i="11"/>
  <c r="BP22" i="11" s="1"/>
  <c r="BM22" i="11"/>
  <c r="BN22" i="11" s="1"/>
  <c r="BK22" i="11"/>
  <c r="BJ22" i="11"/>
  <c r="BH22" i="11"/>
  <c r="BG22" i="11"/>
  <c r="AZ22" i="11"/>
  <c r="AX22" i="11"/>
  <c r="AV22" i="11"/>
  <c r="AN22" i="11"/>
  <c r="AY22" i="11" s="1"/>
  <c r="AM22" i="11"/>
  <c r="AJ22" i="11"/>
  <c r="AG22" i="11"/>
  <c r="AD22" i="11"/>
  <c r="AA22" i="11"/>
  <c r="X22" i="11"/>
  <c r="U22" i="11"/>
  <c r="S22" i="11"/>
  <c r="P22" i="11"/>
  <c r="M22" i="11"/>
  <c r="J22" i="11"/>
  <c r="G22" i="11"/>
  <c r="CJ21" i="11"/>
  <c r="CH21" i="11"/>
  <c r="CG21" i="11"/>
  <c r="CF21" i="11"/>
  <c r="BI21" i="11" s="1"/>
  <c r="CE21" i="11"/>
  <c r="CD21" i="11"/>
  <c r="BV21" i="11"/>
  <c r="BU21" i="11"/>
  <c r="CI21" i="11" s="1"/>
  <c r="BT21" i="11"/>
  <c r="BR21" i="11"/>
  <c r="BQ21" i="11"/>
  <c r="BP21" i="11"/>
  <c r="BO21" i="11"/>
  <c r="BN21" i="11"/>
  <c r="BM21" i="11"/>
  <c r="BL21" i="11"/>
  <c r="BK21" i="11"/>
  <c r="BJ21" i="11"/>
  <c r="BH21" i="11"/>
  <c r="BG21" i="11"/>
  <c r="BD21" i="11"/>
  <c r="AZ21" i="11"/>
  <c r="AX21" i="11"/>
  <c r="AN21" i="11"/>
  <c r="AY21" i="11" s="1"/>
  <c r="AM21" i="11"/>
  <c r="AJ21" i="11"/>
  <c r="AG21" i="11"/>
  <c r="AD21" i="11"/>
  <c r="AA21" i="11"/>
  <c r="X21" i="11"/>
  <c r="U21" i="11"/>
  <c r="BC21" i="11" s="1"/>
  <c r="S21" i="11"/>
  <c r="P21" i="11"/>
  <c r="M21" i="11"/>
  <c r="J21" i="11"/>
  <c r="BB21" i="11" s="1"/>
  <c r="G21" i="11"/>
  <c r="CJ20" i="11"/>
  <c r="CI20" i="11"/>
  <c r="CH20" i="11"/>
  <c r="CG20" i="11"/>
  <c r="CF20" i="11"/>
  <c r="CE20" i="11"/>
  <c r="BI20" i="11" s="1"/>
  <c r="CD20" i="11"/>
  <c r="BV20" i="11"/>
  <c r="BU20" i="11"/>
  <c r="BT20" i="11"/>
  <c r="BP20" i="11"/>
  <c r="BO20" i="11"/>
  <c r="BN20" i="11"/>
  <c r="BM20" i="11"/>
  <c r="BK20" i="11"/>
  <c r="BJ20" i="11"/>
  <c r="BH20" i="11"/>
  <c r="BG20" i="11"/>
  <c r="AZ20" i="11"/>
  <c r="AX20" i="11"/>
  <c r="AN20" i="11"/>
  <c r="AY20" i="11" s="1"/>
  <c r="AM20" i="11"/>
  <c r="AJ20" i="11"/>
  <c r="AG20" i="11"/>
  <c r="AD20" i="11"/>
  <c r="AA20" i="11"/>
  <c r="X20" i="11"/>
  <c r="U20" i="11"/>
  <c r="S20" i="11"/>
  <c r="P20" i="11"/>
  <c r="M20" i="11"/>
  <c r="J20" i="11"/>
  <c r="G20" i="11"/>
  <c r="CJ19" i="11"/>
  <c r="CH19" i="11"/>
  <c r="CG19" i="11"/>
  <c r="CF19" i="11"/>
  <c r="CE19" i="11"/>
  <c r="CD19" i="11"/>
  <c r="BI19" i="11" s="1"/>
  <c r="BV19" i="11"/>
  <c r="BU19" i="11"/>
  <c r="CI19" i="11" s="1"/>
  <c r="BT19" i="11"/>
  <c r="BP19" i="11"/>
  <c r="BO19" i="11"/>
  <c r="BN19" i="11"/>
  <c r="BM19" i="11"/>
  <c r="BK19" i="11"/>
  <c r="BQ19" i="11" s="1"/>
  <c r="BR19" i="11" s="1"/>
  <c r="BJ19" i="11"/>
  <c r="BH19" i="11"/>
  <c r="BG19" i="11"/>
  <c r="AZ19" i="11"/>
  <c r="AX19" i="11"/>
  <c r="AN19" i="11"/>
  <c r="AY19" i="11" s="1"/>
  <c r="AM19" i="11"/>
  <c r="AJ19" i="11"/>
  <c r="AG19" i="11"/>
  <c r="AD19" i="11"/>
  <c r="AA19" i="11"/>
  <c r="X19" i="11"/>
  <c r="U19" i="11"/>
  <c r="S19" i="11"/>
  <c r="P19" i="11"/>
  <c r="M19" i="11"/>
  <c r="J19" i="11"/>
  <c r="G19" i="11"/>
  <c r="CJ18" i="11"/>
  <c r="CI18" i="11"/>
  <c r="CH18" i="11"/>
  <c r="CG18" i="11"/>
  <c r="CF18" i="11"/>
  <c r="CE18" i="11"/>
  <c r="BI18" i="11" s="1"/>
  <c r="CD18" i="11"/>
  <c r="BU18" i="11"/>
  <c r="BV18" i="11" s="1"/>
  <c r="BT18" i="11"/>
  <c r="BQ18" i="11"/>
  <c r="BR18" i="11" s="1"/>
  <c r="BP18" i="11"/>
  <c r="BO18" i="11"/>
  <c r="BM18" i="11"/>
  <c r="BN18" i="11" s="1"/>
  <c r="BK18" i="11"/>
  <c r="BL18" i="11" s="1"/>
  <c r="BJ18" i="11"/>
  <c r="BH18" i="11"/>
  <c r="BG18" i="11"/>
  <c r="AZ18" i="11"/>
  <c r="AY18" i="11"/>
  <c r="AX18" i="11"/>
  <c r="AN18" i="11"/>
  <c r="AM18" i="11"/>
  <c r="AJ18" i="11"/>
  <c r="AG18" i="11"/>
  <c r="AD18" i="11"/>
  <c r="AA18" i="11"/>
  <c r="X18" i="11"/>
  <c r="U18" i="11"/>
  <c r="S18" i="11"/>
  <c r="P18" i="11"/>
  <c r="M18" i="11"/>
  <c r="J18" i="11"/>
  <c r="G18" i="11"/>
  <c r="CJ17" i="11"/>
  <c r="CH17" i="11"/>
  <c r="CG17" i="11"/>
  <c r="CF17" i="11"/>
  <c r="CE17" i="11"/>
  <c r="CD17" i="11"/>
  <c r="BI17" i="11" s="1"/>
  <c r="BU17" i="11"/>
  <c r="CI17" i="11" s="1"/>
  <c r="BT17" i="11"/>
  <c r="BO17" i="11"/>
  <c r="BP17" i="11" s="1"/>
  <c r="BM17" i="11"/>
  <c r="BN17" i="11" s="1"/>
  <c r="BK17" i="11"/>
  <c r="BQ17" i="11" s="1"/>
  <c r="BR17" i="11" s="1"/>
  <c r="BJ17" i="11"/>
  <c r="BH17" i="11"/>
  <c r="BG17" i="11"/>
  <c r="AZ17" i="11"/>
  <c r="AX17" i="11"/>
  <c r="AN17" i="11"/>
  <c r="AY17" i="11" s="1"/>
  <c r="AM17" i="11"/>
  <c r="AJ17" i="11"/>
  <c r="AG17" i="11"/>
  <c r="AD17" i="11"/>
  <c r="AA17" i="11"/>
  <c r="X17" i="11"/>
  <c r="U17" i="11"/>
  <c r="S17" i="11"/>
  <c r="P17" i="11"/>
  <c r="M17" i="11"/>
  <c r="J17" i="11"/>
  <c r="G17" i="11"/>
  <c r="CJ16" i="11"/>
  <c r="CI16" i="11"/>
  <c r="CH16" i="11"/>
  <c r="CF16" i="11"/>
  <c r="CE16" i="11"/>
  <c r="CD16" i="11"/>
  <c r="BZ16" i="11"/>
  <c r="BU16" i="11"/>
  <c r="BV16" i="11" s="1"/>
  <c r="BT16" i="11"/>
  <c r="BR16" i="11"/>
  <c r="BQ16" i="11"/>
  <c r="BP16" i="11"/>
  <c r="BO16" i="11"/>
  <c r="BN16" i="11"/>
  <c r="BM16" i="11"/>
  <c r="BL16" i="11"/>
  <c r="BK16" i="11"/>
  <c r="BG16" i="11"/>
  <c r="AY16" i="11"/>
  <c r="AX16" i="11"/>
  <c r="AV16" i="11"/>
  <c r="AZ16" i="11" s="1"/>
  <c r="AN16" i="11"/>
  <c r="AM16" i="11"/>
  <c r="AJ16" i="11"/>
  <c r="AG16" i="11"/>
  <c r="AD16" i="11"/>
  <c r="AA16" i="11"/>
  <c r="X16" i="11"/>
  <c r="U16" i="11"/>
  <c r="S16" i="11"/>
  <c r="P16" i="11"/>
  <c r="M16" i="11"/>
  <c r="J16" i="11"/>
  <c r="G16" i="11"/>
  <c r="CJ15" i="11"/>
  <c r="CI15" i="11"/>
  <c r="CH15" i="11"/>
  <c r="CG15" i="11"/>
  <c r="BI15" i="11" s="1"/>
  <c r="CF15" i="11"/>
  <c r="CE15" i="11"/>
  <c r="CD15" i="11"/>
  <c r="BV15" i="11"/>
  <c r="BU15" i="11"/>
  <c r="BT15" i="11"/>
  <c r="BP15" i="11"/>
  <c r="BO15" i="11"/>
  <c r="BM15" i="11"/>
  <c r="BN15" i="11" s="1"/>
  <c r="BK15" i="11"/>
  <c r="BQ15" i="11" s="1"/>
  <c r="BR15" i="11" s="1"/>
  <c r="BJ15" i="11"/>
  <c r="BH15" i="11"/>
  <c r="BG15" i="11"/>
  <c r="AZ15" i="11"/>
  <c r="AX15" i="11"/>
  <c r="AN15" i="11"/>
  <c r="AY15" i="11" s="1"/>
  <c r="AM15" i="11"/>
  <c r="AJ15" i="11"/>
  <c r="AG15" i="11"/>
  <c r="AD15" i="11"/>
  <c r="AA15" i="11"/>
  <c r="X15" i="11"/>
  <c r="U15" i="11"/>
  <c r="S15" i="11"/>
  <c r="P15" i="11"/>
  <c r="M15" i="11"/>
  <c r="J15" i="11"/>
  <c r="G15" i="11"/>
  <c r="CJ14" i="11"/>
  <c r="CH14" i="11"/>
  <c r="CG14" i="11"/>
  <c r="CF14" i="11"/>
  <c r="CE14" i="11"/>
  <c r="CD14" i="11"/>
  <c r="BV14" i="11"/>
  <c r="BU14" i="11"/>
  <c r="CI14" i="11" s="1"/>
  <c r="BT14" i="11"/>
  <c r="BP14" i="11"/>
  <c r="BO14" i="11"/>
  <c r="BM14" i="11"/>
  <c r="BN14" i="11" s="1"/>
  <c r="BK14" i="11"/>
  <c r="BQ14" i="11" s="1"/>
  <c r="BR14" i="11" s="1"/>
  <c r="BJ14" i="11"/>
  <c r="BH14" i="11"/>
  <c r="BG14" i="11"/>
  <c r="AZ14" i="11"/>
  <c r="AX14" i="11"/>
  <c r="AN14" i="11"/>
  <c r="AY14" i="11" s="1"/>
  <c r="AM14" i="11"/>
  <c r="AJ14" i="11"/>
  <c r="AG14" i="11"/>
  <c r="AD14" i="11"/>
  <c r="AA14" i="11"/>
  <c r="X14" i="11"/>
  <c r="U14" i="11"/>
  <c r="S14" i="11"/>
  <c r="P14" i="11"/>
  <c r="M14" i="11"/>
  <c r="J14" i="11"/>
  <c r="G14" i="11"/>
  <c r="CJ13" i="11"/>
  <c r="CI13" i="11"/>
  <c r="CH13" i="11"/>
  <c r="CG13" i="11"/>
  <c r="CF13" i="11"/>
  <c r="CE13" i="11"/>
  <c r="CD13" i="11"/>
  <c r="BU13" i="11"/>
  <c r="BV13" i="11" s="1"/>
  <c r="BT13" i="11"/>
  <c r="BO13" i="11"/>
  <c r="BP13" i="11" s="1"/>
  <c r="BM13" i="11"/>
  <c r="BN13" i="11" s="1"/>
  <c r="BK13" i="11"/>
  <c r="BL13" i="11" s="1"/>
  <c r="BJ13" i="11"/>
  <c r="BH13" i="11"/>
  <c r="BG13" i="11"/>
  <c r="BA13" i="11"/>
  <c r="AZ13" i="11"/>
  <c r="AX13" i="11"/>
  <c r="AN13" i="11"/>
  <c r="AY13" i="11" s="1"/>
  <c r="AM13" i="11"/>
  <c r="AJ13" i="11"/>
  <c r="AG13" i="11"/>
  <c r="AD13" i="11"/>
  <c r="AA13" i="11"/>
  <c r="X13" i="11"/>
  <c r="U13" i="11"/>
  <c r="S13" i="11"/>
  <c r="BB13" i="11" s="1"/>
  <c r="P13" i="11"/>
  <c r="M13" i="11"/>
  <c r="J13" i="11"/>
  <c r="G13" i="11"/>
  <c r="CJ12" i="11"/>
  <c r="CI12" i="11"/>
  <c r="CH12" i="11"/>
  <c r="CF12" i="11"/>
  <c r="CE12" i="11"/>
  <c r="CD12" i="11"/>
  <c r="BZ12" i="11"/>
  <c r="BV12" i="11"/>
  <c r="BU12" i="11"/>
  <c r="BT12" i="11"/>
  <c r="BP12" i="11"/>
  <c r="BO12" i="11"/>
  <c r="BN12" i="11"/>
  <c r="BM12" i="11"/>
  <c r="BK12" i="11"/>
  <c r="BG12" i="11"/>
  <c r="AX12" i="11"/>
  <c r="AV12" i="11"/>
  <c r="AZ12" i="11" s="1"/>
  <c r="AN12" i="11"/>
  <c r="AY12" i="11" s="1"/>
  <c r="AM12" i="11"/>
  <c r="AJ12" i="11"/>
  <c r="AG12" i="11"/>
  <c r="AD12" i="11"/>
  <c r="AA12" i="11"/>
  <c r="X12" i="11"/>
  <c r="U12" i="11"/>
  <c r="S12" i="11"/>
  <c r="P12" i="11"/>
  <c r="M12" i="11"/>
  <c r="J12" i="11"/>
  <c r="G12" i="11"/>
  <c r="CH11" i="11"/>
  <c r="CG11" i="11"/>
  <c r="CF11" i="11"/>
  <c r="CE11" i="11"/>
  <c r="CD11" i="11"/>
  <c r="BV11" i="11"/>
  <c r="BU11" i="11"/>
  <c r="BT11" i="11"/>
  <c r="BP11" i="11"/>
  <c r="BO11" i="11"/>
  <c r="BN11" i="11"/>
  <c r="BM11" i="11"/>
  <c r="BK11" i="11"/>
  <c r="BJ11" i="11"/>
  <c r="BI11" i="11"/>
  <c r="BH11" i="11"/>
  <c r="BG11" i="11"/>
  <c r="BB11" i="11"/>
  <c r="AZ11" i="11"/>
  <c r="AX11" i="11"/>
  <c r="AN11" i="11"/>
  <c r="AY11" i="11" s="1"/>
  <c r="AM11" i="11"/>
  <c r="AJ11" i="11"/>
  <c r="AG11" i="11"/>
  <c r="AD11" i="11"/>
  <c r="AA11" i="11"/>
  <c r="BC11" i="11" s="1"/>
  <c r="X11" i="11"/>
  <c r="U11" i="11"/>
  <c r="S11" i="11"/>
  <c r="P11" i="11"/>
  <c r="M11" i="11"/>
  <c r="J11" i="11"/>
  <c r="G11" i="11"/>
  <c r="CJ10" i="11"/>
  <c r="CI10" i="11"/>
  <c r="CH10" i="11"/>
  <c r="CG10" i="11"/>
  <c r="CF10" i="11"/>
  <c r="CE10" i="11"/>
  <c r="CD10" i="11"/>
  <c r="BV10" i="11"/>
  <c r="BU10" i="11"/>
  <c r="BT10" i="11"/>
  <c r="BP10" i="11"/>
  <c r="BO10" i="11"/>
  <c r="BM10" i="11"/>
  <c r="BN10" i="11" s="1"/>
  <c r="BK10" i="11"/>
  <c r="BJ10" i="11"/>
  <c r="BI10" i="11"/>
  <c r="BH10" i="11"/>
  <c r="BG10" i="11"/>
  <c r="AZ10" i="11"/>
  <c r="AX10" i="11"/>
  <c r="AN10" i="11"/>
  <c r="AY10" i="11" s="1"/>
  <c r="AM10" i="11"/>
  <c r="AJ10" i="11"/>
  <c r="AG10" i="11"/>
  <c r="AD10" i="11"/>
  <c r="AA10" i="11"/>
  <c r="X10" i="11"/>
  <c r="U10" i="11"/>
  <c r="S10" i="11"/>
  <c r="P10" i="11"/>
  <c r="M10" i="11"/>
  <c r="J10" i="11"/>
  <c r="G10" i="11"/>
  <c r="CJ9" i="11"/>
  <c r="CH9" i="11"/>
  <c r="CF9" i="11"/>
  <c r="CE9" i="11"/>
  <c r="CD9" i="11"/>
  <c r="BZ9" i="11"/>
  <c r="BU9" i="11"/>
  <c r="BT9" i="11"/>
  <c r="BO9" i="11"/>
  <c r="BP9" i="11" s="1"/>
  <c r="BM9" i="11"/>
  <c r="BN9" i="11" s="1"/>
  <c r="BK9" i="11"/>
  <c r="BG9" i="11"/>
  <c r="AZ9" i="11"/>
  <c r="AX9" i="11"/>
  <c r="AV9" i="11"/>
  <c r="AN9" i="11"/>
  <c r="AY9" i="11" s="1"/>
  <c r="AM9" i="11"/>
  <c r="AJ9" i="11"/>
  <c r="AG9" i="11"/>
  <c r="AD9" i="11"/>
  <c r="AA9" i="11"/>
  <c r="X9" i="11"/>
  <c r="U9" i="11"/>
  <c r="S9" i="11"/>
  <c r="BB9" i="11" s="1"/>
  <c r="P9" i="11"/>
  <c r="M9" i="11"/>
  <c r="J9" i="11"/>
  <c r="G9" i="11"/>
  <c r="CJ8" i="11"/>
  <c r="CI8" i="11"/>
  <c r="CH8" i="11"/>
  <c r="CG8" i="11"/>
  <c r="CF8" i="11"/>
  <c r="CE8" i="11"/>
  <c r="CD8" i="11"/>
  <c r="BI8" i="11" s="1"/>
  <c r="BU8" i="11"/>
  <c r="BV8" i="11" s="1"/>
  <c r="BT8" i="11"/>
  <c r="BO8" i="11"/>
  <c r="BQ8" i="11" s="1"/>
  <c r="BR8" i="11" s="1"/>
  <c r="BN8" i="11"/>
  <c r="BM8" i="11"/>
  <c r="BL8" i="11"/>
  <c r="BK8" i="11"/>
  <c r="BJ8" i="11"/>
  <c r="BH8" i="11"/>
  <c r="BG8" i="11"/>
  <c r="BD8" i="11"/>
  <c r="BC8" i="11"/>
  <c r="AZ8" i="11"/>
  <c r="AX8" i="11"/>
  <c r="AN8" i="11"/>
  <c r="AY8" i="11" s="1"/>
  <c r="AM8" i="11"/>
  <c r="AJ8" i="11"/>
  <c r="AG8" i="11"/>
  <c r="AD8" i="11"/>
  <c r="AA8" i="11"/>
  <c r="X8" i="11"/>
  <c r="U8" i="11"/>
  <c r="BA8" i="11" s="1"/>
  <c r="S8" i="11"/>
  <c r="BB8" i="11" s="1"/>
  <c r="P8" i="11"/>
  <c r="M8" i="11"/>
  <c r="J8" i="11"/>
  <c r="G8" i="11"/>
  <c r="CJ7" i="11"/>
  <c r="CI7" i="11"/>
  <c r="CH7" i="11"/>
  <c r="CG7" i="11"/>
  <c r="CF7" i="11"/>
  <c r="CE7" i="11"/>
  <c r="CD7" i="11"/>
  <c r="BV7" i="11"/>
  <c r="BU7" i="11"/>
  <c r="BT7" i="11"/>
  <c r="BO7" i="11"/>
  <c r="BP7" i="11" s="1"/>
  <c r="BN7" i="11"/>
  <c r="BM7" i="11"/>
  <c r="BL7" i="11"/>
  <c r="BK7" i="11"/>
  <c r="BJ7" i="11"/>
  <c r="BI7" i="11"/>
  <c r="BH7" i="11"/>
  <c r="BG7" i="11"/>
  <c r="AZ7" i="11"/>
  <c r="AY7" i="11"/>
  <c r="AX7" i="11"/>
  <c r="AN7" i="11"/>
  <c r="AM7" i="11"/>
  <c r="AJ7" i="11"/>
  <c r="AG7" i="11"/>
  <c r="AD7" i="11"/>
  <c r="AA7" i="11"/>
  <c r="X7" i="11"/>
  <c r="U7" i="11"/>
  <c r="S7" i="11"/>
  <c r="P7" i="11"/>
  <c r="M7" i="11"/>
  <c r="J7" i="11"/>
  <c r="G7" i="11"/>
  <c r="CH6" i="11"/>
  <c r="CF6" i="11"/>
  <c r="CE6" i="11"/>
  <c r="CD6" i="11"/>
  <c r="BZ6" i="11"/>
  <c r="CG6" i="11" s="1"/>
  <c r="BU6" i="11"/>
  <c r="BT6" i="11"/>
  <c r="BO6" i="11"/>
  <c r="BP6" i="11" s="1"/>
  <c r="BM6" i="11"/>
  <c r="BN6" i="11" s="1"/>
  <c r="BK6" i="11"/>
  <c r="BJ6" i="11"/>
  <c r="BI6" i="11"/>
  <c r="BH6" i="11"/>
  <c r="BG6" i="11"/>
  <c r="AX6" i="11"/>
  <c r="AV6" i="11"/>
  <c r="AZ6" i="11" s="1"/>
  <c r="AN6" i="11"/>
  <c r="AY6" i="11" s="1"/>
  <c r="AM6" i="11"/>
  <c r="AJ6" i="11"/>
  <c r="AG6" i="11"/>
  <c r="AD6" i="11"/>
  <c r="AA6" i="11"/>
  <c r="X6" i="11"/>
  <c r="U6" i="11"/>
  <c r="BD6" i="11" s="1"/>
  <c r="S6" i="11"/>
  <c r="P6" i="11"/>
  <c r="M6" i="11"/>
  <c r="J6" i="11"/>
  <c r="G6" i="11"/>
  <c r="BB6" i="11" s="1"/>
  <c r="CI5" i="11"/>
  <c r="CH5" i="11"/>
  <c r="CG5" i="11"/>
  <c r="CF5" i="11"/>
  <c r="CE5" i="11"/>
  <c r="BI5" i="11" s="1"/>
  <c r="CD5" i="11"/>
  <c r="BV5" i="11"/>
  <c r="BU5" i="11"/>
  <c r="CJ5" i="11" s="1"/>
  <c r="BT5" i="11"/>
  <c r="BO5" i="11"/>
  <c r="BP5" i="11" s="1"/>
  <c r="BM5" i="11"/>
  <c r="BN5" i="11" s="1"/>
  <c r="BK5" i="11"/>
  <c r="BJ5" i="11"/>
  <c r="BH5" i="11"/>
  <c r="BG5" i="11"/>
  <c r="BD5" i="11"/>
  <c r="AZ5" i="11"/>
  <c r="AX5" i="11"/>
  <c r="AN5" i="11"/>
  <c r="AY5" i="11" s="1"/>
  <c r="AM5" i="11"/>
  <c r="AJ5" i="11"/>
  <c r="AG5" i="11"/>
  <c r="AD5" i="11"/>
  <c r="AA5" i="11"/>
  <c r="X5" i="11"/>
  <c r="U5" i="11"/>
  <c r="S5" i="11"/>
  <c r="P5" i="11"/>
  <c r="M5" i="11"/>
  <c r="J5" i="11"/>
  <c r="G5" i="11"/>
  <c r="CJ4" i="11"/>
  <c r="CI4" i="11"/>
  <c r="CH4" i="11"/>
  <c r="CG4" i="11"/>
  <c r="CF4" i="11"/>
  <c r="CE4" i="11"/>
  <c r="CD4" i="11"/>
  <c r="BI4" i="11" s="1"/>
  <c r="BU4" i="11"/>
  <c r="BV4" i="11" s="1"/>
  <c r="BT4" i="11"/>
  <c r="BO4" i="11"/>
  <c r="BP4" i="11" s="1"/>
  <c r="BM4" i="11"/>
  <c r="BN4" i="11" s="1"/>
  <c r="BK4" i="11"/>
  <c r="BJ4" i="11"/>
  <c r="BH4" i="11"/>
  <c r="BG4" i="11"/>
  <c r="AZ4" i="11"/>
  <c r="AY4" i="11"/>
  <c r="AX4" i="11"/>
  <c r="AN4" i="11"/>
  <c r="AM4" i="11"/>
  <c r="AJ4" i="11"/>
  <c r="AG4" i="11"/>
  <c r="AD4" i="11"/>
  <c r="AA4" i="11"/>
  <c r="X4" i="11"/>
  <c r="U4" i="11"/>
  <c r="S4" i="11"/>
  <c r="P4" i="11"/>
  <c r="M4" i="11"/>
  <c r="J4" i="11"/>
  <c r="G4" i="11"/>
  <c r="CH3" i="11"/>
  <c r="CG3" i="11"/>
  <c r="BI3" i="11" s="1"/>
  <c r="CF3" i="11"/>
  <c r="CE3" i="11"/>
  <c r="CD3" i="11"/>
  <c r="BU3" i="11"/>
  <c r="BT3" i="11"/>
  <c r="BP3" i="11"/>
  <c r="BO3" i="11"/>
  <c r="BM3" i="11"/>
  <c r="BN3" i="11" s="1"/>
  <c r="BK3" i="11"/>
  <c r="BJ3" i="11"/>
  <c r="BH3" i="11"/>
  <c r="BG3" i="11"/>
  <c r="AZ3" i="11"/>
  <c r="AY3" i="11"/>
  <c r="AX3" i="11"/>
  <c r="AN3" i="11"/>
  <c r="AM3" i="11"/>
  <c r="AJ3" i="11"/>
  <c r="AG3" i="11"/>
  <c r="AD3" i="11"/>
  <c r="AA3" i="11"/>
  <c r="X3" i="11"/>
  <c r="U3" i="11"/>
  <c r="BD3" i="11" s="1"/>
  <c r="S3" i="11"/>
  <c r="P3" i="11"/>
  <c r="M3" i="11"/>
  <c r="J3" i="11"/>
  <c r="G3" i="11"/>
  <c r="CJ2" i="11"/>
  <c r="CI2" i="11"/>
  <c r="CH2" i="11"/>
  <c r="CG2" i="11"/>
  <c r="CF2" i="11"/>
  <c r="CE2" i="11"/>
  <c r="CD2" i="11"/>
  <c r="BI2" i="11" s="1"/>
  <c r="BZ2" i="11"/>
  <c r="BV2" i="11"/>
  <c r="BU2" i="11"/>
  <c r="BT2" i="11"/>
  <c r="BP2" i="11"/>
  <c r="BO2" i="11"/>
  <c r="BM2" i="11"/>
  <c r="BN2" i="11" s="1"/>
  <c r="BK2" i="11"/>
  <c r="BQ2" i="11" s="1"/>
  <c r="BR2" i="11" s="1"/>
  <c r="BJ2" i="11"/>
  <c r="BH2" i="11"/>
  <c r="BG2" i="11"/>
  <c r="AY2" i="11"/>
  <c r="AX2" i="11"/>
  <c r="AV2" i="11"/>
  <c r="AZ2" i="11" s="1"/>
  <c r="AN2" i="11"/>
  <c r="AM2" i="11"/>
  <c r="AJ2" i="11"/>
  <c r="AG2" i="11"/>
  <c r="AD2" i="11"/>
  <c r="AA2" i="11"/>
  <c r="X2" i="11"/>
  <c r="U2" i="11"/>
  <c r="S2" i="11"/>
  <c r="P2" i="11"/>
  <c r="M2" i="11"/>
  <c r="J2" i="11"/>
  <c r="BB2" i="11" s="1"/>
  <c r="G2" i="11"/>
  <c r="CH1" i="11"/>
  <c r="CF1" i="11"/>
  <c r="CE1" i="11"/>
  <c r="CD1" i="11"/>
  <c r="BZ1" i="11"/>
  <c r="BV1" i="11"/>
  <c r="BU1" i="11"/>
  <c r="BT1" i="11"/>
  <c r="BP1" i="11"/>
  <c r="BO1" i="11"/>
  <c r="BN1" i="11"/>
  <c r="BM1" i="11"/>
  <c r="BK1" i="11"/>
  <c r="BQ1" i="11" s="1"/>
  <c r="BR1" i="11" s="1"/>
  <c r="BJ1" i="11"/>
  <c r="BG1" i="11"/>
  <c r="AX1" i="11"/>
  <c r="AV1" i="11"/>
  <c r="AZ1" i="11" s="1"/>
  <c r="AN1" i="11"/>
  <c r="AY1" i="11" s="1"/>
  <c r="AM1" i="11"/>
  <c r="AJ1" i="11"/>
  <c r="AG1" i="11"/>
  <c r="AD1" i="11"/>
  <c r="AA1" i="11"/>
  <c r="X1" i="11"/>
  <c r="U1" i="11"/>
  <c r="S1" i="11"/>
  <c r="P1" i="11"/>
  <c r="M1" i="11"/>
  <c r="J1" i="11"/>
  <c r="G1" i="11"/>
  <c r="A1" i="11"/>
  <c r="A2" i="11" s="1"/>
  <c r="A3" i="11" s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CI22" i="10"/>
  <c r="CG22" i="10"/>
  <c r="CE22" i="10"/>
  <c r="CD22" i="10"/>
  <c r="CC22" i="10"/>
  <c r="BY22" i="10"/>
  <c r="CF22" i="10" s="1"/>
  <c r="BT22" i="10"/>
  <c r="BS22" i="10"/>
  <c r="BQ22" i="10"/>
  <c r="BO22" i="10"/>
  <c r="BM22" i="10"/>
  <c r="BK22" i="10"/>
  <c r="BJ22" i="10"/>
  <c r="BI22" i="10"/>
  <c r="BG22" i="10"/>
  <c r="BA22" i="10"/>
  <c r="AZ22" i="10"/>
  <c r="AX22" i="10"/>
  <c r="AV22" i="10"/>
  <c r="AN22" i="10"/>
  <c r="AY22" i="10" s="1"/>
  <c r="AM22" i="10"/>
  <c r="AJ22" i="10"/>
  <c r="AG22" i="10"/>
  <c r="AD22" i="10"/>
  <c r="AA22" i="10"/>
  <c r="X22" i="10"/>
  <c r="U22" i="10"/>
  <c r="S22" i="10"/>
  <c r="P22" i="10"/>
  <c r="M22" i="10"/>
  <c r="J22" i="10"/>
  <c r="G22" i="10"/>
  <c r="CI21" i="10"/>
  <c r="CH21" i="10"/>
  <c r="CG21" i="10"/>
  <c r="CF21" i="10"/>
  <c r="CE21" i="10"/>
  <c r="CD21" i="10"/>
  <c r="CC21" i="10"/>
  <c r="BI21" i="10" s="1"/>
  <c r="BY21" i="10"/>
  <c r="BU21" i="10"/>
  <c r="BT21" i="10"/>
  <c r="BS21" i="10"/>
  <c r="BQ21" i="10"/>
  <c r="BO21" i="10"/>
  <c r="BM21" i="10"/>
  <c r="BK21" i="10"/>
  <c r="BJ21" i="10"/>
  <c r="BG21" i="10"/>
  <c r="BD21" i="10"/>
  <c r="AZ21" i="10"/>
  <c r="AX21" i="10"/>
  <c r="AV21" i="10"/>
  <c r="AN21" i="10"/>
  <c r="AY21" i="10" s="1"/>
  <c r="AM21" i="10"/>
  <c r="AJ21" i="10"/>
  <c r="AG21" i="10"/>
  <c r="AD21" i="10"/>
  <c r="AA21" i="10"/>
  <c r="X21" i="10"/>
  <c r="U21" i="10"/>
  <c r="S21" i="10"/>
  <c r="BB21" i="10" s="1"/>
  <c r="P21" i="10"/>
  <c r="M21" i="10"/>
  <c r="J21" i="10"/>
  <c r="G21" i="10"/>
  <c r="CI20" i="10"/>
  <c r="CH20" i="10"/>
  <c r="CG20" i="10"/>
  <c r="CF20" i="10"/>
  <c r="CE20" i="10"/>
  <c r="CD20" i="10"/>
  <c r="CC20" i="10"/>
  <c r="BI20" i="10" s="1"/>
  <c r="BY20" i="10"/>
  <c r="BT20" i="10"/>
  <c r="BU20" i="10" s="1"/>
  <c r="BS20" i="10"/>
  <c r="BQ20" i="10"/>
  <c r="BO20" i="10"/>
  <c r="BM20" i="10"/>
  <c r="BK20" i="10"/>
  <c r="BJ20" i="10"/>
  <c r="BG20" i="10"/>
  <c r="BD20" i="10"/>
  <c r="BB20" i="10"/>
  <c r="AX20" i="10"/>
  <c r="AV20" i="10"/>
  <c r="AZ20" i="10" s="1"/>
  <c r="AN20" i="10"/>
  <c r="AY20" i="10" s="1"/>
  <c r="AM20" i="10"/>
  <c r="AJ20" i="10"/>
  <c r="AG20" i="10"/>
  <c r="AD20" i="10"/>
  <c r="AA20" i="10"/>
  <c r="X20" i="10"/>
  <c r="U20" i="10"/>
  <c r="S20" i="10"/>
  <c r="P20" i="10"/>
  <c r="M20" i="10"/>
  <c r="J20" i="10"/>
  <c r="G20" i="10"/>
  <c r="CG19" i="10"/>
  <c r="CE19" i="10"/>
  <c r="CD19" i="10"/>
  <c r="CC19" i="10"/>
  <c r="BY19" i="10"/>
  <c r="CF19" i="10" s="1"/>
  <c r="BT19" i="10"/>
  <c r="BU19" i="10" s="1"/>
  <c r="BS19" i="10"/>
  <c r="BQ19" i="10"/>
  <c r="BO19" i="10"/>
  <c r="BM19" i="10"/>
  <c r="BK19" i="10"/>
  <c r="BJ19" i="10"/>
  <c r="BG19" i="10"/>
  <c r="AZ19" i="10"/>
  <c r="AY19" i="10"/>
  <c r="AX19" i="10"/>
  <c r="AV19" i="10"/>
  <c r="AN19" i="10"/>
  <c r="AM19" i="10"/>
  <c r="AJ19" i="10"/>
  <c r="AG19" i="10"/>
  <c r="AD19" i="10"/>
  <c r="AA19" i="10"/>
  <c r="X19" i="10"/>
  <c r="U19" i="10"/>
  <c r="S19" i="10"/>
  <c r="BB19" i="10" s="1"/>
  <c r="P19" i="10"/>
  <c r="M19" i="10"/>
  <c r="J19" i="10"/>
  <c r="G19" i="10"/>
  <c r="CI18" i="10"/>
  <c r="CH18" i="10"/>
  <c r="CG18" i="10"/>
  <c r="CE18" i="10"/>
  <c r="CD18" i="10"/>
  <c r="CC18" i="10"/>
  <c r="BI18" i="10" s="1"/>
  <c r="BY18" i="10"/>
  <c r="CF18" i="10" s="1"/>
  <c r="BU18" i="10"/>
  <c r="BT18" i="10"/>
  <c r="BS18" i="10"/>
  <c r="BQ18" i="10"/>
  <c r="BO18" i="10"/>
  <c r="BM18" i="10"/>
  <c r="BJ18" i="10"/>
  <c r="BK18" i="10" s="1"/>
  <c r="BG18" i="10"/>
  <c r="AZ18" i="10"/>
  <c r="AX18" i="10"/>
  <c r="AV18" i="10"/>
  <c r="AN18" i="10"/>
  <c r="AY18" i="10" s="1"/>
  <c r="AM18" i="10"/>
  <c r="AJ18" i="10"/>
  <c r="AG18" i="10"/>
  <c r="AD18" i="10"/>
  <c r="AA18" i="10"/>
  <c r="X18" i="10"/>
  <c r="U18" i="10"/>
  <c r="S18" i="10"/>
  <c r="BC18" i="10" s="1"/>
  <c r="P18" i="10"/>
  <c r="M18" i="10"/>
  <c r="J18" i="10"/>
  <c r="G18" i="10"/>
  <c r="CI17" i="10"/>
  <c r="CH17" i="10"/>
  <c r="CG17" i="10"/>
  <c r="CF17" i="10"/>
  <c r="CE17" i="10"/>
  <c r="CD17" i="10"/>
  <c r="CC17" i="10"/>
  <c r="BI17" i="10" s="1"/>
  <c r="BY17" i="10"/>
  <c r="BU17" i="10"/>
  <c r="BT17" i="10"/>
  <c r="BS17" i="10"/>
  <c r="BQ17" i="10"/>
  <c r="BO17" i="10"/>
  <c r="BM17" i="10"/>
  <c r="BJ17" i="10"/>
  <c r="BK17" i="10" s="1"/>
  <c r="BG17" i="10"/>
  <c r="BB17" i="10"/>
  <c r="AY17" i="10"/>
  <c r="AX17" i="10"/>
  <c r="AV17" i="10"/>
  <c r="AZ17" i="10" s="1"/>
  <c r="AN17" i="10"/>
  <c r="AM17" i="10"/>
  <c r="AJ17" i="10"/>
  <c r="AG17" i="10"/>
  <c r="AD17" i="10"/>
  <c r="AA17" i="10"/>
  <c r="X17" i="10"/>
  <c r="U17" i="10"/>
  <c r="BA17" i="10" s="1"/>
  <c r="S17" i="10"/>
  <c r="P17" i="10"/>
  <c r="M17" i="10"/>
  <c r="J17" i="10"/>
  <c r="G17" i="10"/>
  <c r="CG16" i="10"/>
  <c r="CE16" i="10"/>
  <c r="CD16" i="10"/>
  <c r="CC16" i="10"/>
  <c r="BY16" i="10"/>
  <c r="CF16" i="10" s="1"/>
  <c r="BT16" i="10"/>
  <c r="BS16" i="10"/>
  <c r="BQ16" i="10"/>
  <c r="BO16" i="10"/>
  <c r="BM16" i="10"/>
  <c r="BK16" i="10"/>
  <c r="BJ16" i="10"/>
  <c r="BI16" i="10"/>
  <c r="BG16" i="10"/>
  <c r="AZ16" i="10"/>
  <c r="AY16" i="10"/>
  <c r="AX16" i="10"/>
  <c r="AV16" i="10"/>
  <c r="AN16" i="10"/>
  <c r="AM16" i="10"/>
  <c r="AJ16" i="10"/>
  <c r="AG16" i="10"/>
  <c r="AD16" i="10"/>
  <c r="AA16" i="10"/>
  <c r="X16" i="10"/>
  <c r="U16" i="10"/>
  <c r="BD16" i="10" s="1"/>
  <c r="S16" i="10"/>
  <c r="P16" i="10"/>
  <c r="M16" i="10"/>
  <c r="J16" i="10"/>
  <c r="G16" i="10"/>
  <c r="CI15" i="10"/>
  <c r="CH15" i="10"/>
  <c r="CG15" i="10"/>
  <c r="CF15" i="10"/>
  <c r="CE15" i="10"/>
  <c r="CD15" i="10"/>
  <c r="CC15" i="10"/>
  <c r="BI15" i="10" s="1"/>
  <c r="BY15" i="10"/>
  <c r="BU15" i="10"/>
  <c r="BT15" i="10"/>
  <c r="BS15" i="10"/>
  <c r="BQ15" i="10"/>
  <c r="BO15" i="10"/>
  <c r="BM15" i="10"/>
  <c r="BK15" i="10"/>
  <c r="BJ15" i="10"/>
  <c r="BG15" i="10"/>
  <c r="AZ15" i="10"/>
  <c r="AX15" i="10"/>
  <c r="AV15" i="10"/>
  <c r="AN15" i="10"/>
  <c r="AY15" i="10" s="1"/>
  <c r="AM15" i="10"/>
  <c r="AJ15" i="10"/>
  <c r="AG15" i="10"/>
  <c r="BD15" i="10" s="1"/>
  <c r="AD15" i="10"/>
  <c r="AA15" i="10"/>
  <c r="X15" i="10"/>
  <c r="U15" i="10"/>
  <c r="S15" i="10"/>
  <c r="BB15" i="10" s="1"/>
  <c r="P15" i="10"/>
  <c r="M15" i="10"/>
  <c r="J15" i="10"/>
  <c r="G15" i="10"/>
  <c r="CI14" i="10"/>
  <c r="CH14" i="10"/>
  <c r="CG14" i="10"/>
  <c r="CF14" i="10"/>
  <c r="CE14" i="10"/>
  <c r="CD14" i="10"/>
  <c r="CC14" i="10"/>
  <c r="BI14" i="10" s="1"/>
  <c r="BY14" i="10"/>
  <c r="BU14" i="10"/>
  <c r="BT14" i="10"/>
  <c r="BS14" i="10"/>
  <c r="BQ14" i="10"/>
  <c r="BO14" i="10"/>
  <c r="BM14" i="10"/>
  <c r="BK14" i="10"/>
  <c r="BJ14" i="10"/>
  <c r="BG14" i="10"/>
  <c r="AX14" i="10"/>
  <c r="AV14" i="10"/>
  <c r="AZ14" i="10" s="1"/>
  <c r="AN14" i="10"/>
  <c r="AY14" i="10" s="1"/>
  <c r="AM14" i="10"/>
  <c r="AJ14" i="10"/>
  <c r="AG14" i="10"/>
  <c r="AD14" i="10"/>
  <c r="AA14" i="10"/>
  <c r="X14" i="10"/>
  <c r="U14" i="10"/>
  <c r="S14" i="10"/>
  <c r="P14" i="10"/>
  <c r="M14" i="10"/>
  <c r="J14" i="10"/>
  <c r="G14" i="10"/>
  <c r="A14" i="10"/>
  <c r="A19" i="10" s="1"/>
  <c r="A17" i="10" s="1"/>
  <c r="A11" i="10" s="1"/>
  <c r="A16" i="10" s="1"/>
  <c r="A18" i="10" s="1"/>
  <c r="A8" i="10" s="1"/>
  <c r="A9" i="10" s="1"/>
  <c r="A22" i="10" s="1"/>
  <c r="A12" i="10" s="1"/>
  <c r="A21" i="10" s="1"/>
  <c r="A10" i="10" s="1"/>
  <c r="A13" i="10" s="1"/>
  <c r="A20" i="10" s="1"/>
  <c r="A15" i="10" s="1"/>
  <c r="CG13" i="10"/>
  <c r="CE13" i="10"/>
  <c r="CD13" i="10"/>
  <c r="CC13" i="10"/>
  <c r="BY13" i="10"/>
  <c r="CF13" i="10" s="1"/>
  <c r="BU13" i="10"/>
  <c r="BT13" i="10"/>
  <c r="BS13" i="10"/>
  <c r="BQ13" i="10"/>
  <c r="BO13" i="10"/>
  <c r="BM13" i="10"/>
  <c r="BK13" i="10"/>
  <c r="BJ13" i="10"/>
  <c r="BG13" i="10"/>
  <c r="BD13" i="10"/>
  <c r="AZ13" i="10"/>
  <c r="AY13" i="10"/>
  <c r="AX13" i="10"/>
  <c r="AV13" i="10"/>
  <c r="AN13" i="10"/>
  <c r="AM13" i="10"/>
  <c r="AJ13" i="10"/>
  <c r="AG13" i="10"/>
  <c r="AD13" i="10"/>
  <c r="BB13" i="10" s="1"/>
  <c r="AA13" i="10"/>
  <c r="X13" i="10"/>
  <c r="U13" i="10"/>
  <c r="BC13" i="10" s="1"/>
  <c r="S13" i="10"/>
  <c r="P13" i="10"/>
  <c r="M13" i="10"/>
  <c r="J13" i="10"/>
  <c r="G13" i="10"/>
  <c r="CI12" i="10"/>
  <c r="CH12" i="10"/>
  <c r="CG12" i="10"/>
  <c r="CF12" i="10"/>
  <c r="CE12" i="10"/>
  <c r="CD12" i="10"/>
  <c r="CC12" i="10"/>
  <c r="BI12" i="10" s="1"/>
  <c r="BY12" i="10"/>
  <c r="BU12" i="10"/>
  <c r="BT12" i="10"/>
  <c r="BS12" i="10"/>
  <c r="BQ12" i="10"/>
  <c r="BO12" i="10"/>
  <c r="BM12" i="10"/>
  <c r="BJ12" i="10"/>
  <c r="BK12" i="10" s="1"/>
  <c r="BG12" i="10"/>
  <c r="AZ12" i="10"/>
  <c r="AX12" i="10"/>
  <c r="AV12" i="10"/>
  <c r="AN12" i="10"/>
  <c r="AY12" i="10" s="1"/>
  <c r="AM12" i="10"/>
  <c r="AJ12" i="10"/>
  <c r="AG12" i="10"/>
  <c r="AD12" i="10"/>
  <c r="AA12" i="10"/>
  <c r="X12" i="10"/>
  <c r="U12" i="10"/>
  <c r="S12" i="10"/>
  <c r="P12" i="10"/>
  <c r="M12" i="10"/>
  <c r="J12" i="10"/>
  <c r="G12" i="10"/>
  <c r="CI11" i="10"/>
  <c r="CH11" i="10"/>
  <c r="CG11" i="10"/>
  <c r="CF11" i="10"/>
  <c r="CE11" i="10"/>
  <c r="BI11" i="10" s="1"/>
  <c r="CD11" i="10"/>
  <c r="CC11" i="10"/>
  <c r="BT11" i="10"/>
  <c r="BU11" i="10" s="1"/>
  <c r="BS11" i="10"/>
  <c r="BQ11" i="10"/>
  <c r="BO11" i="10"/>
  <c r="BM11" i="10"/>
  <c r="BK11" i="10"/>
  <c r="BJ11" i="10"/>
  <c r="BG11" i="10"/>
  <c r="BC11" i="10"/>
  <c r="AZ11" i="10"/>
  <c r="AX11" i="10"/>
  <c r="AV11" i="10"/>
  <c r="AN11" i="10"/>
  <c r="AY11" i="10" s="1"/>
  <c r="AM11" i="10"/>
  <c r="AJ11" i="10"/>
  <c r="AG11" i="10"/>
  <c r="AD11" i="10"/>
  <c r="AA11" i="10"/>
  <c r="X11" i="10"/>
  <c r="U11" i="10"/>
  <c r="BA11" i="10" s="1"/>
  <c r="S11" i="10"/>
  <c r="P11" i="10"/>
  <c r="M11" i="10"/>
  <c r="J11" i="10"/>
  <c r="G11" i="10"/>
  <c r="CI10" i="10"/>
  <c r="CH10" i="10"/>
  <c r="CG10" i="10"/>
  <c r="CF10" i="10"/>
  <c r="CE10" i="10"/>
  <c r="CD10" i="10"/>
  <c r="CC10" i="10"/>
  <c r="BY10" i="10"/>
  <c r="BU10" i="10"/>
  <c r="BT10" i="10"/>
  <c r="BS10" i="10"/>
  <c r="BQ10" i="10"/>
  <c r="BO10" i="10"/>
  <c r="BM10" i="10"/>
  <c r="BJ10" i="10"/>
  <c r="BK10" i="10" s="1"/>
  <c r="BG10" i="10"/>
  <c r="AZ10" i="10"/>
  <c r="AY10" i="10"/>
  <c r="AX10" i="10"/>
  <c r="AV10" i="10"/>
  <c r="AN10" i="10"/>
  <c r="AM10" i="10"/>
  <c r="AJ10" i="10"/>
  <c r="AG10" i="10"/>
  <c r="AD10" i="10"/>
  <c r="BB10" i="10" s="1"/>
  <c r="AA10" i="10"/>
  <c r="BD10" i="10" s="1"/>
  <c r="X10" i="10"/>
  <c r="BC10" i="10" s="1"/>
  <c r="U10" i="10"/>
  <c r="S10" i="10"/>
  <c r="P10" i="10"/>
  <c r="M10" i="10"/>
  <c r="J10" i="10"/>
  <c r="G10" i="10"/>
  <c r="CH9" i="10"/>
  <c r="CG9" i="10"/>
  <c r="CF9" i="10"/>
  <c r="CE9" i="10"/>
  <c r="BI9" i="10" s="1"/>
  <c r="CD9" i="10"/>
  <c r="CC9" i="10"/>
  <c r="BY9" i="10"/>
  <c r="BT9" i="10"/>
  <c r="BS9" i="10"/>
  <c r="BQ9" i="10"/>
  <c r="BO9" i="10"/>
  <c r="BM9" i="10"/>
  <c r="BJ9" i="10"/>
  <c r="BK9" i="10" s="1"/>
  <c r="BG9" i="10"/>
  <c r="AX9" i="10"/>
  <c r="AV9" i="10"/>
  <c r="AZ9" i="10" s="1"/>
  <c r="AN9" i="10"/>
  <c r="AY9" i="10" s="1"/>
  <c r="AM9" i="10"/>
  <c r="AJ9" i="10"/>
  <c r="AG9" i="10"/>
  <c r="AD9" i="10"/>
  <c r="AA9" i="10"/>
  <c r="X9" i="10"/>
  <c r="BD9" i="10" s="1"/>
  <c r="U9" i="10"/>
  <c r="S9" i="10"/>
  <c r="P9" i="10"/>
  <c r="M9" i="10"/>
  <c r="J9" i="10"/>
  <c r="G9" i="10"/>
  <c r="CI8" i="10"/>
  <c r="CH8" i="10"/>
  <c r="CG8" i="10"/>
  <c r="CF8" i="10"/>
  <c r="CE8" i="10"/>
  <c r="BI8" i="10" s="1"/>
  <c r="CD8" i="10"/>
  <c r="CC8" i="10"/>
  <c r="BY8" i="10"/>
  <c r="BT8" i="10"/>
  <c r="BU8" i="10" s="1"/>
  <c r="BS8" i="10"/>
  <c r="BQ8" i="10"/>
  <c r="BO8" i="10"/>
  <c r="BM8" i="10"/>
  <c r="BJ8" i="10"/>
  <c r="BK8" i="10" s="1"/>
  <c r="BG8" i="10"/>
  <c r="AX8" i="10"/>
  <c r="AV8" i="10"/>
  <c r="AZ8" i="10" s="1"/>
  <c r="AN8" i="10"/>
  <c r="AY8" i="10" s="1"/>
  <c r="AM8" i="10"/>
  <c r="AJ8" i="10"/>
  <c r="AG8" i="10"/>
  <c r="AD8" i="10"/>
  <c r="AA8" i="10"/>
  <c r="X8" i="10"/>
  <c r="U8" i="10"/>
  <c r="S8" i="10"/>
  <c r="P8" i="10"/>
  <c r="M8" i="10"/>
  <c r="J8" i="10"/>
  <c r="G8" i="10"/>
  <c r="BA8" i="10" s="1"/>
  <c r="J34" i="9"/>
  <c r="V28" i="9"/>
  <c r="U28" i="9"/>
  <c r="S28" i="9"/>
  <c r="P28" i="9"/>
  <c r="J28" i="9"/>
  <c r="V22" i="9"/>
  <c r="S22" i="9"/>
  <c r="P22" i="9"/>
  <c r="M22" i="9"/>
  <c r="J22" i="9"/>
  <c r="CJ15" i="9"/>
  <c r="CI15" i="9"/>
  <c r="CH15" i="9"/>
  <c r="CG15" i="9"/>
  <c r="CF15" i="9"/>
  <c r="CE15" i="9"/>
  <c r="CD15" i="9"/>
  <c r="BV15" i="9"/>
  <c r="BU15" i="9"/>
  <c r="BT15" i="9"/>
  <c r="BH15" i="9"/>
  <c r="BC15" i="9"/>
  <c r="BA15" i="9"/>
  <c r="AY15" i="9"/>
  <c r="AO15" i="9"/>
  <c r="AZ15" i="9" s="1"/>
  <c r="AN15" i="9"/>
  <c r="AK15" i="9"/>
  <c r="AH15" i="9"/>
  <c r="AE15" i="9"/>
  <c r="AB15" i="9"/>
  <c r="Y15" i="9"/>
  <c r="V15" i="9"/>
  <c r="BD15" i="9" s="1"/>
  <c r="T15" i="9"/>
  <c r="Q15" i="9"/>
  <c r="N15" i="9"/>
  <c r="K15" i="9"/>
  <c r="CJ14" i="9"/>
  <c r="CI14" i="9"/>
  <c r="CH14" i="9"/>
  <c r="CG14" i="9"/>
  <c r="CF14" i="9"/>
  <c r="CE14" i="9"/>
  <c r="CD14" i="9"/>
  <c r="BJ14" i="9" s="1"/>
  <c r="BV14" i="9"/>
  <c r="BU14" i="9"/>
  <c r="BT14" i="9"/>
  <c r="BR14" i="9"/>
  <c r="BP14" i="9"/>
  <c r="BN14" i="9"/>
  <c r="BL14" i="9"/>
  <c r="BH14" i="9"/>
  <c r="BA14" i="9"/>
  <c r="AZ14" i="9"/>
  <c r="AY14" i="9"/>
  <c r="AO14" i="9"/>
  <c r="AN14" i="9"/>
  <c r="AK14" i="9"/>
  <c r="AH14" i="9"/>
  <c r="AE14" i="9"/>
  <c r="AB14" i="9"/>
  <c r="Y14" i="9"/>
  <c r="V14" i="9"/>
  <c r="T14" i="9"/>
  <c r="BB14" i="9" s="1"/>
  <c r="Q14" i="9"/>
  <c r="N14" i="9"/>
  <c r="K14" i="9"/>
  <c r="G14" i="9"/>
  <c r="CJ13" i="9"/>
  <c r="CI13" i="9"/>
  <c r="CH13" i="9"/>
  <c r="CG13" i="9"/>
  <c r="CF13" i="9"/>
  <c r="CE13" i="9"/>
  <c r="CD13" i="9"/>
  <c r="BV13" i="9"/>
  <c r="BU13" i="9"/>
  <c r="BT13" i="9"/>
  <c r="BR13" i="9"/>
  <c r="BP13" i="9"/>
  <c r="BN13" i="9"/>
  <c r="BL13" i="9"/>
  <c r="BH13" i="9"/>
  <c r="BA13" i="9"/>
  <c r="AY13" i="9"/>
  <c r="AO13" i="9"/>
  <c r="AZ13" i="9" s="1"/>
  <c r="AN13" i="9"/>
  <c r="AK13" i="9"/>
  <c r="AH13" i="9"/>
  <c r="AE13" i="9"/>
  <c r="AB13" i="9"/>
  <c r="Y13" i="9"/>
  <c r="V13" i="9"/>
  <c r="T13" i="9"/>
  <c r="Q13" i="9"/>
  <c r="N13" i="9"/>
  <c r="K13" i="9"/>
  <c r="G13" i="9"/>
  <c r="CJ12" i="9"/>
  <c r="CI12" i="9"/>
  <c r="CH12" i="9"/>
  <c r="CG12" i="9"/>
  <c r="CF12" i="9"/>
  <c r="CE12" i="9"/>
  <c r="CD12" i="9"/>
  <c r="BV12" i="9"/>
  <c r="BU12" i="9"/>
  <c r="BT12" i="9"/>
  <c r="BR12" i="9"/>
  <c r="BP12" i="9"/>
  <c r="BN12" i="9"/>
  <c r="BL12" i="9"/>
  <c r="BH12" i="9"/>
  <c r="BA12" i="9"/>
  <c r="AZ12" i="9"/>
  <c r="AY12" i="9"/>
  <c r="AO12" i="9"/>
  <c r="AN12" i="9"/>
  <c r="AK12" i="9"/>
  <c r="AH12" i="9"/>
  <c r="AE12" i="9"/>
  <c r="BD12" i="9" s="1"/>
  <c r="AB12" i="9"/>
  <c r="Y12" i="9"/>
  <c r="V12" i="9"/>
  <c r="T12" i="9"/>
  <c r="Q12" i="9"/>
  <c r="N12" i="9"/>
  <c r="K12" i="9"/>
  <c r="G12" i="9"/>
  <c r="CJ11" i="9"/>
  <c r="CI11" i="9"/>
  <c r="CH11" i="9"/>
  <c r="CG11" i="9"/>
  <c r="CF11" i="9"/>
  <c r="CE11" i="9"/>
  <c r="CD11" i="9"/>
  <c r="BV11" i="9"/>
  <c r="BU11" i="9"/>
  <c r="BT11" i="9"/>
  <c r="BR11" i="9"/>
  <c r="BP11" i="9"/>
  <c r="BN11" i="9"/>
  <c r="BL11" i="9"/>
  <c r="BH11" i="9"/>
  <c r="BE11" i="9"/>
  <c r="BC11" i="9"/>
  <c r="BA11" i="9"/>
  <c r="AY11" i="9"/>
  <c r="AO11" i="9"/>
  <c r="AZ11" i="9" s="1"/>
  <c r="AN11" i="9"/>
  <c r="AK11" i="9"/>
  <c r="AH11" i="9"/>
  <c r="AE11" i="9"/>
  <c r="AB11" i="9"/>
  <c r="Y11" i="9"/>
  <c r="V11" i="9"/>
  <c r="BD11" i="9" s="1"/>
  <c r="T11" i="9"/>
  <c r="Q11" i="9"/>
  <c r="N11" i="9"/>
  <c r="K11" i="9"/>
  <c r="G11" i="9"/>
  <c r="CJ10" i="9"/>
  <c r="CI10" i="9"/>
  <c r="CH10" i="9"/>
  <c r="CG10" i="9"/>
  <c r="CF10" i="9"/>
  <c r="CE10" i="9"/>
  <c r="CD10" i="9"/>
  <c r="BJ10" i="9" s="1"/>
  <c r="BV10" i="9"/>
  <c r="BU10" i="9"/>
  <c r="BT10" i="9"/>
  <c r="BR10" i="9"/>
  <c r="BP10" i="9"/>
  <c r="BN10" i="9"/>
  <c r="BL10" i="9"/>
  <c r="BH10" i="9"/>
  <c r="BB10" i="9"/>
  <c r="BA10" i="9"/>
  <c r="AY10" i="9"/>
  <c r="AO10" i="9"/>
  <c r="AZ10" i="9" s="1"/>
  <c r="AN10" i="9"/>
  <c r="AK10" i="9"/>
  <c r="AH10" i="9"/>
  <c r="AE10" i="9"/>
  <c r="AB10" i="9"/>
  <c r="Y10" i="9"/>
  <c r="V10" i="9"/>
  <c r="BD10" i="9" s="1"/>
  <c r="T10" i="9"/>
  <c r="BC10" i="9" s="1"/>
  <c r="Q10" i="9"/>
  <c r="N10" i="9"/>
  <c r="K10" i="9"/>
  <c r="G10" i="9"/>
  <c r="CJ9" i="9"/>
  <c r="CI9" i="9"/>
  <c r="CH9" i="9"/>
  <c r="CG9" i="9"/>
  <c r="CF9" i="9"/>
  <c r="CE9" i="9"/>
  <c r="CD9" i="9"/>
  <c r="BJ9" i="9" s="1"/>
  <c r="BV9" i="9"/>
  <c r="BU9" i="9"/>
  <c r="BT9" i="9"/>
  <c r="BR9" i="9"/>
  <c r="BP9" i="9"/>
  <c r="BN9" i="9"/>
  <c r="BL9" i="9"/>
  <c r="BH9" i="9"/>
  <c r="BA9" i="9"/>
  <c r="AZ9" i="9"/>
  <c r="AY9" i="9"/>
  <c r="AO9" i="9"/>
  <c r="AN9" i="9"/>
  <c r="AK9" i="9"/>
  <c r="AH9" i="9"/>
  <c r="AE9" i="9"/>
  <c r="AB9" i="9"/>
  <c r="Y9" i="9"/>
  <c r="V9" i="9"/>
  <c r="T9" i="9"/>
  <c r="Q9" i="9"/>
  <c r="N9" i="9"/>
  <c r="K9" i="9"/>
  <c r="G9" i="9"/>
  <c r="CJ8" i="9"/>
  <c r="CJ16" i="9" s="1"/>
  <c r="CH8" i="9"/>
  <c r="CG8" i="9"/>
  <c r="CF8" i="9"/>
  <c r="CE8" i="9"/>
  <c r="CD8" i="9"/>
  <c r="BU8" i="9"/>
  <c r="BT8" i="9"/>
  <c r="BR8" i="9"/>
  <c r="BP8" i="9"/>
  <c r="BN8" i="9"/>
  <c r="BL8" i="9"/>
  <c r="BH8" i="9"/>
  <c r="BD8" i="9"/>
  <c r="BC8" i="9"/>
  <c r="BA8" i="9"/>
  <c r="AY8" i="9"/>
  <c r="AO8" i="9"/>
  <c r="AZ8" i="9" s="1"/>
  <c r="AN8" i="9"/>
  <c r="AK8" i="9"/>
  <c r="AH8" i="9"/>
  <c r="AE8" i="9"/>
  <c r="AB8" i="9"/>
  <c r="Y8" i="9"/>
  <c r="V8" i="9"/>
  <c r="BE8" i="9" s="1"/>
  <c r="T8" i="9"/>
  <c r="Q8" i="9"/>
  <c r="N8" i="9"/>
  <c r="K8" i="9"/>
  <c r="G8" i="9"/>
  <c r="A8" i="9"/>
  <c r="A9" i="9" s="1"/>
  <c r="CG14" i="8"/>
  <c r="CF14" i="8"/>
  <c r="CE14" i="8"/>
  <c r="CD14" i="8"/>
  <c r="CC14" i="8"/>
  <c r="BI14" i="8" s="1"/>
  <c r="BT14" i="8"/>
  <c r="BS14" i="8"/>
  <c r="BQ14" i="8"/>
  <c r="BO14" i="8"/>
  <c r="BM14" i="8"/>
  <c r="BK14" i="8"/>
  <c r="BG14" i="8"/>
  <c r="AX14" i="8"/>
  <c r="AV14" i="8"/>
  <c r="AZ14" i="8" s="1"/>
  <c r="AN14" i="8"/>
  <c r="AY14" i="8" s="1"/>
  <c r="AM14" i="8"/>
  <c r="AJ14" i="8"/>
  <c r="AG14" i="8"/>
  <c r="AD14" i="8"/>
  <c r="AA14" i="8"/>
  <c r="X14" i="8"/>
  <c r="U14" i="8"/>
  <c r="S14" i="8"/>
  <c r="P14" i="8"/>
  <c r="M14" i="8"/>
  <c r="J14" i="8"/>
  <c r="G14" i="8"/>
  <c r="CI13" i="8"/>
  <c r="CG13" i="8"/>
  <c r="CF13" i="8"/>
  <c r="CE13" i="8"/>
  <c r="CD13" i="8"/>
  <c r="BI13" i="8" s="1"/>
  <c r="CC13" i="8"/>
  <c r="BT13" i="8"/>
  <c r="CH13" i="8" s="1"/>
  <c r="BS13" i="8"/>
  <c r="BQ13" i="8"/>
  <c r="BO13" i="8"/>
  <c r="BM13" i="8"/>
  <c r="BK13" i="8"/>
  <c r="BG13" i="8"/>
  <c r="AZ13" i="8"/>
  <c r="AX13" i="8"/>
  <c r="AN13" i="8"/>
  <c r="AY13" i="8" s="1"/>
  <c r="AM13" i="8"/>
  <c r="AJ13" i="8"/>
  <c r="AG13" i="8"/>
  <c r="AD13" i="8"/>
  <c r="AA13" i="8"/>
  <c r="X13" i="8"/>
  <c r="U13" i="8"/>
  <c r="S13" i="8"/>
  <c r="P13" i="8"/>
  <c r="M13" i="8"/>
  <c r="J13" i="8"/>
  <c r="G13" i="8"/>
  <c r="CI12" i="8"/>
  <c r="CH12" i="8"/>
  <c r="CG12" i="8"/>
  <c r="CF12" i="8"/>
  <c r="CE12" i="8"/>
  <c r="CD12" i="8"/>
  <c r="BI12" i="8" s="1"/>
  <c r="CC12" i="8"/>
  <c r="BU12" i="8"/>
  <c r="BT12" i="8"/>
  <c r="BS12" i="8"/>
  <c r="BQ12" i="8"/>
  <c r="BO12" i="8"/>
  <c r="BM12" i="8"/>
  <c r="BJ12" i="8"/>
  <c r="BK12" i="8" s="1"/>
  <c r="BG12" i="8"/>
  <c r="BD12" i="8"/>
  <c r="BA12" i="8"/>
  <c r="AX12" i="8"/>
  <c r="AV12" i="8"/>
  <c r="AZ12" i="8" s="1"/>
  <c r="AN12" i="8"/>
  <c r="AY12" i="8" s="1"/>
  <c r="AM12" i="8"/>
  <c r="AJ12" i="8"/>
  <c r="AG12" i="8"/>
  <c r="AD12" i="8"/>
  <c r="AA12" i="8"/>
  <c r="X12" i="8"/>
  <c r="U12" i="8"/>
  <c r="S12" i="8"/>
  <c r="P12" i="8"/>
  <c r="M12" i="8"/>
  <c r="J12" i="8"/>
  <c r="G12" i="8"/>
  <c r="CI11" i="8"/>
  <c r="CH11" i="8"/>
  <c r="CG11" i="8"/>
  <c r="CF11" i="8"/>
  <c r="CE11" i="8"/>
  <c r="CD11" i="8"/>
  <c r="CC11" i="8"/>
  <c r="BI11" i="8" s="1"/>
  <c r="BU11" i="8"/>
  <c r="BT11" i="8"/>
  <c r="BS11" i="8"/>
  <c r="BQ11" i="8"/>
  <c r="BO11" i="8"/>
  <c r="BM11" i="8"/>
  <c r="BK11" i="8"/>
  <c r="BG11" i="8"/>
  <c r="AZ11" i="8"/>
  <c r="AY11" i="8"/>
  <c r="AX11" i="8"/>
  <c r="AN11" i="8"/>
  <c r="AM11" i="8"/>
  <c r="AJ11" i="8"/>
  <c r="AG11" i="8"/>
  <c r="AD11" i="8"/>
  <c r="AA11" i="8"/>
  <c r="X11" i="8"/>
  <c r="U11" i="8"/>
  <c r="S11" i="8"/>
  <c r="P11" i="8"/>
  <c r="M11" i="8"/>
  <c r="J11" i="8"/>
  <c r="BB11" i="8" s="1"/>
  <c r="G11" i="8"/>
  <c r="CG10" i="8"/>
  <c r="CF10" i="8"/>
  <c r="CE10" i="8"/>
  <c r="CD10" i="8"/>
  <c r="CC10" i="8"/>
  <c r="BT10" i="8"/>
  <c r="BS10" i="8"/>
  <c r="BQ10" i="8"/>
  <c r="BO10" i="8"/>
  <c r="BM10" i="8"/>
  <c r="BK10" i="8"/>
  <c r="BJ10" i="8"/>
  <c r="BI10" i="8"/>
  <c r="BG10" i="8"/>
  <c r="AX10" i="8"/>
  <c r="AV10" i="8"/>
  <c r="AZ10" i="8" s="1"/>
  <c r="AN10" i="8"/>
  <c r="AY10" i="8" s="1"/>
  <c r="AM10" i="8"/>
  <c r="AJ10" i="8"/>
  <c r="AG10" i="8"/>
  <c r="AD10" i="8"/>
  <c r="AA10" i="8"/>
  <c r="X10" i="8"/>
  <c r="U10" i="8"/>
  <c r="S10" i="8"/>
  <c r="P10" i="8"/>
  <c r="M10" i="8"/>
  <c r="J10" i="8"/>
  <c r="G10" i="8"/>
  <c r="BA10" i="8" s="1"/>
  <c r="CG9" i="8"/>
  <c r="CF9" i="8"/>
  <c r="CE9" i="8"/>
  <c r="CD9" i="8"/>
  <c r="CC9" i="8"/>
  <c r="BT9" i="8"/>
  <c r="BS9" i="8"/>
  <c r="BQ9" i="8"/>
  <c r="BO9" i="8"/>
  <c r="BM9" i="8"/>
  <c r="BK9" i="8"/>
  <c r="BG9" i="8"/>
  <c r="AZ9" i="8"/>
  <c r="AY9" i="8"/>
  <c r="AX9" i="8"/>
  <c r="AN9" i="8"/>
  <c r="AM9" i="8"/>
  <c r="AJ9" i="8"/>
  <c r="AG9" i="8"/>
  <c r="AD9" i="8"/>
  <c r="AA9" i="8"/>
  <c r="X9" i="8"/>
  <c r="U9" i="8"/>
  <c r="S9" i="8"/>
  <c r="P9" i="8"/>
  <c r="M9" i="8"/>
  <c r="BB9" i="8" s="1"/>
  <c r="J9" i="8"/>
  <c r="G9" i="8"/>
  <c r="CH8" i="8"/>
  <c r="CG8" i="8"/>
  <c r="CF8" i="8"/>
  <c r="CE8" i="8"/>
  <c r="BI8" i="8" s="1"/>
  <c r="CD8" i="8"/>
  <c r="CC8" i="8"/>
  <c r="BU8" i="8"/>
  <c r="BT8" i="8"/>
  <c r="CI8" i="8" s="1"/>
  <c r="BS8" i="8"/>
  <c r="BQ8" i="8"/>
  <c r="BO8" i="8"/>
  <c r="BM8" i="8"/>
  <c r="BK8" i="8"/>
  <c r="BJ8" i="8"/>
  <c r="BG8" i="8"/>
  <c r="AZ8" i="8"/>
  <c r="AY8" i="8"/>
  <c r="AX8" i="8"/>
  <c r="AN8" i="8"/>
  <c r="AM8" i="8"/>
  <c r="AJ8" i="8"/>
  <c r="AG8" i="8"/>
  <c r="AD8" i="8"/>
  <c r="AA8" i="8"/>
  <c r="X8" i="8"/>
  <c r="U8" i="8"/>
  <c r="S8" i="8"/>
  <c r="P8" i="8"/>
  <c r="M8" i="8"/>
  <c r="J8" i="8"/>
  <c r="G8" i="8"/>
  <c r="T43" i="7"/>
  <c r="P43" i="7"/>
  <c r="O43" i="7"/>
  <c r="T42" i="7"/>
  <c r="S42" i="7"/>
  <c r="S43" i="7" s="1"/>
  <c r="P42" i="7"/>
  <c r="O42" i="7"/>
  <c r="X32" i="7"/>
  <c r="X33" i="7" s="1"/>
  <c r="W32" i="7"/>
  <c r="W33" i="7" s="1"/>
  <c r="T32" i="7"/>
  <c r="T33" i="7" s="1"/>
  <c r="S32" i="7"/>
  <c r="S33" i="7" s="1"/>
  <c r="P32" i="7"/>
  <c r="P33" i="7" s="1"/>
  <c r="O32" i="7"/>
  <c r="O33" i="7" s="1"/>
  <c r="W26" i="7"/>
  <c r="X25" i="7"/>
  <c r="X26" i="7" s="1"/>
  <c r="W25" i="7"/>
  <c r="T25" i="7"/>
  <c r="T26" i="7" s="1"/>
  <c r="S25" i="7"/>
  <c r="S26" i="7" s="1"/>
  <c r="P25" i="7"/>
  <c r="P26" i="7" s="1"/>
  <c r="O25" i="7"/>
  <c r="O26" i="7" s="1"/>
  <c r="CI15" i="7"/>
  <c r="CG15" i="7"/>
  <c r="CF15" i="7"/>
  <c r="CE15" i="7"/>
  <c r="CD15" i="7"/>
  <c r="CC15" i="7"/>
  <c r="BT15" i="7"/>
  <c r="CH15" i="7" s="1"/>
  <c r="BS15" i="7"/>
  <c r="BQ15" i="7"/>
  <c r="BO15" i="7"/>
  <c r="BM15" i="7"/>
  <c r="BK15" i="7"/>
  <c r="BG15" i="7"/>
  <c r="BB15" i="7"/>
  <c r="BA15" i="7"/>
  <c r="AZ15" i="7"/>
  <c r="AX15" i="7"/>
  <c r="AN15" i="7"/>
  <c r="AY15" i="7" s="1"/>
  <c r="AM15" i="7"/>
  <c r="AJ15" i="7"/>
  <c r="AG15" i="7"/>
  <c r="AD15" i="7"/>
  <c r="AA15" i="7"/>
  <c r="X15" i="7"/>
  <c r="U15" i="7"/>
  <c r="S15" i="7"/>
  <c r="P15" i="7"/>
  <c r="M15" i="7"/>
  <c r="J15" i="7"/>
  <c r="G15" i="7"/>
  <c r="CG14" i="7"/>
  <c r="CF14" i="7"/>
  <c r="CE14" i="7"/>
  <c r="CD14" i="7"/>
  <c r="CC14" i="7"/>
  <c r="BI14" i="7" s="1"/>
  <c r="BT14" i="7"/>
  <c r="BS14" i="7"/>
  <c r="BQ14" i="7"/>
  <c r="BO14" i="7"/>
  <c r="BM14" i="7"/>
  <c r="BK14" i="7"/>
  <c r="BG14" i="7"/>
  <c r="AZ14" i="7"/>
  <c r="AX14" i="7"/>
  <c r="AN14" i="7"/>
  <c r="AY14" i="7" s="1"/>
  <c r="AM14" i="7"/>
  <c r="AJ14" i="7"/>
  <c r="AG14" i="7"/>
  <c r="AD14" i="7"/>
  <c r="AA14" i="7"/>
  <c r="X14" i="7"/>
  <c r="U14" i="7"/>
  <c r="S14" i="7"/>
  <c r="P14" i="7"/>
  <c r="M14" i="7"/>
  <c r="J14" i="7"/>
  <c r="G14" i="7"/>
  <c r="CI13" i="7"/>
  <c r="CG13" i="7"/>
  <c r="CF13" i="7"/>
  <c r="CE13" i="7"/>
  <c r="CD13" i="7"/>
  <c r="CC13" i="7"/>
  <c r="BI13" i="7" s="1"/>
  <c r="BT13" i="7"/>
  <c r="BS13" i="7"/>
  <c r="BQ13" i="7"/>
  <c r="BO13" i="7"/>
  <c r="BM13" i="7"/>
  <c r="BK13" i="7"/>
  <c r="BG13" i="7"/>
  <c r="AZ13" i="7"/>
  <c r="AX13" i="7"/>
  <c r="AN13" i="7"/>
  <c r="AY13" i="7" s="1"/>
  <c r="AM13" i="7"/>
  <c r="AJ13" i="7"/>
  <c r="AG13" i="7"/>
  <c r="AD13" i="7"/>
  <c r="AA13" i="7"/>
  <c r="X13" i="7"/>
  <c r="U13" i="7"/>
  <c r="S13" i="7"/>
  <c r="P13" i="7"/>
  <c r="M13" i="7"/>
  <c r="J13" i="7"/>
  <c r="G13" i="7"/>
  <c r="CI12" i="7"/>
  <c r="CH12" i="7"/>
  <c r="CG12" i="7"/>
  <c r="CF12" i="7"/>
  <c r="CE12" i="7"/>
  <c r="CD12" i="7"/>
  <c r="CC12" i="7"/>
  <c r="BT12" i="7"/>
  <c r="BU12" i="7" s="1"/>
  <c r="BS12" i="7"/>
  <c r="BQ12" i="7"/>
  <c r="BO12" i="7"/>
  <c r="BM12" i="7"/>
  <c r="BK12" i="7"/>
  <c r="BG12" i="7"/>
  <c r="AZ12" i="7"/>
  <c r="AX12" i="7"/>
  <c r="AN12" i="7"/>
  <c r="AY12" i="7" s="1"/>
  <c r="AM12" i="7"/>
  <c r="AJ12" i="7"/>
  <c r="AG12" i="7"/>
  <c r="AD12" i="7"/>
  <c r="BB12" i="7" s="1"/>
  <c r="AA12" i="7"/>
  <c r="X12" i="7"/>
  <c r="BA12" i="7" s="1"/>
  <c r="U12" i="7"/>
  <c r="BC12" i="7" s="1"/>
  <c r="S12" i="7"/>
  <c r="P12" i="7"/>
  <c r="M12" i="7"/>
  <c r="J12" i="7"/>
  <c r="G12" i="7"/>
  <c r="CH11" i="7"/>
  <c r="CG11" i="7"/>
  <c r="CF11" i="7"/>
  <c r="CE11" i="7"/>
  <c r="CD11" i="7"/>
  <c r="CC11" i="7"/>
  <c r="BI11" i="7" s="1"/>
  <c r="BT11" i="7"/>
  <c r="CI11" i="7" s="1"/>
  <c r="BS11" i="7"/>
  <c r="BQ11" i="7"/>
  <c r="BO11" i="7"/>
  <c r="BM11" i="7"/>
  <c r="BK11" i="7"/>
  <c r="BG11" i="7"/>
  <c r="AZ11" i="7"/>
  <c r="AY11" i="7"/>
  <c r="AX11" i="7"/>
  <c r="AN11" i="7"/>
  <c r="AM11" i="7"/>
  <c r="AJ11" i="7"/>
  <c r="AG11" i="7"/>
  <c r="AD11" i="7"/>
  <c r="AA11" i="7"/>
  <c r="X11" i="7"/>
  <c r="U11" i="7"/>
  <c r="BA11" i="7" s="1"/>
  <c r="S11" i="7"/>
  <c r="P11" i="7"/>
  <c r="M11" i="7"/>
  <c r="BB11" i="7" s="1"/>
  <c r="J11" i="7"/>
  <c r="G11" i="7"/>
  <c r="CG10" i="7"/>
  <c r="CF10" i="7"/>
  <c r="CE10" i="7"/>
  <c r="CD10" i="7"/>
  <c r="CC10" i="7"/>
  <c r="BT10" i="7"/>
  <c r="BS10" i="7"/>
  <c r="BQ10" i="7"/>
  <c r="BO10" i="7"/>
  <c r="BM10" i="7"/>
  <c r="BK10" i="7"/>
  <c r="BG10" i="7"/>
  <c r="AZ10" i="7"/>
  <c r="AX10" i="7"/>
  <c r="AN10" i="7"/>
  <c r="AY10" i="7" s="1"/>
  <c r="AM10" i="7"/>
  <c r="AJ10" i="7"/>
  <c r="AG10" i="7"/>
  <c r="AD10" i="7"/>
  <c r="AA10" i="7"/>
  <c r="X10" i="7"/>
  <c r="U10" i="7"/>
  <c r="S10" i="7"/>
  <c r="P10" i="7"/>
  <c r="M10" i="7"/>
  <c r="J10" i="7"/>
  <c r="G10" i="7"/>
  <c r="CI9" i="7"/>
  <c r="CG9" i="7"/>
  <c r="CF9" i="7"/>
  <c r="CE9" i="7"/>
  <c r="CD9" i="7"/>
  <c r="CC9" i="7"/>
  <c r="BI9" i="7" s="1"/>
  <c r="BT9" i="7"/>
  <c r="CH9" i="7" s="1"/>
  <c r="BS9" i="7"/>
  <c r="BQ9" i="7"/>
  <c r="BO9" i="7"/>
  <c r="BM9" i="7"/>
  <c r="BK9" i="7"/>
  <c r="BG9" i="7"/>
  <c r="AX9" i="7"/>
  <c r="AV9" i="7"/>
  <c r="AZ9" i="7" s="1"/>
  <c r="AN9" i="7"/>
  <c r="AY9" i="7" s="1"/>
  <c r="AM9" i="7"/>
  <c r="AJ9" i="7"/>
  <c r="AG9" i="7"/>
  <c r="AD9" i="7"/>
  <c r="AA9" i="7"/>
  <c r="X9" i="7"/>
  <c r="U9" i="7"/>
  <c r="S9" i="7"/>
  <c r="P9" i="7"/>
  <c r="M9" i="7"/>
  <c r="BB9" i="7" s="1"/>
  <c r="J9" i="7"/>
  <c r="G9" i="7"/>
  <c r="CI8" i="7"/>
  <c r="CG8" i="7"/>
  <c r="CF8" i="7"/>
  <c r="CE8" i="7"/>
  <c r="CD8" i="7"/>
  <c r="CC8" i="7"/>
  <c r="BI8" i="7" s="1"/>
  <c r="BU8" i="7"/>
  <c r="BT8" i="7"/>
  <c r="CH8" i="7" s="1"/>
  <c r="BS8" i="7"/>
  <c r="BQ8" i="7"/>
  <c r="BO8" i="7"/>
  <c r="BM8" i="7"/>
  <c r="BK8" i="7"/>
  <c r="BG8" i="7"/>
  <c r="BA8" i="7"/>
  <c r="AZ8" i="7"/>
  <c r="AX8" i="7"/>
  <c r="AN8" i="7"/>
  <c r="AY8" i="7" s="1"/>
  <c r="AM8" i="7"/>
  <c r="AJ8" i="7"/>
  <c r="AG8" i="7"/>
  <c r="AD8" i="7"/>
  <c r="AA8" i="7"/>
  <c r="X8" i="7"/>
  <c r="U8" i="7"/>
  <c r="S8" i="7"/>
  <c r="P8" i="7"/>
  <c r="M8" i="7"/>
  <c r="J8" i="7"/>
  <c r="G8" i="7"/>
  <c r="BS46" i="6"/>
  <c r="BL46" i="6"/>
  <c r="BF46" i="6"/>
  <c r="BE46" i="6"/>
  <c r="CC45" i="6"/>
  <c r="CB45" i="6"/>
  <c r="CA45" i="6"/>
  <c r="BZ45" i="6"/>
  <c r="BU45" i="6"/>
  <c r="CE45" i="6" s="1"/>
  <c r="BT45" i="6"/>
  <c r="BQ45" i="6"/>
  <c r="BO45" i="6"/>
  <c r="BM45" i="6"/>
  <c r="BJ45" i="6"/>
  <c r="BK45" i="6" s="1"/>
  <c r="BG45" i="6"/>
  <c r="AY45" i="6"/>
  <c r="AW45" i="6"/>
  <c r="AM45" i="6"/>
  <c r="AX45" i="6" s="1"/>
  <c r="AL45" i="6"/>
  <c r="AI45" i="6"/>
  <c r="AF45" i="6"/>
  <c r="AC45" i="6"/>
  <c r="Z45" i="6"/>
  <c r="W45" i="6"/>
  <c r="T45" i="6"/>
  <c r="R45" i="6"/>
  <c r="O45" i="6"/>
  <c r="L45" i="6"/>
  <c r="I45" i="6"/>
  <c r="F45" i="6"/>
  <c r="CC44" i="6"/>
  <c r="CB44" i="6"/>
  <c r="CA44" i="6"/>
  <c r="BZ44" i="6"/>
  <c r="CD44" i="6" s="1"/>
  <c r="BU44" i="6"/>
  <c r="CF44" i="6" s="1"/>
  <c r="BT44" i="6"/>
  <c r="BQ44" i="6"/>
  <c r="BO44" i="6"/>
  <c r="BM44" i="6"/>
  <c r="BJ44" i="6"/>
  <c r="BK44" i="6" s="1"/>
  <c r="BG44" i="6"/>
  <c r="AY44" i="6"/>
  <c r="AW44" i="6"/>
  <c r="AM44" i="6"/>
  <c r="AX44" i="6" s="1"/>
  <c r="AL44" i="6"/>
  <c r="AI44" i="6"/>
  <c r="AF44" i="6"/>
  <c r="AC44" i="6"/>
  <c r="Z44" i="6"/>
  <c r="W44" i="6"/>
  <c r="T44" i="6"/>
  <c r="R44" i="6"/>
  <c r="O44" i="6"/>
  <c r="L44" i="6"/>
  <c r="I44" i="6"/>
  <c r="F44" i="6"/>
  <c r="CD43" i="6"/>
  <c r="CC43" i="6"/>
  <c r="CB43" i="6"/>
  <c r="CA43" i="6"/>
  <c r="BU43" i="6"/>
  <c r="CF43" i="6" s="1"/>
  <c r="BT43" i="6"/>
  <c r="BQ43" i="6"/>
  <c r="BO43" i="6"/>
  <c r="BM43" i="6"/>
  <c r="BK43" i="6"/>
  <c r="BH43" i="6"/>
  <c r="BG43" i="6"/>
  <c r="AY43" i="6"/>
  <c r="AW43" i="6"/>
  <c r="AM43" i="6"/>
  <c r="AX43" i="6" s="1"/>
  <c r="AL43" i="6"/>
  <c r="AI43" i="6"/>
  <c r="AF43" i="6"/>
  <c r="AC43" i="6"/>
  <c r="Z43" i="6"/>
  <c r="W43" i="6"/>
  <c r="T43" i="6"/>
  <c r="R43" i="6"/>
  <c r="O43" i="6"/>
  <c r="L43" i="6"/>
  <c r="I43" i="6"/>
  <c r="F43" i="6"/>
  <c r="CD42" i="6"/>
  <c r="CC42" i="6"/>
  <c r="CB42" i="6"/>
  <c r="CA42" i="6"/>
  <c r="BI42" i="6" s="1"/>
  <c r="BU42" i="6"/>
  <c r="BV42" i="6" s="1"/>
  <c r="BT42" i="6"/>
  <c r="BQ42" i="6"/>
  <c r="BO42" i="6"/>
  <c r="BM42" i="6"/>
  <c r="BK42" i="6"/>
  <c r="BH42" i="6"/>
  <c r="BG42" i="6"/>
  <c r="AY42" i="6"/>
  <c r="AW42" i="6"/>
  <c r="AM42" i="6"/>
  <c r="AX42" i="6" s="1"/>
  <c r="AL42" i="6"/>
  <c r="AI42" i="6"/>
  <c r="AF42" i="6"/>
  <c r="AC42" i="6"/>
  <c r="Z42" i="6"/>
  <c r="W42" i="6"/>
  <c r="T42" i="6"/>
  <c r="R42" i="6"/>
  <c r="O42" i="6"/>
  <c r="L42" i="6"/>
  <c r="I42" i="6"/>
  <c r="F42" i="6"/>
  <c r="CD41" i="6"/>
  <c r="CC41" i="6"/>
  <c r="CB41" i="6"/>
  <c r="CA41" i="6"/>
  <c r="BU41" i="6"/>
  <c r="BT41" i="6"/>
  <c r="BQ41" i="6"/>
  <c r="BO41" i="6"/>
  <c r="BM41" i="6"/>
  <c r="BK41" i="6"/>
  <c r="BH41" i="6"/>
  <c r="BG41" i="6"/>
  <c r="AY41" i="6"/>
  <c r="AW41" i="6"/>
  <c r="AM41" i="6"/>
  <c r="AX41" i="6" s="1"/>
  <c r="AL41" i="6"/>
  <c r="AI41" i="6"/>
  <c r="AF41" i="6"/>
  <c r="AC41" i="6"/>
  <c r="Z41" i="6"/>
  <c r="W41" i="6"/>
  <c r="T41" i="6"/>
  <c r="R41" i="6"/>
  <c r="O41" i="6"/>
  <c r="L41" i="6"/>
  <c r="I41" i="6"/>
  <c r="F41" i="6"/>
  <c r="CC40" i="6"/>
  <c r="CB40" i="6"/>
  <c r="CA40" i="6"/>
  <c r="BZ40" i="6"/>
  <c r="CD40" i="6" s="1"/>
  <c r="BU40" i="6"/>
  <c r="CF40" i="6" s="1"/>
  <c r="BT40" i="6"/>
  <c r="BQ40" i="6"/>
  <c r="BO40" i="6"/>
  <c r="BM40" i="6"/>
  <c r="BJ40" i="6"/>
  <c r="BK40" i="6" s="1"/>
  <c r="BG40" i="6"/>
  <c r="AY40" i="6"/>
  <c r="AW40" i="6"/>
  <c r="AM40" i="6"/>
  <c r="AX40" i="6" s="1"/>
  <c r="AL40" i="6"/>
  <c r="AI40" i="6"/>
  <c r="AF40" i="6"/>
  <c r="AC40" i="6"/>
  <c r="Z40" i="6"/>
  <c r="W40" i="6"/>
  <c r="T40" i="6"/>
  <c r="R40" i="6"/>
  <c r="O40" i="6"/>
  <c r="L40" i="6"/>
  <c r="I40" i="6"/>
  <c r="F40" i="6"/>
  <c r="CD39" i="6"/>
  <c r="CC39" i="6"/>
  <c r="CB39" i="6"/>
  <c r="CA39" i="6"/>
  <c r="BU39" i="6"/>
  <c r="BV39" i="6" s="1"/>
  <c r="BT39" i="6"/>
  <c r="BQ39" i="6"/>
  <c r="BO39" i="6"/>
  <c r="BM39" i="6"/>
  <c r="BJ39" i="6"/>
  <c r="BK39" i="6" s="1"/>
  <c r="BH39" i="6"/>
  <c r="BG39" i="6"/>
  <c r="AY39" i="6"/>
  <c r="AW39" i="6"/>
  <c r="AM39" i="6"/>
  <c r="AX39" i="6" s="1"/>
  <c r="AL39" i="6"/>
  <c r="AI39" i="6"/>
  <c r="AF39" i="6"/>
  <c r="AC39" i="6"/>
  <c r="Z39" i="6"/>
  <c r="W39" i="6"/>
  <c r="T39" i="6"/>
  <c r="R39" i="6"/>
  <c r="O39" i="6"/>
  <c r="L39" i="6"/>
  <c r="I39" i="6"/>
  <c r="F39" i="6"/>
  <c r="CC38" i="6"/>
  <c r="CB38" i="6"/>
  <c r="CA38" i="6"/>
  <c r="BZ38" i="6"/>
  <c r="BH38" i="6" s="1"/>
  <c r="BU38" i="6"/>
  <c r="CE38" i="6" s="1"/>
  <c r="BT38" i="6"/>
  <c r="BQ38" i="6"/>
  <c r="BO38" i="6"/>
  <c r="BM38" i="6"/>
  <c r="BJ38" i="6"/>
  <c r="BK38" i="6" s="1"/>
  <c r="BG38" i="6"/>
  <c r="AY38" i="6"/>
  <c r="AW38" i="6"/>
  <c r="AM38" i="6"/>
  <c r="AX38" i="6" s="1"/>
  <c r="AL38" i="6"/>
  <c r="AI38" i="6"/>
  <c r="AF38" i="6"/>
  <c r="AC38" i="6"/>
  <c r="Z38" i="6"/>
  <c r="W38" i="6"/>
  <c r="T38" i="6"/>
  <c r="R38" i="6"/>
  <c r="O38" i="6"/>
  <c r="L38" i="6"/>
  <c r="I38" i="6"/>
  <c r="F38" i="6"/>
  <c r="CD37" i="6"/>
  <c r="CC37" i="6"/>
  <c r="CB37" i="6"/>
  <c r="CA37" i="6"/>
  <c r="BU37" i="6"/>
  <c r="CF37" i="6" s="1"/>
  <c r="BT37" i="6"/>
  <c r="BQ37" i="6"/>
  <c r="BO37" i="6"/>
  <c r="BM37" i="6"/>
  <c r="BK37" i="6"/>
  <c r="BH37" i="6"/>
  <c r="BG37" i="6"/>
  <c r="AY37" i="6"/>
  <c r="AW37" i="6"/>
  <c r="AM37" i="6"/>
  <c r="AX37" i="6" s="1"/>
  <c r="AL37" i="6"/>
  <c r="AI37" i="6"/>
  <c r="AF37" i="6"/>
  <c r="AC37" i="6"/>
  <c r="Z37" i="6"/>
  <c r="W37" i="6"/>
  <c r="T37" i="6"/>
  <c r="R37" i="6"/>
  <c r="O37" i="6"/>
  <c r="L37" i="6"/>
  <c r="I37" i="6"/>
  <c r="F37" i="6"/>
  <c r="CD36" i="6"/>
  <c r="CC36" i="6"/>
  <c r="CB36" i="6"/>
  <c r="CA36" i="6"/>
  <c r="BU36" i="6"/>
  <c r="BV36" i="6" s="1"/>
  <c r="BT36" i="6"/>
  <c r="BQ36" i="6"/>
  <c r="BO36" i="6"/>
  <c r="BM36" i="6"/>
  <c r="BK36" i="6"/>
  <c r="BH36" i="6"/>
  <c r="BG36" i="6"/>
  <c r="AY36" i="6"/>
  <c r="AW36" i="6"/>
  <c r="AM36" i="6"/>
  <c r="AX36" i="6" s="1"/>
  <c r="AL36" i="6"/>
  <c r="AI36" i="6"/>
  <c r="AF36" i="6"/>
  <c r="AC36" i="6"/>
  <c r="Z36" i="6"/>
  <c r="W36" i="6"/>
  <c r="T36" i="6"/>
  <c r="R36" i="6"/>
  <c r="O36" i="6"/>
  <c r="L36" i="6"/>
  <c r="I36" i="6"/>
  <c r="F36" i="6"/>
  <c r="CD35" i="6"/>
  <c r="CC35" i="6"/>
  <c r="CB35" i="6"/>
  <c r="CA35" i="6"/>
  <c r="BU35" i="6"/>
  <c r="CE35" i="6" s="1"/>
  <c r="BT35" i="6"/>
  <c r="BQ35" i="6"/>
  <c r="BO35" i="6"/>
  <c r="BM35" i="6"/>
  <c r="BK35" i="6"/>
  <c r="BH35" i="6"/>
  <c r="BG35" i="6"/>
  <c r="AY35" i="6"/>
  <c r="AW35" i="6"/>
  <c r="AM35" i="6"/>
  <c r="AX35" i="6" s="1"/>
  <c r="AL35" i="6"/>
  <c r="AI35" i="6"/>
  <c r="AF35" i="6"/>
  <c r="AC35" i="6"/>
  <c r="Z35" i="6"/>
  <c r="W35" i="6"/>
  <c r="T35" i="6"/>
  <c r="R35" i="6"/>
  <c r="O35" i="6"/>
  <c r="L35" i="6"/>
  <c r="I35" i="6"/>
  <c r="F35" i="6"/>
  <c r="CD34" i="6"/>
  <c r="CC34" i="6"/>
  <c r="CB34" i="6"/>
  <c r="CA34" i="6"/>
  <c r="BU34" i="6"/>
  <c r="BT34" i="6"/>
  <c r="BQ34" i="6"/>
  <c r="BO34" i="6"/>
  <c r="BM34" i="6"/>
  <c r="BK34" i="6"/>
  <c r="BH34" i="6"/>
  <c r="BG34" i="6"/>
  <c r="AY34" i="6"/>
  <c r="AW34" i="6"/>
  <c r="AM34" i="6"/>
  <c r="AX34" i="6" s="1"/>
  <c r="AL34" i="6"/>
  <c r="AI34" i="6"/>
  <c r="AF34" i="6"/>
  <c r="AC34" i="6"/>
  <c r="Z34" i="6"/>
  <c r="W34" i="6"/>
  <c r="T34" i="6"/>
  <c r="R34" i="6"/>
  <c r="O34" i="6"/>
  <c r="L34" i="6"/>
  <c r="I34" i="6"/>
  <c r="F34" i="6"/>
  <c r="CD33" i="6"/>
  <c r="CC33" i="6"/>
  <c r="CB33" i="6"/>
  <c r="CA33" i="6"/>
  <c r="BU33" i="6"/>
  <c r="BT33" i="6"/>
  <c r="BQ33" i="6"/>
  <c r="BO33" i="6"/>
  <c r="BM33" i="6"/>
  <c r="BK33" i="6"/>
  <c r="BH33" i="6"/>
  <c r="BG33" i="6"/>
  <c r="AY33" i="6"/>
  <c r="AW33" i="6"/>
  <c r="AM33" i="6"/>
  <c r="AX33" i="6" s="1"/>
  <c r="AL33" i="6"/>
  <c r="AI33" i="6"/>
  <c r="AF33" i="6"/>
  <c r="AC33" i="6"/>
  <c r="Z33" i="6"/>
  <c r="W33" i="6"/>
  <c r="T33" i="6"/>
  <c r="R33" i="6"/>
  <c r="O33" i="6"/>
  <c r="L33" i="6"/>
  <c r="I33" i="6"/>
  <c r="F33" i="6"/>
  <c r="CD32" i="6"/>
  <c r="CC32" i="6"/>
  <c r="CB32" i="6"/>
  <c r="CA32" i="6"/>
  <c r="BU32" i="6"/>
  <c r="BV32" i="6" s="1"/>
  <c r="BT32" i="6"/>
  <c r="BQ32" i="6"/>
  <c r="BO32" i="6"/>
  <c r="BM32" i="6"/>
  <c r="BK32" i="6"/>
  <c r="BH32" i="6"/>
  <c r="BG32" i="6"/>
  <c r="AY32" i="6"/>
  <c r="AW32" i="6"/>
  <c r="AM32" i="6"/>
  <c r="AX32" i="6" s="1"/>
  <c r="AL32" i="6"/>
  <c r="AI32" i="6"/>
  <c r="AF32" i="6"/>
  <c r="AC32" i="6"/>
  <c r="Z32" i="6"/>
  <c r="W32" i="6"/>
  <c r="T32" i="6"/>
  <c r="R32" i="6"/>
  <c r="O32" i="6"/>
  <c r="L32" i="6"/>
  <c r="I32" i="6"/>
  <c r="F32" i="6"/>
  <c r="CD31" i="6"/>
  <c r="CC31" i="6"/>
  <c r="CB31" i="6"/>
  <c r="CA31" i="6"/>
  <c r="BU31" i="6"/>
  <c r="BV31" i="6" s="1"/>
  <c r="BT31" i="6"/>
  <c r="BQ31" i="6"/>
  <c r="BO31" i="6"/>
  <c r="BM31" i="6"/>
  <c r="BK31" i="6"/>
  <c r="BH31" i="6"/>
  <c r="BG31" i="6"/>
  <c r="AY31" i="6"/>
  <c r="AW31" i="6"/>
  <c r="AM31" i="6"/>
  <c r="AX31" i="6" s="1"/>
  <c r="AL31" i="6"/>
  <c r="AI31" i="6"/>
  <c r="AF31" i="6"/>
  <c r="AC31" i="6"/>
  <c r="Z31" i="6"/>
  <c r="W31" i="6"/>
  <c r="T31" i="6"/>
  <c r="R31" i="6"/>
  <c r="O31" i="6"/>
  <c r="L31" i="6"/>
  <c r="I31" i="6"/>
  <c r="F31" i="6"/>
  <c r="CD30" i="6"/>
  <c r="CC30" i="6"/>
  <c r="CB30" i="6"/>
  <c r="CA30" i="6"/>
  <c r="BU30" i="6"/>
  <c r="BT30" i="6"/>
  <c r="BQ30" i="6"/>
  <c r="BO30" i="6"/>
  <c r="BM30" i="6"/>
  <c r="BK30" i="6"/>
  <c r="BH30" i="6"/>
  <c r="BG30" i="6"/>
  <c r="AY30" i="6"/>
  <c r="AW30" i="6"/>
  <c r="AM30" i="6"/>
  <c r="AX30" i="6" s="1"/>
  <c r="AL30" i="6"/>
  <c r="AI30" i="6"/>
  <c r="AF30" i="6"/>
  <c r="AC30" i="6"/>
  <c r="Z30" i="6"/>
  <c r="W30" i="6"/>
  <c r="T30" i="6"/>
  <c r="R30" i="6"/>
  <c r="O30" i="6"/>
  <c r="L30" i="6"/>
  <c r="I30" i="6"/>
  <c r="F30" i="6"/>
  <c r="CC29" i="6"/>
  <c r="CB29" i="6"/>
  <c r="CA29" i="6"/>
  <c r="BZ29" i="6"/>
  <c r="BU29" i="6"/>
  <c r="BT29" i="6"/>
  <c r="BQ29" i="6"/>
  <c r="BO29" i="6"/>
  <c r="BM29" i="6"/>
  <c r="BJ29" i="6"/>
  <c r="BK29" i="6" s="1"/>
  <c r="BG29" i="6"/>
  <c r="AY29" i="6"/>
  <c r="AW29" i="6"/>
  <c r="AM29" i="6"/>
  <c r="AX29" i="6" s="1"/>
  <c r="AL29" i="6"/>
  <c r="AI29" i="6"/>
  <c r="AF29" i="6"/>
  <c r="AC29" i="6"/>
  <c r="Z29" i="6"/>
  <c r="W29" i="6"/>
  <c r="T29" i="6"/>
  <c r="R29" i="6"/>
  <c r="O29" i="6"/>
  <c r="L29" i="6"/>
  <c r="I29" i="6"/>
  <c r="F29" i="6"/>
  <c r="CD28" i="6"/>
  <c r="CC28" i="6"/>
  <c r="CB28" i="6"/>
  <c r="CA28" i="6"/>
  <c r="BU28" i="6"/>
  <c r="BT28" i="6"/>
  <c r="BQ28" i="6"/>
  <c r="BO28" i="6"/>
  <c r="BM28" i="6"/>
  <c r="BK28" i="6"/>
  <c r="BH28" i="6"/>
  <c r="BG28" i="6"/>
  <c r="AY28" i="6"/>
  <c r="AW28" i="6"/>
  <c r="AM28" i="6"/>
  <c r="AX28" i="6" s="1"/>
  <c r="AL28" i="6"/>
  <c r="AI28" i="6"/>
  <c r="AF28" i="6"/>
  <c r="AC28" i="6"/>
  <c r="Z28" i="6"/>
  <c r="W28" i="6"/>
  <c r="T28" i="6"/>
  <c r="R28" i="6"/>
  <c r="O28" i="6"/>
  <c r="L28" i="6"/>
  <c r="I28" i="6"/>
  <c r="F28" i="6"/>
  <c r="CD27" i="6"/>
  <c r="CC27" i="6"/>
  <c r="CB27" i="6"/>
  <c r="CA27" i="6"/>
  <c r="BU27" i="6"/>
  <c r="BV27" i="6" s="1"/>
  <c r="BT27" i="6"/>
  <c r="BQ27" i="6"/>
  <c r="BO27" i="6"/>
  <c r="BM27" i="6"/>
  <c r="BJ27" i="6"/>
  <c r="BK27" i="6" s="1"/>
  <c r="BH27" i="6"/>
  <c r="BG27" i="6"/>
  <c r="AY27" i="6"/>
  <c r="AW27" i="6"/>
  <c r="AM27" i="6"/>
  <c r="AX27" i="6" s="1"/>
  <c r="AL27" i="6"/>
  <c r="AI27" i="6"/>
  <c r="AF27" i="6"/>
  <c r="AC27" i="6"/>
  <c r="Z27" i="6"/>
  <c r="W27" i="6"/>
  <c r="T27" i="6"/>
  <c r="R27" i="6"/>
  <c r="O27" i="6"/>
  <c r="L27" i="6"/>
  <c r="I27" i="6"/>
  <c r="F27" i="6"/>
  <c r="CD26" i="6"/>
  <c r="CC26" i="6"/>
  <c r="CB26" i="6"/>
  <c r="CA26" i="6"/>
  <c r="BU26" i="6"/>
  <c r="CF26" i="6" s="1"/>
  <c r="BT26" i="6"/>
  <c r="BQ26" i="6"/>
  <c r="BO26" i="6"/>
  <c r="BM26" i="6"/>
  <c r="BK26" i="6"/>
  <c r="BH26" i="6"/>
  <c r="BG26" i="6"/>
  <c r="AY26" i="6"/>
  <c r="AW26" i="6"/>
  <c r="AM26" i="6"/>
  <c r="AX26" i="6" s="1"/>
  <c r="AL26" i="6"/>
  <c r="AI26" i="6"/>
  <c r="AF26" i="6"/>
  <c r="AC26" i="6"/>
  <c r="Z26" i="6"/>
  <c r="W26" i="6"/>
  <c r="T26" i="6"/>
  <c r="R26" i="6"/>
  <c r="O26" i="6"/>
  <c r="L26" i="6"/>
  <c r="I26" i="6"/>
  <c r="F26" i="6"/>
  <c r="CC25" i="6"/>
  <c r="CB25" i="6"/>
  <c r="CA25" i="6"/>
  <c r="BZ25" i="6"/>
  <c r="BU25" i="6"/>
  <c r="BV25" i="6" s="1"/>
  <c r="BT25" i="6"/>
  <c r="BQ25" i="6"/>
  <c r="BO25" i="6"/>
  <c r="BM25" i="6"/>
  <c r="BJ25" i="6"/>
  <c r="BK25" i="6" s="1"/>
  <c r="BG25" i="6"/>
  <c r="AY25" i="6"/>
  <c r="AW25" i="6"/>
  <c r="AM25" i="6"/>
  <c r="AX25" i="6" s="1"/>
  <c r="AL25" i="6"/>
  <c r="AI25" i="6"/>
  <c r="AF25" i="6"/>
  <c r="AC25" i="6"/>
  <c r="Z25" i="6"/>
  <c r="W25" i="6"/>
  <c r="T25" i="6"/>
  <c r="R25" i="6"/>
  <c r="O25" i="6"/>
  <c r="L25" i="6"/>
  <c r="I25" i="6"/>
  <c r="F25" i="6"/>
  <c r="A25" i="6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CD24" i="6"/>
  <c r="CC24" i="6"/>
  <c r="CB24" i="6"/>
  <c r="CA24" i="6"/>
  <c r="BU24" i="6"/>
  <c r="BT24" i="6"/>
  <c r="BN24" i="6"/>
  <c r="BP24" i="6" s="1"/>
  <c r="BQ24" i="6" s="1"/>
  <c r="BM24" i="6"/>
  <c r="BK24" i="6"/>
  <c r="BH24" i="6"/>
  <c r="BG24" i="6"/>
  <c r="AY24" i="6"/>
  <c r="AW24" i="6"/>
  <c r="AM24" i="6"/>
  <c r="AX24" i="6" s="1"/>
  <c r="AL24" i="6"/>
  <c r="AI24" i="6"/>
  <c r="AF24" i="6"/>
  <c r="AC24" i="6"/>
  <c r="Z24" i="6"/>
  <c r="W24" i="6"/>
  <c r="T24" i="6"/>
  <c r="R24" i="6"/>
  <c r="O24" i="6"/>
  <c r="L24" i="6"/>
  <c r="I24" i="6"/>
  <c r="F24" i="6"/>
  <c r="CC23" i="6"/>
  <c r="CB23" i="6"/>
  <c r="CA23" i="6"/>
  <c r="BZ23" i="6"/>
  <c r="BU23" i="6"/>
  <c r="CF23" i="6" s="1"/>
  <c r="BT23" i="6"/>
  <c r="BQ23" i="6"/>
  <c r="BO23" i="6"/>
  <c r="BM23" i="6"/>
  <c r="BJ23" i="6"/>
  <c r="BK23" i="6" s="1"/>
  <c r="BG23" i="6"/>
  <c r="AY23" i="6"/>
  <c r="AW23" i="6"/>
  <c r="AM23" i="6"/>
  <c r="AX23" i="6" s="1"/>
  <c r="AL23" i="6"/>
  <c r="AI23" i="6"/>
  <c r="AF23" i="6"/>
  <c r="AC23" i="6"/>
  <c r="Z23" i="6"/>
  <c r="W23" i="6"/>
  <c r="T23" i="6"/>
  <c r="R23" i="6"/>
  <c r="O23" i="6"/>
  <c r="L23" i="6"/>
  <c r="I23" i="6"/>
  <c r="F23" i="6"/>
  <c r="CC22" i="6"/>
  <c r="CB22" i="6"/>
  <c r="CA22" i="6"/>
  <c r="BZ22" i="6"/>
  <c r="CD22" i="6" s="1"/>
  <c r="BU22" i="6"/>
  <c r="BV22" i="6" s="1"/>
  <c r="BT22" i="6"/>
  <c r="BQ22" i="6"/>
  <c r="BO22" i="6"/>
  <c r="BM22" i="6"/>
  <c r="BJ22" i="6"/>
  <c r="BK22" i="6" s="1"/>
  <c r="BG22" i="6"/>
  <c r="AY22" i="6"/>
  <c r="AW22" i="6"/>
  <c r="AM22" i="6"/>
  <c r="AX22" i="6" s="1"/>
  <c r="AL22" i="6"/>
  <c r="AI22" i="6"/>
  <c r="AF22" i="6"/>
  <c r="AC22" i="6"/>
  <c r="Z22" i="6"/>
  <c r="W22" i="6"/>
  <c r="T22" i="6"/>
  <c r="R22" i="6"/>
  <c r="O22" i="6"/>
  <c r="L22" i="6"/>
  <c r="I22" i="6"/>
  <c r="F22" i="6"/>
  <c r="CD21" i="6"/>
  <c r="CC21" i="6"/>
  <c r="CB21" i="6"/>
  <c r="CA21" i="6"/>
  <c r="BU21" i="6"/>
  <c r="BV21" i="6" s="1"/>
  <c r="BT21" i="6"/>
  <c r="BQ21" i="6"/>
  <c r="BO21" i="6"/>
  <c r="BM21" i="6"/>
  <c r="BK21" i="6"/>
  <c r="BH21" i="6"/>
  <c r="BG21" i="6"/>
  <c r="AY21" i="6"/>
  <c r="AW21" i="6"/>
  <c r="AM21" i="6"/>
  <c r="AX21" i="6" s="1"/>
  <c r="AL21" i="6"/>
  <c r="AI21" i="6"/>
  <c r="AF21" i="6"/>
  <c r="AC21" i="6"/>
  <c r="Z21" i="6"/>
  <c r="W21" i="6"/>
  <c r="T21" i="6"/>
  <c r="R21" i="6"/>
  <c r="O21" i="6"/>
  <c r="L21" i="6"/>
  <c r="I21" i="6"/>
  <c r="F21" i="6"/>
  <c r="CD20" i="6"/>
  <c r="CC20" i="6"/>
  <c r="CB20" i="6"/>
  <c r="CA20" i="6"/>
  <c r="BU20" i="6"/>
  <c r="CF20" i="6" s="1"/>
  <c r="BT20" i="6"/>
  <c r="BQ20" i="6"/>
  <c r="BO20" i="6"/>
  <c r="BM20" i="6"/>
  <c r="BK20" i="6"/>
  <c r="BH20" i="6"/>
  <c r="BG20" i="6"/>
  <c r="AY20" i="6"/>
  <c r="AW20" i="6"/>
  <c r="AM20" i="6"/>
  <c r="AX20" i="6" s="1"/>
  <c r="AL20" i="6"/>
  <c r="AI20" i="6"/>
  <c r="AF20" i="6"/>
  <c r="AC20" i="6"/>
  <c r="Z20" i="6"/>
  <c r="W20" i="6"/>
  <c r="T20" i="6"/>
  <c r="R20" i="6"/>
  <c r="O20" i="6"/>
  <c r="L20" i="6"/>
  <c r="I20" i="6"/>
  <c r="F20" i="6"/>
  <c r="CD19" i="6"/>
  <c r="CC19" i="6"/>
  <c r="CB19" i="6"/>
  <c r="CA19" i="6"/>
  <c r="BU19" i="6"/>
  <c r="BV19" i="6" s="1"/>
  <c r="BT19" i="6"/>
  <c r="BQ19" i="6"/>
  <c r="BO19" i="6"/>
  <c r="BM19" i="6"/>
  <c r="BJ19" i="6"/>
  <c r="BH19" i="6"/>
  <c r="BG19" i="6"/>
  <c r="AY19" i="6"/>
  <c r="AW19" i="6"/>
  <c r="AM19" i="6"/>
  <c r="AX19" i="6" s="1"/>
  <c r="AL19" i="6"/>
  <c r="AI19" i="6"/>
  <c r="AF19" i="6"/>
  <c r="AC19" i="6"/>
  <c r="Z19" i="6"/>
  <c r="W19" i="6"/>
  <c r="T19" i="6"/>
  <c r="R19" i="6"/>
  <c r="O19" i="6"/>
  <c r="L19" i="6"/>
  <c r="I19" i="6"/>
  <c r="F19" i="6"/>
  <c r="CD18" i="6"/>
  <c r="CC18" i="6"/>
  <c r="CB18" i="6"/>
  <c r="CA18" i="6"/>
  <c r="BU18" i="6"/>
  <c r="BV18" i="6" s="1"/>
  <c r="BT18" i="6"/>
  <c r="BN18" i="6"/>
  <c r="BM18" i="6"/>
  <c r="BK18" i="6"/>
  <c r="BH18" i="6"/>
  <c r="BG18" i="6"/>
  <c r="AY18" i="6"/>
  <c r="AW18" i="6"/>
  <c r="AM18" i="6"/>
  <c r="AX18" i="6" s="1"/>
  <c r="AL18" i="6"/>
  <c r="AI18" i="6"/>
  <c r="AF18" i="6"/>
  <c r="AC18" i="6"/>
  <c r="Z18" i="6"/>
  <c r="W18" i="6"/>
  <c r="T18" i="6"/>
  <c r="R18" i="6"/>
  <c r="O18" i="6"/>
  <c r="L18" i="6"/>
  <c r="I18" i="6"/>
  <c r="F18" i="6"/>
  <c r="CD17" i="6"/>
  <c r="CC17" i="6"/>
  <c r="CB17" i="6"/>
  <c r="CA17" i="6"/>
  <c r="BU17" i="6"/>
  <c r="BV17" i="6" s="1"/>
  <c r="BT17" i="6"/>
  <c r="BG17" i="6"/>
  <c r="AY17" i="6"/>
  <c r="AW17" i="6"/>
  <c r="AM17" i="6"/>
  <c r="AX17" i="6" s="1"/>
  <c r="AL17" i="6"/>
  <c r="AI17" i="6"/>
  <c r="AF17" i="6"/>
  <c r="AC17" i="6"/>
  <c r="Z17" i="6"/>
  <c r="W17" i="6"/>
  <c r="T17" i="6"/>
  <c r="R17" i="6"/>
  <c r="O17" i="6"/>
  <c r="L17" i="6"/>
  <c r="I17" i="6"/>
  <c r="CD16" i="6"/>
  <c r="CC16" i="6"/>
  <c r="CB16" i="6"/>
  <c r="CA16" i="6"/>
  <c r="BU16" i="6"/>
  <c r="BV16" i="6" s="1"/>
  <c r="BT16" i="6"/>
  <c r="BQ16" i="6"/>
  <c r="BO16" i="6"/>
  <c r="BM16" i="6"/>
  <c r="BH16" i="6"/>
  <c r="BG16" i="6"/>
  <c r="AY16" i="6"/>
  <c r="AW16" i="6"/>
  <c r="AM16" i="6"/>
  <c r="AX16" i="6" s="1"/>
  <c r="AL16" i="6"/>
  <c r="AI16" i="6"/>
  <c r="AF16" i="6"/>
  <c r="AC16" i="6"/>
  <c r="Z16" i="6"/>
  <c r="W16" i="6"/>
  <c r="T16" i="6"/>
  <c r="R16" i="6"/>
  <c r="O16" i="6"/>
  <c r="L16" i="6"/>
  <c r="I16" i="6"/>
  <c r="F16" i="6"/>
  <c r="CD15" i="6"/>
  <c r="CC15" i="6"/>
  <c r="CB15" i="6"/>
  <c r="CA15" i="6"/>
  <c r="BU15" i="6"/>
  <c r="BV15" i="6" s="1"/>
  <c r="BT15" i="6"/>
  <c r="BQ15" i="6"/>
  <c r="BO15" i="6"/>
  <c r="BM15" i="6"/>
  <c r="BH15" i="6"/>
  <c r="BG15" i="6"/>
  <c r="AY15" i="6"/>
  <c r="AW15" i="6"/>
  <c r="AM15" i="6"/>
  <c r="AX15" i="6" s="1"/>
  <c r="AL15" i="6"/>
  <c r="AI15" i="6"/>
  <c r="AF15" i="6"/>
  <c r="AC15" i="6"/>
  <c r="Z15" i="6"/>
  <c r="W15" i="6"/>
  <c r="T15" i="6"/>
  <c r="R15" i="6"/>
  <c r="O15" i="6"/>
  <c r="L15" i="6"/>
  <c r="I15" i="6"/>
  <c r="F15" i="6"/>
  <c r="CD14" i="6"/>
  <c r="CC14" i="6"/>
  <c r="CB14" i="6"/>
  <c r="CA14" i="6"/>
  <c r="BU14" i="6"/>
  <c r="CF14" i="6" s="1"/>
  <c r="BT14" i="6"/>
  <c r="BQ14" i="6"/>
  <c r="BO14" i="6"/>
  <c r="BM14" i="6"/>
  <c r="BH14" i="6"/>
  <c r="BG14" i="6"/>
  <c r="AY14" i="6"/>
  <c r="AW14" i="6"/>
  <c r="AM14" i="6"/>
  <c r="AX14" i="6" s="1"/>
  <c r="AL14" i="6"/>
  <c r="AI14" i="6"/>
  <c r="AF14" i="6"/>
  <c r="AC14" i="6"/>
  <c r="Z14" i="6"/>
  <c r="W14" i="6"/>
  <c r="T14" i="6"/>
  <c r="R14" i="6"/>
  <c r="O14" i="6"/>
  <c r="L14" i="6"/>
  <c r="I14" i="6"/>
  <c r="F14" i="6"/>
  <c r="CD13" i="6"/>
  <c r="CC13" i="6"/>
  <c r="CB13" i="6"/>
  <c r="CA13" i="6"/>
  <c r="BU13" i="6"/>
  <c r="BV13" i="6" s="1"/>
  <c r="BT13" i="6"/>
  <c r="BH13" i="6"/>
  <c r="BG13" i="6"/>
  <c r="AY13" i="6"/>
  <c r="AW13" i="6"/>
  <c r="AM13" i="6"/>
  <c r="AX13" i="6" s="1"/>
  <c r="AL13" i="6"/>
  <c r="AI13" i="6"/>
  <c r="AF13" i="6"/>
  <c r="AC13" i="6"/>
  <c r="Z13" i="6"/>
  <c r="W13" i="6"/>
  <c r="T13" i="6"/>
  <c r="R13" i="6"/>
  <c r="O13" i="6"/>
  <c r="L13" i="6"/>
  <c r="I13" i="6"/>
  <c r="F13" i="6"/>
  <c r="CD12" i="6"/>
  <c r="CC12" i="6"/>
  <c r="CB12" i="6"/>
  <c r="CA12" i="6"/>
  <c r="BU12" i="6"/>
  <c r="BV12" i="6" s="1"/>
  <c r="BT12" i="6"/>
  <c r="BH12" i="6"/>
  <c r="BG12" i="6"/>
  <c r="AY12" i="6"/>
  <c r="AW12" i="6"/>
  <c r="AM12" i="6"/>
  <c r="AX12" i="6" s="1"/>
  <c r="AL12" i="6"/>
  <c r="AI12" i="6"/>
  <c r="AF12" i="6"/>
  <c r="AC12" i="6"/>
  <c r="Z12" i="6"/>
  <c r="W12" i="6"/>
  <c r="T12" i="6"/>
  <c r="R12" i="6"/>
  <c r="O12" i="6"/>
  <c r="L12" i="6"/>
  <c r="I12" i="6"/>
  <c r="F12" i="6"/>
  <c r="CC11" i="6"/>
  <c r="CB11" i="6"/>
  <c r="CA11" i="6"/>
  <c r="BZ11" i="6"/>
  <c r="BH11" i="6" s="1"/>
  <c r="BU11" i="6"/>
  <c r="CE11" i="6" s="1"/>
  <c r="BT11" i="6"/>
  <c r="BG11" i="6"/>
  <c r="AY11" i="6"/>
  <c r="AW11" i="6"/>
  <c r="AM11" i="6"/>
  <c r="AX11" i="6" s="1"/>
  <c r="AL11" i="6"/>
  <c r="AI11" i="6"/>
  <c r="AF11" i="6"/>
  <c r="AC11" i="6"/>
  <c r="Z11" i="6"/>
  <c r="W11" i="6"/>
  <c r="T11" i="6"/>
  <c r="R11" i="6"/>
  <c r="O11" i="6"/>
  <c r="L11" i="6"/>
  <c r="I11" i="6"/>
  <c r="F11" i="6"/>
  <c r="CC10" i="6"/>
  <c r="CB10" i="6"/>
  <c r="CA10" i="6"/>
  <c r="BZ10" i="6"/>
  <c r="BU10" i="6"/>
  <c r="BT10" i="6"/>
  <c r="BG10" i="6"/>
  <c r="AY10" i="6"/>
  <c r="AW10" i="6"/>
  <c r="AM10" i="6"/>
  <c r="AX10" i="6" s="1"/>
  <c r="AL10" i="6"/>
  <c r="AI10" i="6"/>
  <c r="AF10" i="6"/>
  <c r="AC10" i="6"/>
  <c r="Z10" i="6"/>
  <c r="W10" i="6"/>
  <c r="T10" i="6"/>
  <c r="R10" i="6"/>
  <c r="O10" i="6"/>
  <c r="L10" i="6"/>
  <c r="I10" i="6"/>
  <c r="F10" i="6"/>
  <c r="CC9" i="6"/>
  <c r="CB9" i="6"/>
  <c r="CA9" i="6"/>
  <c r="BZ9" i="6"/>
  <c r="BU9" i="6"/>
  <c r="BV9" i="6" s="1"/>
  <c r="BT9" i="6"/>
  <c r="BG9" i="6"/>
  <c r="AY9" i="6"/>
  <c r="AW9" i="6"/>
  <c r="AM9" i="6"/>
  <c r="AX9" i="6" s="1"/>
  <c r="AL9" i="6"/>
  <c r="AI9" i="6"/>
  <c r="AF9" i="6"/>
  <c r="AC9" i="6"/>
  <c r="Z9" i="6"/>
  <c r="W9" i="6"/>
  <c r="T9" i="6"/>
  <c r="R9" i="6"/>
  <c r="O9" i="6"/>
  <c r="L9" i="6"/>
  <c r="I9" i="6"/>
  <c r="F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CD8" i="6"/>
  <c r="CC8" i="6"/>
  <c r="CB8" i="6"/>
  <c r="CA8" i="6"/>
  <c r="BU8" i="6"/>
  <c r="CF8" i="6" s="1"/>
  <c r="BT8" i="6"/>
  <c r="BH8" i="6"/>
  <c r="BG8" i="6"/>
  <c r="AY8" i="6"/>
  <c r="AW8" i="6"/>
  <c r="AM8" i="6"/>
  <c r="AX8" i="6" s="1"/>
  <c r="AL8" i="6"/>
  <c r="AI8" i="6"/>
  <c r="AF8" i="6"/>
  <c r="AC8" i="6"/>
  <c r="Z8" i="6"/>
  <c r="W8" i="6"/>
  <c r="T8" i="6"/>
  <c r="R8" i="6"/>
  <c r="O8" i="6"/>
  <c r="L8" i="6"/>
  <c r="I8" i="6"/>
  <c r="F8" i="6"/>
  <c r="CD7" i="6"/>
  <c r="CC7" i="6"/>
  <c r="CB7" i="6"/>
  <c r="CA7" i="6"/>
  <c r="BU7" i="6"/>
  <c r="BV7" i="6" s="1"/>
  <c r="BT7" i="6"/>
  <c r="BH7" i="6"/>
  <c r="BG7" i="6"/>
  <c r="AY7" i="6"/>
  <c r="AW7" i="6"/>
  <c r="AM7" i="6"/>
  <c r="AX7" i="6" s="1"/>
  <c r="AL7" i="6"/>
  <c r="AI7" i="6"/>
  <c r="AF7" i="6"/>
  <c r="AC7" i="6"/>
  <c r="Z7" i="6"/>
  <c r="W7" i="6"/>
  <c r="T7" i="6"/>
  <c r="R7" i="6"/>
  <c r="O7" i="6"/>
  <c r="L7" i="6"/>
  <c r="I7" i="6"/>
  <c r="F7" i="6"/>
  <c r="A7" i="6"/>
  <c r="BU49" i="5"/>
  <c r="BH49" i="5"/>
  <c r="BG49" i="5"/>
  <c r="AY49" i="5"/>
  <c r="AW49" i="5"/>
  <c r="AV49" i="5"/>
  <c r="AX49" i="5" s="1"/>
  <c r="AT49" i="5"/>
  <c r="AQ49" i="5"/>
  <c r="AS49" i="5" s="1"/>
  <c r="AO49" i="5"/>
  <c r="AM49" i="5"/>
  <c r="AJ49" i="5"/>
  <c r="AL49" i="5" s="1"/>
  <c r="AG49" i="5"/>
  <c r="AD49" i="5"/>
  <c r="AF49" i="5" s="1"/>
  <c r="AC49" i="5"/>
  <c r="AA49" i="5"/>
  <c r="X49" i="5"/>
  <c r="Z49" i="5" s="1"/>
  <c r="W49" i="5"/>
  <c r="U49" i="5"/>
  <c r="R49" i="5"/>
  <c r="T49" i="5" s="1"/>
  <c r="O49" i="5"/>
  <c r="Q49" i="5" s="1"/>
  <c r="L49" i="5"/>
  <c r="N49" i="5" s="1"/>
  <c r="I49" i="5"/>
  <c r="F49" i="5"/>
  <c r="H49" i="5" s="1"/>
  <c r="A49" i="5"/>
  <c r="CL45" i="5"/>
  <c r="CK45" i="5"/>
  <c r="CJ45" i="5"/>
  <c r="CI45" i="5"/>
  <c r="CH45" i="5"/>
  <c r="CG45" i="5"/>
  <c r="CF45" i="5"/>
  <c r="BK45" i="5" s="1"/>
  <c r="BX45" i="5"/>
  <c r="BW45" i="5"/>
  <c r="BV45" i="5"/>
  <c r="BS45" i="5"/>
  <c r="BT45" i="5" s="1"/>
  <c r="BR45" i="5"/>
  <c r="BQ45" i="5"/>
  <c r="BO45" i="5"/>
  <c r="BP45" i="5" s="1"/>
  <c r="BM45" i="5"/>
  <c r="BN45" i="5" s="1"/>
  <c r="BL45" i="5"/>
  <c r="BJ45" i="5"/>
  <c r="BI45" i="5"/>
  <c r="BF45" i="5"/>
  <c r="BE45" i="5"/>
  <c r="BB45" i="5"/>
  <c r="AZ45" i="5"/>
  <c r="AP45" i="5"/>
  <c r="BA45" i="5" s="1"/>
  <c r="AO45" i="5"/>
  <c r="AL45" i="5"/>
  <c r="AI45" i="5"/>
  <c r="AF45" i="5"/>
  <c r="AC45" i="5"/>
  <c r="Z45" i="5"/>
  <c r="W45" i="5"/>
  <c r="T45" i="5"/>
  <c r="Q45" i="5"/>
  <c r="N45" i="5"/>
  <c r="K45" i="5"/>
  <c r="H45" i="5"/>
  <c r="CL44" i="5"/>
  <c r="CJ44" i="5"/>
  <c r="CI44" i="5"/>
  <c r="CH44" i="5"/>
  <c r="CG44" i="5"/>
  <c r="BK44" i="5" s="1"/>
  <c r="CF44" i="5"/>
  <c r="BW44" i="5"/>
  <c r="CK44" i="5" s="1"/>
  <c r="BV44" i="5"/>
  <c r="BR44" i="5"/>
  <c r="BQ44" i="5"/>
  <c r="BO44" i="5"/>
  <c r="BP44" i="5" s="1"/>
  <c r="BM44" i="5"/>
  <c r="BS44" i="5" s="1"/>
  <c r="BT44" i="5" s="1"/>
  <c r="BJ44" i="5"/>
  <c r="BI44" i="5"/>
  <c r="BB44" i="5"/>
  <c r="AZ44" i="5"/>
  <c r="AP44" i="5"/>
  <c r="BA44" i="5" s="1"/>
  <c r="AO44" i="5"/>
  <c r="AL44" i="5"/>
  <c r="AI44" i="5"/>
  <c r="AF44" i="5"/>
  <c r="AC44" i="5"/>
  <c r="Z44" i="5"/>
  <c r="W44" i="5"/>
  <c r="T44" i="5"/>
  <c r="Q44" i="5"/>
  <c r="N44" i="5"/>
  <c r="K44" i="5"/>
  <c r="H44" i="5"/>
  <c r="CJ43" i="5"/>
  <c r="CI43" i="5"/>
  <c r="CH43" i="5"/>
  <c r="CG43" i="5"/>
  <c r="CF43" i="5"/>
  <c r="BW43" i="5"/>
  <c r="BV43" i="5"/>
  <c r="BS43" i="5"/>
  <c r="BT43" i="5" s="1"/>
  <c r="BR43" i="5"/>
  <c r="BQ43" i="5"/>
  <c r="BO43" i="5"/>
  <c r="BP43" i="5" s="1"/>
  <c r="BM43" i="5"/>
  <c r="BN43" i="5" s="1"/>
  <c r="BL43" i="5"/>
  <c r="BJ43" i="5"/>
  <c r="BI43" i="5"/>
  <c r="AZ43" i="5"/>
  <c r="AX43" i="5"/>
  <c r="BB43" i="5" s="1"/>
  <c r="AP43" i="5"/>
  <c r="BA43" i="5" s="1"/>
  <c r="AO43" i="5"/>
  <c r="AL43" i="5"/>
  <c r="AI43" i="5"/>
  <c r="AF43" i="5"/>
  <c r="AC43" i="5"/>
  <c r="Z43" i="5"/>
  <c r="W43" i="5"/>
  <c r="T43" i="5"/>
  <c r="Q43" i="5"/>
  <c r="N43" i="5"/>
  <c r="K43" i="5"/>
  <c r="H43" i="5"/>
  <c r="CL42" i="5"/>
  <c r="CK42" i="5"/>
  <c r="CJ42" i="5"/>
  <c r="CI42" i="5"/>
  <c r="CH42" i="5"/>
  <c r="BK42" i="5" s="1"/>
  <c r="CG42" i="5"/>
  <c r="CF42" i="5"/>
  <c r="BX42" i="5"/>
  <c r="BW42" i="5"/>
  <c r="BV42" i="5"/>
  <c r="BQ42" i="5"/>
  <c r="BR42" i="5" s="1"/>
  <c r="BO42" i="5"/>
  <c r="BP42" i="5" s="1"/>
  <c r="BM42" i="5"/>
  <c r="BL42" i="5"/>
  <c r="BJ42" i="5"/>
  <c r="BI42" i="5"/>
  <c r="BD42" i="5"/>
  <c r="BB42" i="5"/>
  <c r="BA42" i="5"/>
  <c r="AZ42" i="5"/>
  <c r="AP42" i="5"/>
  <c r="AO42" i="5"/>
  <c r="AL42" i="5"/>
  <c r="AI42" i="5"/>
  <c r="AF42" i="5"/>
  <c r="AC42" i="5"/>
  <c r="Z42" i="5"/>
  <c r="W42" i="5"/>
  <c r="BC42" i="5" s="1"/>
  <c r="T42" i="5"/>
  <c r="Q42" i="5"/>
  <c r="N42" i="5"/>
  <c r="K42" i="5"/>
  <c r="H42" i="5"/>
  <c r="CJ41" i="5"/>
  <c r="CI41" i="5"/>
  <c r="CH41" i="5"/>
  <c r="CG41" i="5"/>
  <c r="CF41" i="5"/>
  <c r="BW41" i="5"/>
  <c r="BV41" i="5"/>
  <c r="BT41" i="5"/>
  <c r="BS41" i="5"/>
  <c r="BR41" i="5"/>
  <c r="BQ41" i="5"/>
  <c r="BP41" i="5"/>
  <c r="BO41" i="5"/>
  <c r="BM41" i="5"/>
  <c r="BN41" i="5" s="1"/>
  <c r="BL41" i="5"/>
  <c r="BK41" i="5"/>
  <c r="BJ41" i="5"/>
  <c r="BI41" i="5"/>
  <c r="BB41" i="5"/>
  <c r="AZ41" i="5"/>
  <c r="AP41" i="5"/>
  <c r="BA41" i="5" s="1"/>
  <c r="AO41" i="5"/>
  <c r="AL41" i="5"/>
  <c r="AI41" i="5"/>
  <c r="AF41" i="5"/>
  <c r="BD41" i="5" s="1"/>
  <c r="AC41" i="5"/>
  <c r="Z41" i="5"/>
  <c r="W41" i="5"/>
  <c r="T41" i="5"/>
  <c r="Q41" i="5"/>
  <c r="N41" i="5"/>
  <c r="K41" i="5"/>
  <c r="H41" i="5"/>
  <c r="CL40" i="5"/>
  <c r="CK40" i="5"/>
  <c r="CJ40" i="5"/>
  <c r="CI40" i="5"/>
  <c r="CH40" i="5"/>
  <c r="CG40" i="5"/>
  <c r="BK40" i="5" s="1"/>
  <c r="CF40" i="5"/>
  <c r="BX40" i="5"/>
  <c r="BW40" i="5"/>
  <c r="BV40" i="5"/>
  <c r="BQ40" i="5"/>
  <c r="BR40" i="5" s="1"/>
  <c r="BO40" i="5"/>
  <c r="BP40" i="5" s="1"/>
  <c r="BN40" i="5"/>
  <c r="BM40" i="5"/>
  <c r="BL40" i="5"/>
  <c r="BJ40" i="5"/>
  <c r="BI40" i="5"/>
  <c r="BB40" i="5"/>
  <c r="AZ40" i="5"/>
  <c r="AP40" i="5"/>
  <c r="BA40" i="5" s="1"/>
  <c r="AO40" i="5"/>
  <c r="AL40" i="5"/>
  <c r="AI40" i="5"/>
  <c r="AF40" i="5"/>
  <c r="AC40" i="5"/>
  <c r="Z40" i="5"/>
  <c r="W40" i="5"/>
  <c r="T40" i="5"/>
  <c r="Q40" i="5"/>
  <c r="N40" i="5"/>
  <c r="K40" i="5"/>
  <c r="H40" i="5"/>
  <c r="CL39" i="5"/>
  <c r="CJ39" i="5"/>
  <c r="CI39" i="5"/>
  <c r="CH39" i="5"/>
  <c r="CG39" i="5"/>
  <c r="CF39" i="5"/>
  <c r="BK39" i="5" s="1"/>
  <c r="BW39" i="5"/>
  <c r="CK39" i="5" s="1"/>
  <c r="BV39" i="5"/>
  <c r="BS39" i="5"/>
  <c r="BT39" i="5" s="1"/>
  <c r="BR39" i="5"/>
  <c r="BQ39" i="5"/>
  <c r="BO39" i="5"/>
  <c r="BP39" i="5" s="1"/>
  <c r="BM39" i="5"/>
  <c r="BN39" i="5" s="1"/>
  <c r="BL39" i="5"/>
  <c r="BJ39" i="5"/>
  <c r="BI39" i="5"/>
  <c r="BB39" i="5"/>
  <c r="AZ39" i="5"/>
  <c r="AP39" i="5"/>
  <c r="BA39" i="5" s="1"/>
  <c r="AO39" i="5"/>
  <c r="AL39" i="5"/>
  <c r="AI39" i="5"/>
  <c r="AF39" i="5"/>
  <c r="AC39" i="5"/>
  <c r="Z39" i="5"/>
  <c r="W39" i="5"/>
  <c r="T39" i="5"/>
  <c r="Q39" i="5"/>
  <c r="N39" i="5"/>
  <c r="K39" i="5"/>
  <c r="H39" i="5"/>
  <c r="CL38" i="5"/>
  <c r="CK38" i="5"/>
  <c r="CJ38" i="5"/>
  <c r="CI38" i="5"/>
  <c r="CH38" i="5"/>
  <c r="CG38" i="5"/>
  <c r="CF38" i="5"/>
  <c r="BK38" i="5" s="1"/>
  <c r="BW38" i="5"/>
  <c r="BX38" i="5" s="1"/>
  <c r="BV38" i="5"/>
  <c r="BQ38" i="5"/>
  <c r="BR38" i="5" s="1"/>
  <c r="BO38" i="5"/>
  <c r="BP38" i="5" s="1"/>
  <c r="BM38" i="5"/>
  <c r="BN38" i="5" s="1"/>
  <c r="BL38" i="5"/>
  <c r="BJ38" i="5"/>
  <c r="BI38" i="5"/>
  <c r="BB38" i="5"/>
  <c r="BA38" i="5"/>
  <c r="AZ38" i="5"/>
  <c r="AP38" i="5"/>
  <c r="AO38" i="5"/>
  <c r="AL38" i="5"/>
  <c r="AI38" i="5"/>
  <c r="AF38" i="5"/>
  <c r="AC38" i="5"/>
  <c r="Z38" i="5"/>
  <c r="W38" i="5"/>
  <c r="T38" i="5"/>
  <c r="Q38" i="5"/>
  <c r="N38" i="5"/>
  <c r="K38" i="5"/>
  <c r="H38" i="5"/>
  <c r="CJ37" i="5"/>
  <c r="CI37" i="5"/>
  <c r="CH37" i="5"/>
  <c r="CG37" i="5"/>
  <c r="CF37" i="5"/>
  <c r="BW37" i="5"/>
  <c r="BV37" i="5"/>
  <c r="BT37" i="5"/>
  <c r="BQ37" i="5"/>
  <c r="BR37" i="5" s="1"/>
  <c r="BP37" i="5"/>
  <c r="BO37" i="5"/>
  <c r="BS37" i="5" s="1"/>
  <c r="BN37" i="5"/>
  <c r="BM37" i="5"/>
  <c r="BL37" i="5"/>
  <c r="BK37" i="5"/>
  <c r="BJ37" i="5"/>
  <c r="BI37" i="5"/>
  <c r="BB37" i="5"/>
  <c r="BA37" i="5"/>
  <c r="AZ37" i="5"/>
  <c r="AP37" i="5"/>
  <c r="AO37" i="5"/>
  <c r="AL37" i="5"/>
  <c r="AI37" i="5"/>
  <c r="AF37" i="5"/>
  <c r="AC37" i="5"/>
  <c r="Z37" i="5"/>
  <c r="W37" i="5"/>
  <c r="T37" i="5"/>
  <c r="Q37" i="5"/>
  <c r="N37" i="5"/>
  <c r="K37" i="5"/>
  <c r="BF37" i="5" s="1"/>
  <c r="H37" i="5"/>
  <c r="CK36" i="5"/>
  <c r="CJ36" i="5"/>
  <c r="CI36" i="5"/>
  <c r="CH36" i="5"/>
  <c r="CG36" i="5"/>
  <c r="CF36" i="5"/>
  <c r="BK36" i="5" s="1"/>
  <c r="BX36" i="5"/>
  <c r="BW36" i="5"/>
  <c r="CL36" i="5" s="1"/>
  <c r="BV36" i="5"/>
  <c r="BQ36" i="5"/>
  <c r="BR36" i="5" s="1"/>
  <c r="BP36" i="5"/>
  <c r="BO36" i="5"/>
  <c r="BN36" i="5"/>
  <c r="BM36" i="5"/>
  <c r="BL36" i="5"/>
  <c r="BJ36" i="5"/>
  <c r="BI36" i="5"/>
  <c r="BB36" i="5"/>
  <c r="BA36" i="5"/>
  <c r="AZ36" i="5"/>
  <c r="AP36" i="5"/>
  <c r="AO36" i="5"/>
  <c r="AL36" i="5"/>
  <c r="AI36" i="5"/>
  <c r="AF36" i="5"/>
  <c r="AC36" i="5"/>
  <c r="Z36" i="5"/>
  <c r="W36" i="5"/>
  <c r="T36" i="5"/>
  <c r="BC36" i="5" s="1"/>
  <c r="Q36" i="5"/>
  <c r="N36" i="5"/>
  <c r="K36" i="5"/>
  <c r="H36" i="5"/>
  <c r="CL35" i="5"/>
  <c r="CK35" i="5"/>
  <c r="CJ35" i="5"/>
  <c r="CI35" i="5"/>
  <c r="CH35" i="5"/>
  <c r="CG35" i="5"/>
  <c r="CF35" i="5"/>
  <c r="BK35" i="5" s="1"/>
  <c r="BW35" i="5"/>
  <c r="BX35" i="5" s="1"/>
  <c r="BV35" i="5"/>
  <c r="BS35" i="5"/>
  <c r="BT35" i="5" s="1"/>
  <c r="BR35" i="5"/>
  <c r="BQ35" i="5"/>
  <c r="BO35" i="5"/>
  <c r="BP35" i="5" s="1"/>
  <c r="BN35" i="5"/>
  <c r="BM35" i="5"/>
  <c r="BL35" i="5"/>
  <c r="BJ35" i="5"/>
  <c r="BI35" i="5"/>
  <c r="BB35" i="5"/>
  <c r="BA35" i="5"/>
  <c r="AZ35" i="5"/>
  <c r="AP35" i="5"/>
  <c r="AO35" i="5"/>
  <c r="AL35" i="5"/>
  <c r="AI35" i="5"/>
  <c r="AF35" i="5"/>
  <c r="AC35" i="5"/>
  <c r="Z35" i="5"/>
  <c r="W35" i="5"/>
  <c r="T35" i="5"/>
  <c r="BD35" i="5" s="1"/>
  <c r="Q35" i="5"/>
  <c r="N35" i="5"/>
  <c r="K35" i="5"/>
  <c r="H35" i="5"/>
  <c r="CJ34" i="5"/>
  <c r="CI34" i="5"/>
  <c r="CH34" i="5"/>
  <c r="CG34" i="5"/>
  <c r="CF34" i="5"/>
  <c r="BK34" i="5" s="1"/>
  <c r="BW34" i="5"/>
  <c r="CL34" i="5" s="1"/>
  <c r="BV34" i="5"/>
  <c r="BQ34" i="5"/>
  <c r="BR34" i="5" s="1"/>
  <c r="BP34" i="5"/>
  <c r="BO34" i="5"/>
  <c r="BM34" i="5"/>
  <c r="BS34" i="5" s="1"/>
  <c r="BT34" i="5" s="1"/>
  <c r="BL34" i="5"/>
  <c r="BJ34" i="5"/>
  <c r="BI34" i="5"/>
  <c r="BB34" i="5"/>
  <c r="AZ34" i="5"/>
  <c r="AP34" i="5"/>
  <c r="BA34" i="5" s="1"/>
  <c r="AO34" i="5"/>
  <c r="AL34" i="5"/>
  <c r="AI34" i="5"/>
  <c r="AF34" i="5"/>
  <c r="AC34" i="5"/>
  <c r="Z34" i="5"/>
  <c r="W34" i="5"/>
  <c r="T34" i="5"/>
  <c r="Q34" i="5"/>
  <c r="N34" i="5"/>
  <c r="K34" i="5"/>
  <c r="H34" i="5"/>
  <c r="CL33" i="5"/>
  <c r="CK33" i="5"/>
  <c r="CJ33" i="5"/>
  <c r="CI33" i="5"/>
  <c r="CH33" i="5"/>
  <c r="CG33" i="5"/>
  <c r="CF33" i="5"/>
  <c r="BX33" i="5"/>
  <c r="BW33" i="5"/>
  <c r="BV33" i="5"/>
  <c r="BQ33" i="5"/>
  <c r="BR33" i="5" s="1"/>
  <c r="BO33" i="5"/>
  <c r="BS33" i="5" s="1"/>
  <c r="BT33" i="5" s="1"/>
  <c r="BN33" i="5"/>
  <c r="BM33" i="5"/>
  <c r="BL33" i="5"/>
  <c r="BK33" i="5"/>
  <c r="BJ33" i="5"/>
  <c r="BI33" i="5"/>
  <c r="BB33" i="5"/>
  <c r="BA33" i="5"/>
  <c r="AZ33" i="5"/>
  <c r="AX33" i="5"/>
  <c r="AP33" i="5"/>
  <c r="AO33" i="5"/>
  <c r="AL33" i="5"/>
  <c r="AI33" i="5"/>
  <c r="AF33" i="5"/>
  <c r="AC33" i="5"/>
  <c r="Z33" i="5"/>
  <c r="W33" i="5"/>
  <c r="T33" i="5"/>
  <c r="BD33" i="5" s="1"/>
  <c r="Q33" i="5"/>
  <c r="N33" i="5"/>
  <c r="K33" i="5"/>
  <c r="H33" i="5"/>
  <c r="CK32" i="5"/>
  <c r="CJ32" i="5"/>
  <c r="CI32" i="5"/>
  <c r="CH32" i="5"/>
  <c r="CG32" i="5"/>
  <c r="CF32" i="5"/>
  <c r="BK32" i="5" s="1"/>
  <c r="BW32" i="5"/>
  <c r="CL32" i="5" s="1"/>
  <c r="BV32" i="5"/>
  <c r="BQ32" i="5"/>
  <c r="BR32" i="5" s="1"/>
  <c r="BO32" i="5"/>
  <c r="BP32" i="5" s="1"/>
  <c r="BM32" i="5"/>
  <c r="BS32" i="5" s="1"/>
  <c r="BT32" i="5" s="1"/>
  <c r="BL32" i="5"/>
  <c r="BJ32" i="5"/>
  <c r="BI32" i="5"/>
  <c r="BB32" i="5"/>
  <c r="AZ32" i="5"/>
  <c r="AX32" i="5"/>
  <c r="AP32" i="5"/>
  <c r="BA32" i="5" s="1"/>
  <c r="AO32" i="5"/>
  <c r="AL32" i="5"/>
  <c r="AI32" i="5"/>
  <c r="AF32" i="5"/>
  <c r="AC32" i="5"/>
  <c r="Z32" i="5"/>
  <c r="W32" i="5"/>
  <c r="T32" i="5"/>
  <c r="Q32" i="5"/>
  <c r="N32" i="5"/>
  <c r="K32" i="5"/>
  <c r="H32" i="5"/>
  <c r="CL31" i="5"/>
  <c r="CK31" i="5"/>
  <c r="CJ31" i="5"/>
  <c r="CI31" i="5"/>
  <c r="CH31" i="5"/>
  <c r="CG31" i="5"/>
  <c r="CF31" i="5"/>
  <c r="BX31" i="5"/>
  <c r="BW31" i="5"/>
  <c r="BV31" i="5"/>
  <c r="BQ31" i="5"/>
  <c r="BS31" i="5" s="1"/>
  <c r="BT31" i="5" s="1"/>
  <c r="BP31" i="5"/>
  <c r="BO31" i="5"/>
  <c r="BM31" i="5"/>
  <c r="BN31" i="5" s="1"/>
  <c r="BL31" i="5"/>
  <c r="BK31" i="5"/>
  <c r="BJ31" i="5"/>
  <c r="BI31" i="5"/>
  <c r="BB31" i="5"/>
  <c r="BA31" i="5"/>
  <c r="AZ31" i="5"/>
  <c r="AX31" i="5"/>
  <c r="AP31" i="5"/>
  <c r="AO31" i="5"/>
  <c r="AL31" i="5"/>
  <c r="AI31" i="5"/>
  <c r="AF31" i="5"/>
  <c r="AC31" i="5"/>
  <c r="Z31" i="5"/>
  <c r="W31" i="5"/>
  <c r="BE31" i="5" s="1"/>
  <c r="T31" i="5"/>
  <c r="BD31" i="5" s="1"/>
  <c r="Q31" i="5"/>
  <c r="N31" i="5"/>
  <c r="K31" i="5"/>
  <c r="H31" i="5"/>
  <c r="CL30" i="5"/>
  <c r="CK30" i="5"/>
  <c r="CJ30" i="5"/>
  <c r="CI30" i="5"/>
  <c r="CH30" i="5"/>
  <c r="CG30" i="5"/>
  <c r="CF30" i="5"/>
  <c r="BK30" i="5" s="1"/>
  <c r="BX30" i="5"/>
  <c r="BW30" i="5"/>
  <c r="BV30" i="5"/>
  <c r="BQ30" i="5"/>
  <c r="BR30" i="5" s="1"/>
  <c r="BO30" i="5"/>
  <c r="BP30" i="5" s="1"/>
  <c r="BN30" i="5"/>
  <c r="BM30" i="5"/>
  <c r="BL30" i="5"/>
  <c r="BJ30" i="5"/>
  <c r="BI30" i="5"/>
  <c r="AZ30" i="5"/>
  <c r="AX30" i="5"/>
  <c r="BB30" i="5" s="1"/>
  <c r="AP30" i="5"/>
  <c r="BA30" i="5" s="1"/>
  <c r="AO30" i="5"/>
  <c r="AL30" i="5"/>
  <c r="AI30" i="5"/>
  <c r="AF30" i="5"/>
  <c r="AC30" i="5"/>
  <c r="Z30" i="5"/>
  <c r="W30" i="5"/>
  <c r="T30" i="5"/>
  <c r="Q30" i="5"/>
  <c r="N30" i="5"/>
  <c r="K30" i="5"/>
  <c r="H30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CJ29" i="5"/>
  <c r="CI29" i="5"/>
  <c r="CH29" i="5"/>
  <c r="CG29" i="5"/>
  <c r="CF29" i="5"/>
  <c r="BW29" i="5"/>
  <c r="BV29" i="5"/>
  <c r="BQ29" i="5"/>
  <c r="BR29" i="5" s="1"/>
  <c r="BP29" i="5"/>
  <c r="BO29" i="5"/>
  <c r="BM29" i="5"/>
  <c r="BN29" i="5" s="1"/>
  <c r="BL29" i="5"/>
  <c r="BK29" i="5"/>
  <c r="BJ29" i="5"/>
  <c r="BI29" i="5"/>
  <c r="BB29" i="5"/>
  <c r="AZ29" i="5"/>
  <c r="AX29" i="5"/>
  <c r="AP29" i="5"/>
  <c r="BA29" i="5" s="1"/>
  <c r="AO29" i="5"/>
  <c r="AL29" i="5"/>
  <c r="AI29" i="5"/>
  <c r="AF29" i="5"/>
  <c r="AC29" i="5"/>
  <c r="Z29" i="5"/>
  <c r="W29" i="5"/>
  <c r="T29" i="5"/>
  <c r="Q29" i="5"/>
  <c r="N29" i="5"/>
  <c r="K29" i="5"/>
  <c r="H29" i="5"/>
  <c r="A29" i="5"/>
  <c r="CL28" i="5"/>
  <c r="CK28" i="5"/>
  <c r="CJ28" i="5"/>
  <c r="CI28" i="5"/>
  <c r="BK28" i="5" s="1"/>
  <c r="CH28" i="5"/>
  <c r="CG28" i="5"/>
  <c r="CF28" i="5"/>
  <c r="BX28" i="5"/>
  <c r="BW28" i="5"/>
  <c r="BV28" i="5"/>
  <c r="BQ28" i="5"/>
  <c r="BR28" i="5" s="1"/>
  <c r="BO28" i="5"/>
  <c r="BP28" i="5" s="1"/>
  <c r="BM28" i="5"/>
  <c r="BN28" i="5" s="1"/>
  <c r="BL28" i="5"/>
  <c r="BJ28" i="5"/>
  <c r="BI28" i="5"/>
  <c r="AZ28" i="5"/>
  <c r="AX28" i="5"/>
  <c r="BB28" i="5" s="1"/>
  <c r="AP28" i="5"/>
  <c r="BA28" i="5" s="1"/>
  <c r="AO28" i="5"/>
  <c r="AL28" i="5"/>
  <c r="AI28" i="5"/>
  <c r="AF28" i="5"/>
  <c r="AC28" i="5"/>
  <c r="Z28" i="5"/>
  <c r="W28" i="5"/>
  <c r="T28" i="5"/>
  <c r="Q28" i="5"/>
  <c r="N28" i="5"/>
  <c r="K28" i="5"/>
  <c r="H28" i="5"/>
  <c r="CL27" i="5"/>
  <c r="CK27" i="5"/>
  <c r="CJ27" i="5"/>
  <c r="CI27" i="5"/>
  <c r="CH27" i="5"/>
  <c r="CG27" i="5"/>
  <c r="CF27" i="5"/>
  <c r="BK27" i="5" s="1"/>
  <c r="BX27" i="5"/>
  <c r="BW27" i="5"/>
  <c r="BV27" i="5"/>
  <c r="BT27" i="5"/>
  <c r="BR27" i="5"/>
  <c r="BQ27" i="5"/>
  <c r="BO27" i="5"/>
  <c r="BP27" i="5" s="1"/>
  <c r="BM27" i="5"/>
  <c r="BS27" i="5" s="1"/>
  <c r="BL27" i="5"/>
  <c r="BJ27" i="5"/>
  <c r="BI27" i="5"/>
  <c r="AZ27" i="5"/>
  <c r="AX27" i="5"/>
  <c r="BB27" i="5" s="1"/>
  <c r="AP27" i="5"/>
  <c r="BA27" i="5" s="1"/>
  <c r="AO27" i="5"/>
  <c r="AL27" i="5"/>
  <c r="AI27" i="5"/>
  <c r="AF27" i="5"/>
  <c r="AC27" i="5"/>
  <c r="Z27" i="5"/>
  <c r="W27" i="5"/>
  <c r="T27" i="5"/>
  <c r="Q27" i="5"/>
  <c r="N27" i="5"/>
  <c r="K27" i="5"/>
  <c r="H27" i="5"/>
  <c r="BF27" i="5" s="1"/>
  <c r="CJ26" i="5"/>
  <c r="CI26" i="5"/>
  <c r="CH26" i="5"/>
  <c r="CG26" i="5"/>
  <c r="CF26" i="5"/>
  <c r="BW26" i="5"/>
  <c r="BV26" i="5"/>
  <c r="BQ26" i="5"/>
  <c r="BR26" i="5" s="1"/>
  <c r="BP26" i="5"/>
  <c r="BO26" i="5"/>
  <c r="BM26" i="5"/>
  <c r="BN26" i="5" s="1"/>
  <c r="BL26" i="5"/>
  <c r="BJ26" i="5"/>
  <c r="BI26" i="5"/>
  <c r="AZ26" i="5"/>
  <c r="AX26" i="5"/>
  <c r="BB26" i="5" s="1"/>
  <c r="AP26" i="5"/>
  <c r="BA26" i="5" s="1"/>
  <c r="AO26" i="5"/>
  <c r="AL26" i="5"/>
  <c r="AI26" i="5"/>
  <c r="AF26" i="5"/>
  <c r="AC26" i="5"/>
  <c r="Z26" i="5"/>
  <c r="W26" i="5"/>
  <c r="T26" i="5"/>
  <c r="Q26" i="5"/>
  <c r="N26" i="5"/>
  <c r="K26" i="5"/>
  <c r="H26" i="5"/>
  <c r="CJ25" i="5"/>
  <c r="CI25" i="5"/>
  <c r="CH25" i="5"/>
  <c r="CG25" i="5"/>
  <c r="CF25" i="5"/>
  <c r="BK25" i="5" s="1"/>
  <c r="BW25" i="5"/>
  <c r="BV25" i="5"/>
  <c r="BQ25" i="5"/>
  <c r="BR25" i="5" s="1"/>
  <c r="BO25" i="5"/>
  <c r="BP25" i="5" s="1"/>
  <c r="BM25" i="5"/>
  <c r="BL25" i="5"/>
  <c r="BJ25" i="5"/>
  <c r="BI25" i="5"/>
  <c r="BB25" i="5"/>
  <c r="BA25" i="5"/>
  <c r="AZ25" i="5"/>
  <c r="AP25" i="5"/>
  <c r="AO25" i="5"/>
  <c r="AL25" i="5"/>
  <c r="AI25" i="5"/>
  <c r="AF25" i="5"/>
  <c r="AC25" i="5"/>
  <c r="Z25" i="5"/>
  <c r="W25" i="5"/>
  <c r="T25" i="5"/>
  <c r="Q25" i="5"/>
  <c r="N25" i="5"/>
  <c r="K25" i="5"/>
  <c r="H25" i="5"/>
  <c r="CK24" i="5"/>
  <c r="CJ24" i="5"/>
  <c r="CI24" i="5"/>
  <c r="CH24" i="5"/>
  <c r="BK24" i="5" s="1"/>
  <c r="CG24" i="5"/>
  <c r="CF24" i="5"/>
  <c r="BW24" i="5"/>
  <c r="BV24" i="5"/>
  <c r="BQ24" i="5"/>
  <c r="BR24" i="5" s="1"/>
  <c r="BO24" i="5"/>
  <c r="BS24" i="5" s="1"/>
  <c r="BT24" i="5" s="1"/>
  <c r="BN24" i="5"/>
  <c r="BM24" i="5"/>
  <c r="BL24" i="5"/>
  <c r="BJ24" i="5"/>
  <c r="BI24" i="5"/>
  <c r="BB24" i="5"/>
  <c r="BA24" i="5"/>
  <c r="AZ24" i="5"/>
  <c r="AX24" i="5"/>
  <c r="AP24" i="5"/>
  <c r="AO24" i="5"/>
  <c r="AL24" i="5"/>
  <c r="AI24" i="5"/>
  <c r="AF24" i="5"/>
  <c r="BD24" i="5" s="1"/>
  <c r="AC24" i="5"/>
  <c r="Z24" i="5"/>
  <c r="W24" i="5"/>
  <c r="T24" i="5"/>
  <c r="Q24" i="5"/>
  <c r="N24" i="5"/>
  <c r="K24" i="5"/>
  <c r="H24" i="5"/>
  <c r="CJ23" i="5"/>
  <c r="CI23" i="5"/>
  <c r="CH23" i="5"/>
  <c r="CG23" i="5"/>
  <c r="BK23" i="5" s="1"/>
  <c r="CF23" i="5"/>
  <c r="BW23" i="5"/>
  <c r="BV23" i="5"/>
  <c r="BR23" i="5"/>
  <c r="BQ23" i="5"/>
  <c r="BP23" i="5"/>
  <c r="BO23" i="5"/>
  <c r="BM23" i="5"/>
  <c r="BL23" i="5"/>
  <c r="BJ23" i="5"/>
  <c r="BI23" i="5"/>
  <c r="AZ23" i="5"/>
  <c r="AX23" i="5"/>
  <c r="BB23" i="5" s="1"/>
  <c r="AP23" i="5"/>
  <c r="BA23" i="5" s="1"/>
  <c r="AO23" i="5"/>
  <c r="AL23" i="5"/>
  <c r="AI23" i="5"/>
  <c r="AF23" i="5"/>
  <c r="AC23" i="5"/>
  <c r="Z23" i="5"/>
  <c r="W23" i="5"/>
  <c r="T23" i="5"/>
  <c r="Q23" i="5"/>
  <c r="N23" i="5"/>
  <c r="K23" i="5"/>
  <c r="H23" i="5"/>
  <c r="CJ22" i="5"/>
  <c r="CI22" i="5"/>
  <c r="CH22" i="5"/>
  <c r="CG22" i="5"/>
  <c r="CF22" i="5"/>
  <c r="BK22" i="5" s="1"/>
  <c r="BX22" i="5"/>
  <c r="BW22" i="5"/>
  <c r="BV22" i="5"/>
  <c r="BQ22" i="5"/>
  <c r="BP22" i="5"/>
  <c r="BO22" i="5"/>
  <c r="BN22" i="5"/>
  <c r="BM22" i="5"/>
  <c r="BL22" i="5"/>
  <c r="BJ22" i="5"/>
  <c r="BI22" i="5"/>
  <c r="BB22" i="5"/>
  <c r="AZ22" i="5"/>
  <c r="AX22" i="5"/>
  <c r="AP22" i="5"/>
  <c r="BA22" i="5" s="1"/>
  <c r="AO22" i="5"/>
  <c r="AL22" i="5"/>
  <c r="AI22" i="5"/>
  <c r="AF22" i="5"/>
  <c r="AC22" i="5"/>
  <c r="Z22" i="5"/>
  <c r="W22" i="5"/>
  <c r="T22" i="5"/>
  <c r="Q22" i="5"/>
  <c r="N22" i="5"/>
  <c r="K22" i="5"/>
  <c r="H22" i="5"/>
  <c r="CL21" i="5"/>
  <c r="CK21" i="5"/>
  <c r="CJ21" i="5"/>
  <c r="CI21" i="5"/>
  <c r="CH21" i="5"/>
  <c r="CG21" i="5"/>
  <c r="CF21" i="5"/>
  <c r="BX21" i="5"/>
  <c r="BW21" i="5"/>
  <c r="BV21" i="5"/>
  <c r="BQ21" i="5"/>
  <c r="BR21" i="5" s="1"/>
  <c r="BO21" i="5"/>
  <c r="BS21" i="5" s="1"/>
  <c r="BT21" i="5" s="1"/>
  <c r="BM21" i="5"/>
  <c r="BN21" i="5" s="1"/>
  <c r="BL21" i="5"/>
  <c r="BJ21" i="5"/>
  <c r="BI21" i="5"/>
  <c r="BF21" i="5"/>
  <c r="BB21" i="5"/>
  <c r="BA21" i="5"/>
  <c r="AZ21" i="5"/>
  <c r="AX21" i="5"/>
  <c r="AP21" i="5"/>
  <c r="AO21" i="5"/>
  <c r="AL21" i="5"/>
  <c r="AI21" i="5"/>
  <c r="AF21" i="5"/>
  <c r="BD21" i="5" s="1"/>
  <c r="AC21" i="5"/>
  <c r="BE21" i="5" s="1"/>
  <c r="Z21" i="5"/>
  <c r="W21" i="5"/>
  <c r="T21" i="5"/>
  <c r="Q21" i="5"/>
  <c r="N21" i="5"/>
  <c r="K21" i="5"/>
  <c r="H21" i="5"/>
  <c r="CJ20" i="5"/>
  <c r="CI20" i="5"/>
  <c r="CH20" i="5"/>
  <c r="BK20" i="5" s="1"/>
  <c r="CG20" i="5"/>
  <c r="CF20" i="5"/>
  <c r="BW20" i="5"/>
  <c r="BV20" i="5"/>
  <c r="BR20" i="5"/>
  <c r="BQ20" i="5"/>
  <c r="BO20" i="5"/>
  <c r="BP20" i="5" s="1"/>
  <c r="BM20" i="5"/>
  <c r="BS20" i="5" s="1"/>
  <c r="BT20" i="5" s="1"/>
  <c r="BL20" i="5"/>
  <c r="BJ20" i="5"/>
  <c r="BI20" i="5"/>
  <c r="AZ20" i="5"/>
  <c r="AX20" i="5"/>
  <c r="BB20" i="5" s="1"/>
  <c r="AP20" i="5"/>
  <c r="BA20" i="5" s="1"/>
  <c r="AO20" i="5"/>
  <c r="AL20" i="5"/>
  <c r="AI20" i="5"/>
  <c r="AF20" i="5"/>
  <c r="AC20" i="5"/>
  <c r="Z20" i="5"/>
  <c r="W20" i="5"/>
  <c r="T20" i="5"/>
  <c r="Q20" i="5"/>
  <c r="N20" i="5"/>
  <c r="K20" i="5"/>
  <c r="H20" i="5"/>
  <c r="CL19" i="5"/>
  <c r="CK19" i="5"/>
  <c r="CJ19" i="5"/>
  <c r="CI19" i="5"/>
  <c r="CH19" i="5"/>
  <c r="CG19" i="5"/>
  <c r="CF19" i="5"/>
  <c r="BW19" i="5"/>
  <c r="BX19" i="5" s="1"/>
  <c r="BV19" i="5"/>
  <c r="BR19" i="5"/>
  <c r="BQ19" i="5"/>
  <c r="BO19" i="5"/>
  <c r="BS19" i="5" s="1"/>
  <c r="BT19" i="5" s="1"/>
  <c r="BN19" i="5"/>
  <c r="BM19" i="5"/>
  <c r="BL19" i="5"/>
  <c r="BJ19" i="5"/>
  <c r="BI19" i="5"/>
  <c r="BB19" i="5"/>
  <c r="BA19" i="5"/>
  <c r="AZ19" i="5"/>
  <c r="AX19" i="5"/>
  <c r="AP19" i="5"/>
  <c r="AO19" i="5"/>
  <c r="AL19" i="5"/>
  <c r="AI19" i="5"/>
  <c r="AF19" i="5"/>
  <c r="AC19" i="5"/>
  <c r="Z19" i="5"/>
  <c r="W19" i="5"/>
  <c r="T19" i="5"/>
  <c r="Q19" i="5"/>
  <c r="N19" i="5"/>
  <c r="K19" i="5"/>
  <c r="H19" i="5"/>
  <c r="CJ18" i="5"/>
  <c r="CI18" i="5"/>
  <c r="CH18" i="5"/>
  <c r="CG18" i="5"/>
  <c r="CF18" i="5"/>
  <c r="BK18" i="5" s="1"/>
  <c r="BW18" i="5"/>
  <c r="BV18" i="5"/>
  <c r="BR18" i="5"/>
  <c r="BQ18" i="5"/>
  <c r="BO18" i="5"/>
  <c r="BP18" i="5" s="1"/>
  <c r="BN18" i="5"/>
  <c r="BM18" i="5"/>
  <c r="BL18" i="5"/>
  <c r="BJ18" i="5"/>
  <c r="BI18" i="5"/>
  <c r="BB18" i="5"/>
  <c r="AZ18" i="5"/>
  <c r="AX18" i="5"/>
  <c r="AP18" i="5"/>
  <c r="BA18" i="5" s="1"/>
  <c r="AO18" i="5"/>
  <c r="AL18" i="5"/>
  <c r="AI18" i="5"/>
  <c r="AF18" i="5"/>
  <c r="AC18" i="5"/>
  <c r="Z18" i="5"/>
  <c r="W18" i="5"/>
  <c r="T18" i="5"/>
  <c r="BC18" i="5" s="1"/>
  <c r="Q18" i="5"/>
  <c r="N18" i="5"/>
  <c r="K18" i="5"/>
  <c r="H18" i="5"/>
  <c r="A18" i="5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CJ17" i="5"/>
  <c r="CI17" i="5"/>
  <c r="CH17" i="5"/>
  <c r="CG17" i="5"/>
  <c r="CF17" i="5"/>
  <c r="BK17" i="5" s="1"/>
  <c r="BW17" i="5"/>
  <c r="BV17" i="5"/>
  <c r="BS17" i="5"/>
  <c r="BT17" i="5" s="1"/>
  <c r="BR17" i="5"/>
  <c r="BQ17" i="5"/>
  <c r="BO17" i="5"/>
  <c r="BP17" i="5" s="1"/>
  <c r="BM17" i="5"/>
  <c r="BN17" i="5" s="1"/>
  <c r="BL17" i="5"/>
  <c r="BJ17" i="5"/>
  <c r="BI17" i="5"/>
  <c r="BF17" i="5"/>
  <c r="BE17" i="5"/>
  <c r="BB17" i="5"/>
  <c r="AZ17" i="5"/>
  <c r="AX17" i="5"/>
  <c r="AP17" i="5"/>
  <c r="BA17" i="5" s="1"/>
  <c r="AO17" i="5"/>
  <c r="AL17" i="5"/>
  <c r="AI17" i="5"/>
  <c r="AF17" i="5"/>
  <c r="BD17" i="5" s="1"/>
  <c r="AC17" i="5"/>
  <c r="Z17" i="5"/>
  <c r="W17" i="5"/>
  <c r="T17" i="5"/>
  <c r="Q17" i="5"/>
  <c r="N17" i="5"/>
  <c r="K17" i="5"/>
  <c r="H17" i="5"/>
  <c r="CL16" i="5"/>
  <c r="CK16" i="5"/>
  <c r="CJ16" i="5"/>
  <c r="CI16" i="5"/>
  <c r="CH16" i="5"/>
  <c r="CG16" i="5"/>
  <c r="CF16" i="5"/>
  <c r="BK16" i="5" s="1"/>
  <c r="BX16" i="5"/>
  <c r="BV16" i="5"/>
  <c r="BQ16" i="5"/>
  <c r="BR16" i="5" s="1"/>
  <c r="BO16" i="5"/>
  <c r="BP16" i="5" s="1"/>
  <c r="BM16" i="5"/>
  <c r="BL16" i="5"/>
  <c r="BJ16" i="5"/>
  <c r="BI16" i="5"/>
  <c r="BB16" i="5"/>
  <c r="BA16" i="5"/>
  <c r="AZ16" i="5"/>
  <c r="AX16" i="5"/>
  <c r="AP16" i="5"/>
  <c r="AO16" i="5"/>
  <c r="AL16" i="5"/>
  <c r="AI16" i="5"/>
  <c r="AF16" i="5"/>
  <c r="AC16" i="5"/>
  <c r="Z16" i="5"/>
  <c r="W16" i="5"/>
  <c r="T16" i="5"/>
  <c r="BD16" i="5" s="1"/>
  <c r="Q16" i="5"/>
  <c r="N16" i="5"/>
  <c r="K16" i="5"/>
  <c r="H16" i="5"/>
  <c r="CJ15" i="5"/>
  <c r="CI15" i="5"/>
  <c r="CH15" i="5"/>
  <c r="BK15" i="5" s="1"/>
  <c r="CG15" i="5"/>
  <c r="CF15" i="5"/>
  <c r="BW15" i="5"/>
  <c r="BV15" i="5"/>
  <c r="BS15" i="5"/>
  <c r="BT15" i="5" s="1"/>
  <c r="BR15" i="5"/>
  <c r="BQ15" i="5"/>
  <c r="BO15" i="5"/>
  <c r="BP15" i="5" s="1"/>
  <c r="BM15" i="5"/>
  <c r="BN15" i="5" s="1"/>
  <c r="BL15" i="5"/>
  <c r="BJ15" i="5"/>
  <c r="BI15" i="5"/>
  <c r="BD15" i="5"/>
  <c r="BC15" i="5"/>
  <c r="AZ15" i="5"/>
  <c r="AX15" i="5"/>
  <c r="BB15" i="5" s="1"/>
  <c r="AP15" i="5"/>
  <c r="BA15" i="5" s="1"/>
  <c r="AO15" i="5"/>
  <c r="AL15" i="5"/>
  <c r="AI15" i="5"/>
  <c r="AF15" i="5"/>
  <c r="AC15" i="5"/>
  <c r="Z15" i="5"/>
  <c r="W15" i="5"/>
  <c r="BE15" i="5" s="1"/>
  <c r="T15" i="5"/>
  <c r="Q15" i="5"/>
  <c r="N15" i="5"/>
  <c r="K15" i="5"/>
  <c r="H15" i="5"/>
  <c r="CL14" i="5"/>
  <c r="CK14" i="5"/>
  <c r="CJ14" i="5"/>
  <c r="CI14" i="5"/>
  <c r="CH14" i="5"/>
  <c r="CG14" i="5"/>
  <c r="BK14" i="5" s="1"/>
  <c r="CF14" i="5"/>
  <c r="BW14" i="5"/>
  <c r="BX14" i="5" s="1"/>
  <c r="BV14" i="5"/>
  <c r="BQ14" i="5"/>
  <c r="BR14" i="5" s="1"/>
  <c r="BO14" i="5"/>
  <c r="BN14" i="5"/>
  <c r="BM14" i="5"/>
  <c r="BL14" i="5"/>
  <c r="BJ14" i="5"/>
  <c r="BI14" i="5"/>
  <c r="BF14" i="5"/>
  <c r="AZ14" i="5"/>
  <c r="AX14" i="5"/>
  <c r="BB14" i="5" s="1"/>
  <c r="AP14" i="5"/>
  <c r="BA14" i="5" s="1"/>
  <c r="AO14" i="5"/>
  <c r="AL14" i="5"/>
  <c r="AI14" i="5"/>
  <c r="AF14" i="5"/>
  <c r="AC14" i="5"/>
  <c r="Z14" i="5"/>
  <c r="W14" i="5"/>
  <c r="T14" i="5"/>
  <c r="Q14" i="5"/>
  <c r="N14" i="5"/>
  <c r="K14" i="5"/>
  <c r="H14" i="5"/>
  <c r="CJ13" i="5"/>
  <c r="CI13" i="5"/>
  <c r="CH13" i="5"/>
  <c r="CG13" i="5"/>
  <c r="CF13" i="5"/>
  <c r="BX13" i="5"/>
  <c r="BW13" i="5"/>
  <c r="BV13" i="5"/>
  <c r="BQ13" i="5"/>
  <c r="BR13" i="5" s="1"/>
  <c r="BO13" i="5"/>
  <c r="BP13" i="5" s="1"/>
  <c r="BM13" i="5"/>
  <c r="BN13" i="5" s="1"/>
  <c r="BL13" i="5"/>
  <c r="BK13" i="5"/>
  <c r="BJ13" i="5"/>
  <c r="BI13" i="5"/>
  <c r="BA13" i="5"/>
  <c r="AZ13" i="5"/>
  <c r="AX13" i="5"/>
  <c r="BB13" i="5" s="1"/>
  <c r="AP13" i="5"/>
  <c r="AO13" i="5"/>
  <c r="AL13" i="5"/>
  <c r="AI13" i="5"/>
  <c r="AF13" i="5"/>
  <c r="AC13" i="5"/>
  <c r="Z13" i="5"/>
  <c r="W13" i="5"/>
  <c r="T13" i="5"/>
  <c r="Q13" i="5"/>
  <c r="N13" i="5"/>
  <c r="K13" i="5"/>
  <c r="K49" i="5" s="1"/>
  <c r="H13" i="5"/>
  <c r="CL12" i="5"/>
  <c r="CK12" i="5"/>
  <c r="CJ12" i="5"/>
  <c r="CI12" i="5"/>
  <c r="BK12" i="5" s="1"/>
  <c r="CH12" i="5"/>
  <c r="CG12" i="5"/>
  <c r="CF12" i="5"/>
  <c r="BW12" i="5"/>
  <c r="BX12" i="5" s="1"/>
  <c r="BV12" i="5"/>
  <c r="BQ12" i="5"/>
  <c r="BR12" i="5" s="1"/>
  <c r="BO12" i="5"/>
  <c r="BS12" i="5" s="1"/>
  <c r="BT12" i="5" s="1"/>
  <c r="BN12" i="5"/>
  <c r="BM12" i="5"/>
  <c r="BL12" i="5"/>
  <c r="BJ12" i="5"/>
  <c r="BI12" i="5"/>
  <c r="BA12" i="5"/>
  <c r="AZ12" i="5"/>
  <c r="AX12" i="5"/>
  <c r="BB12" i="5" s="1"/>
  <c r="AP12" i="5"/>
  <c r="AO12" i="5"/>
  <c r="AL12" i="5"/>
  <c r="AI12" i="5"/>
  <c r="AF12" i="5"/>
  <c r="AC12" i="5"/>
  <c r="Z12" i="5"/>
  <c r="BE12" i="5" s="1"/>
  <c r="W12" i="5"/>
  <c r="BC12" i="5" s="1"/>
  <c r="T12" i="5"/>
  <c r="Q12" i="5"/>
  <c r="N12" i="5"/>
  <c r="K12" i="5"/>
  <c r="BD12" i="5" s="1"/>
  <c r="H12" i="5"/>
  <c r="CK11" i="5"/>
  <c r="CJ11" i="5"/>
  <c r="CI11" i="5"/>
  <c r="BK11" i="5" s="1"/>
  <c r="CH11" i="5"/>
  <c r="CG11" i="5"/>
  <c r="CF11" i="5"/>
  <c r="BW11" i="5"/>
  <c r="CL11" i="5" s="1"/>
  <c r="BV11" i="5"/>
  <c r="BQ11" i="5"/>
  <c r="BR11" i="5" s="1"/>
  <c r="BO11" i="5"/>
  <c r="BP11" i="5" s="1"/>
  <c r="BM11" i="5"/>
  <c r="BL11" i="5"/>
  <c r="BJ11" i="5"/>
  <c r="BI11" i="5"/>
  <c r="AZ11" i="5"/>
  <c r="AX11" i="5"/>
  <c r="BB11" i="5" s="1"/>
  <c r="AP11" i="5"/>
  <c r="BA11" i="5" s="1"/>
  <c r="AO11" i="5"/>
  <c r="AL11" i="5"/>
  <c r="AI11" i="5"/>
  <c r="AF11" i="5"/>
  <c r="AC11" i="5"/>
  <c r="BF11" i="5" s="1"/>
  <c r="Z11" i="5"/>
  <c r="W11" i="5"/>
  <c r="T11" i="5"/>
  <c r="Q11" i="5"/>
  <c r="N11" i="5"/>
  <c r="K11" i="5"/>
  <c r="H11" i="5"/>
  <c r="CL10" i="5"/>
  <c r="CK10" i="5"/>
  <c r="CJ10" i="5"/>
  <c r="CI10" i="5"/>
  <c r="CH10" i="5"/>
  <c r="CG10" i="5"/>
  <c r="CF10" i="5"/>
  <c r="BW10" i="5"/>
  <c r="BX10" i="5" s="1"/>
  <c r="BV10" i="5"/>
  <c r="BT10" i="5"/>
  <c r="BQ10" i="5"/>
  <c r="BR10" i="5" s="1"/>
  <c r="BP10" i="5"/>
  <c r="BO10" i="5"/>
  <c r="BS10" i="5" s="1"/>
  <c r="BM10" i="5"/>
  <c r="BN10" i="5" s="1"/>
  <c r="BL10" i="5"/>
  <c r="BK10" i="5"/>
  <c r="BJ10" i="5"/>
  <c r="BI10" i="5"/>
  <c r="BF10" i="5"/>
  <c r="BE10" i="5"/>
  <c r="BB10" i="5"/>
  <c r="BA10" i="5"/>
  <c r="AZ10" i="5"/>
  <c r="AX10" i="5"/>
  <c r="AP10" i="5"/>
  <c r="AO10" i="5"/>
  <c r="AL10" i="5"/>
  <c r="AI10" i="5"/>
  <c r="AF10" i="5"/>
  <c r="BD10" i="5" s="1"/>
  <c r="AC10" i="5"/>
  <c r="Z10" i="5"/>
  <c r="W10" i="5"/>
  <c r="BC10" i="5" s="1"/>
  <c r="T10" i="5"/>
  <c r="Q10" i="5"/>
  <c r="N10" i="5"/>
  <c r="K10" i="5"/>
  <c r="H10" i="5"/>
  <c r="A10" i="5"/>
  <c r="A11" i="5" s="1"/>
  <c r="A12" i="5" s="1"/>
  <c r="A13" i="5" s="1"/>
  <c r="A14" i="5" s="1"/>
  <c r="A15" i="5" s="1"/>
  <c r="A16" i="5" s="1"/>
  <c r="A17" i="5" s="1"/>
  <c r="A9" i="5"/>
  <c r="CL8" i="5"/>
  <c r="CK8" i="5"/>
  <c r="CJ8" i="5"/>
  <c r="CI8" i="5"/>
  <c r="CH8" i="5"/>
  <c r="CG8" i="5"/>
  <c r="CF8" i="5"/>
  <c r="BK8" i="5" s="1"/>
  <c r="BW8" i="5"/>
  <c r="BX8" i="5" s="1"/>
  <c r="BV8" i="5"/>
  <c r="BQ8" i="5"/>
  <c r="BR8" i="5" s="1"/>
  <c r="BO8" i="5"/>
  <c r="BS8" i="5" s="1"/>
  <c r="BT8" i="5" s="1"/>
  <c r="BN8" i="5"/>
  <c r="BM8" i="5"/>
  <c r="BL8" i="5"/>
  <c r="BJ8" i="5"/>
  <c r="BI8" i="5"/>
  <c r="BB8" i="5"/>
  <c r="AZ8" i="5"/>
  <c r="AP8" i="5"/>
  <c r="BA8" i="5" s="1"/>
  <c r="AO8" i="5"/>
  <c r="AL8" i="5"/>
  <c r="AI8" i="5"/>
  <c r="AF8" i="5"/>
  <c r="AC8" i="5"/>
  <c r="Z8" i="5"/>
  <c r="W8" i="5"/>
  <c r="T8" i="5"/>
  <c r="Q8" i="5"/>
  <c r="N8" i="5"/>
  <c r="K8" i="5"/>
  <c r="H8" i="5"/>
  <c r="BZ49" i="4"/>
  <c r="BY49" i="4"/>
  <c r="BU49" i="4"/>
  <c r="CE48" i="4"/>
  <c r="CE49" i="4" s="1"/>
  <c r="CD48" i="4"/>
  <c r="CC48" i="4"/>
  <c r="CC49" i="4" s="1"/>
  <c r="CB48" i="4"/>
  <c r="CB49" i="4" s="1"/>
  <c r="CA48" i="4"/>
  <c r="CA49" i="4" s="1"/>
  <c r="BZ48" i="4"/>
  <c r="BY48" i="4"/>
  <c r="BU48" i="4"/>
  <c r="BH48" i="4"/>
  <c r="BH49" i="4" s="1"/>
  <c r="BG48" i="4"/>
  <c r="CL47" i="4"/>
  <c r="CJ47" i="4"/>
  <c r="CI47" i="4"/>
  <c r="CH47" i="4"/>
  <c r="CG47" i="4"/>
  <c r="CF47" i="4"/>
  <c r="BW47" i="4"/>
  <c r="CK47" i="4" s="1"/>
  <c r="BV47" i="4"/>
  <c r="BR47" i="4"/>
  <c r="BQ47" i="4"/>
  <c r="BO47" i="4"/>
  <c r="BP47" i="4" s="1"/>
  <c r="BM47" i="4"/>
  <c r="BK47" i="4"/>
  <c r="BJ47" i="4"/>
  <c r="BI47" i="4"/>
  <c r="BB47" i="4"/>
  <c r="AZ47" i="4"/>
  <c r="AP47" i="4"/>
  <c r="BA47" i="4" s="1"/>
  <c r="AO47" i="4"/>
  <c r="AL47" i="4"/>
  <c r="AI47" i="4"/>
  <c r="AF47" i="4"/>
  <c r="BD47" i="4" s="1"/>
  <c r="AC47" i="4"/>
  <c r="Z47" i="4"/>
  <c r="W47" i="4"/>
  <c r="T47" i="4"/>
  <c r="Q47" i="4"/>
  <c r="N47" i="4"/>
  <c r="K47" i="4"/>
  <c r="H47" i="4"/>
  <c r="CL46" i="4"/>
  <c r="CK46" i="4"/>
  <c r="CJ46" i="4"/>
  <c r="CI46" i="4"/>
  <c r="CH46" i="4"/>
  <c r="CG46" i="4"/>
  <c r="BK46" i="4" s="1"/>
  <c r="CF46" i="4"/>
  <c r="BX46" i="4"/>
  <c r="BW46" i="4"/>
  <c r="BV46" i="4"/>
  <c r="BQ46" i="4"/>
  <c r="BR46" i="4" s="1"/>
  <c r="BO46" i="4"/>
  <c r="BP46" i="4" s="1"/>
  <c r="BM46" i="4"/>
  <c r="BS46" i="4" s="1"/>
  <c r="BT46" i="4" s="1"/>
  <c r="BJ46" i="4"/>
  <c r="BI46" i="4"/>
  <c r="BB46" i="4"/>
  <c r="AZ46" i="4"/>
  <c r="AP46" i="4"/>
  <c r="BA46" i="4" s="1"/>
  <c r="AO46" i="4"/>
  <c r="AL46" i="4"/>
  <c r="AI46" i="4"/>
  <c r="AF46" i="4"/>
  <c r="AC46" i="4"/>
  <c r="Z46" i="4"/>
  <c r="W46" i="4"/>
  <c r="T46" i="4"/>
  <c r="Q46" i="4"/>
  <c r="N46" i="4"/>
  <c r="K46" i="4"/>
  <c r="H46" i="4"/>
  <c r="CL45" i="4"/>
  <c r="CK45" i="4"/>
  <c r="CJ45" i="4"/>
  <c r="CI45" i="4"/>
  <c r="CH45" i="4"/>
  <c r="CG45" i="4"/>
  <c r="CF45" i="4"/>
  <c r="BK45" i="4" s="1"/>
  <c r="BX45" i="4"/>
  <c r="BW45" i="4"/>
  <c r="BV45" i="4"/>
  <c r="BQ45" i="4"/>
  <c r="BR45" i="4" s="1"/>
  <c r="BO45" i="4"/>
  <c r="BM45" i="4"/>
  <c r="BN45" i="4" s="1"/>
  <c r="BJ45" i="4"/>
  <c r="BI45" i="4"/>
  <c r="BB45" i="4"/>
  <c r="AZ45" i="4"/>
  <c r="AP45" i="4"/>
  <c r="BA45" i="4" s="1"/>
  <c r="AO45" i="4"/>
  <c r="AL45" i="4"/>
  <c r="AI45" i="4"/>
  <c r="AF45" i="4"/>
  <c r="AC45" i="4"/>
  <c r="Z45" i="4"/>
  <c r="W45" i="4"/>
  <c r="T45" i="4"/>
  <c r="Q45" i="4"/>
  <c r="N45" i="4"/>
  <c r="K45" i="4"/>
  <c r="H45" i="4"/>
  <c r="CL44" i="4"/>
  <c r="CK44" i="4"/>
  <c r="CJ44" i="4"/>
  <c r="CI44" i="4"/>
  <c r="CH44" i="4"/>
  <c r="CG44" i="4"/>
  <c r="CF44" i="4"/>
  <c r="BX44" i="4"/>
  <c r="BW44" i="4"/>
  <c r="BV44" i="4"/>
  <c r="BQ44" i="4"/>
  <c r="BR44" i="4" s="1"/>
  <c r="BO44" i="4"/>
  <c r="BP44" i="4" s="1"/>
  <c r="BM44" i="4"/>
  <c r="BS44" i="4" s="1"/>
  <c r="BT44" i="4" s="1"/>
  <c r="BL44" i="4"/>
  <c r="BK44" i="4"/>
  <c r="BJ44" i="4"/>
  <c r="BI44" i="4"/>
  <c r="BB44" i="4"/>
  <c r="BA44" i="4"/>
  <c r="AZ44" i="4"/>
  <c r="AP44" i="4"/>
  <c r="AO44" i="4"/>
  <c r="AL44" i="4"/>
  <c r="AI44" i="4"/>
  <c r="AF44" i="4"/>
  <c r="AC44" i="4"/>
  <c r="Z44" i="4"/>
  <c r="W44" i="4"/>
  <c r="T44" i="4"/>
  <c r="Q44" i="4"/>
  <c r="N44" i="4"/>
  <c r="K44" i="4"/>
  <c r="H44" i="4"/>
  <c r="CJ43" i="4"/>
  <c r="CI43" i="4"/>
  <c r="BK43" i="4" s="1"/>
  <c r="CH43" i="4"/>
  <c r="CG43" i="4"/>
  <c r="CF43" i="4"/>
  <c r="BW43" i="4"/>
  <c r="BV43" i="4"/>
  <c r="BR43" i="4"/>
  <c r="BQ43" i="4"/>
  <c r="BO43" i="4"/>
  <c r="BN43" i="4"/>
  <c r="BM43" i="4"/>
  <c r="BL43" i="4"/>
  <c r="BJ43" i="4"/>
  <c r="BI43" i="4"/>
  <c r="BE43" i="4"/>
  <c r="BB43" i="4"/>
  <c r="BA43" i="4"/>
  <c r="AZ43" i="4"/>
  <c r="AP43" i="4"/>
  <c r="AO43" i="4"/>
  <c r="AL43" i="4"/>
  <c r="AI43" i="4"/>
  <c r="AF43" i="4"/>
  <c r="BD43" i="4" s="1"/>
  <c r="AC43" i="4"/>
  <c r="Z43" i="4"/>
  <c r="W43" i="4"/>
  <c r="BF43" i="4" s="1"/>
  <c r="T43" i="4"/>
  <c r="Q43" i="4"/>
  <c r="N43" i="4"/>
  <c r="K43" i="4"/>
  <c r="H43" i="4"/>
  <c r="CJ42" i="4"/>
  <c r="CI42" i="4"/>
  <c r="CH42" i="4"/>
  <c r="CG42" i="4"/>
  <c r="BK42" i="4" s="1"/>
  <c r="CF42" i="4"/>
  <c r="BW42" i="4"/>
  <c r="BV42" i="4"/>
  <c r="BQ42" i="4"/>
  <c r="BR42" i="4" s="1"/>
  <c r="BO42" i="4"/>
  <c r="BP42" i="4" s="1"/>
  <c r="BN42" i="4"/>
  <c r="BM42" i="4"/>
  <c r="BL42" i="4"/>
  <c r="BJ42" i="4"/>
  <c r="BI42" i="4"/>
  <c r="BB42" i="4"/>
  <c r="BA42" i="4"/>
  <c r="AZ42" i="4"/>
  <c r="AP42" i="4"/>
  <c r="AO42" i="4"/>
  <c r="AL42" i="4"/>
  <c r="AI42" i="4"/>
  <c r="AF42" i="4"/>
  <c r="AC42" i="4"/>
  <c r="Z42" i="4"/>
  <c r="W42" i="4"/>
  <c r="T42" i="4"/>
  <c r="BF42" i="4" s="1"/>
  <c r="Q42" i="4"/>
  <c r="N42" i="4"/>
  <c r="K42" i="4"/>
  <c r="H42" i="4"/>
  <c r="CJ41" i="4"/>
  <c r="CI41" i="4"/>
  <c r="CH41" i="4"/>
  <c r="BK41" i="4" s="1"/>
  <c r="CG41" i="4"/>
  <c r="CF41" i="4"/>
  <c r="BW41" i="4"/>
  <c r="BX41" i="4" s="1"/>
  <c r="BV41" i="4"/>
  <c r="BQ41" i="4"/>
  <c r="BR41" i="4" s="1"/>
  <c r="BO41" i="4"/>
  <c r="BP41" i="4" s="1"/>
  <c r="BM41" i="4"/>
  <c r="BL41" i="4"/>
  <c r="BJ41" i="4"/>
  <c r="BI41" i="4"/>
  <c r="BB41" i="4"/>
  <c r="BA41" i="4"/>
  <c r="AZ41" i="4"/>
  <c r="AP41" i="4"/>
  <c r="AO41" i="4"/>
  <c r="AL41" i="4"/>
  <c r="AI41" i="4"/>
  <c r="AF41" i="4"/>
  <c r="AC41" i="4"/>
  <c r="Z41" i="4"/>
  <c r="W41" i="4"/>
  <c r="BF41" i="4" s="1"/>
  <c r="T41" i="4"/>
  <c r="Q41" i="4"/>
  <c r="N41" i="4"/>
  <c r="K41" i="4"/>
  <c r="BD41" i="4" s="1"/>
  <c r="H41" i="4"/>
  <c r="CJ40" i="4"/>
  <c r="CI40" i="4"/>
  <c r="CH40" i="4"/>
  <c r="CG40" i="4"/>
  <c r="CF40" i="4"/>
  <c r="BX40" i="4"/>
  <c r="BW40" i="4"/>
  <c r="BV40" i="4"/>
  <c r="BS40" i="4"/>
  <c r="BT40" i="4" s="1"/>
  <c r="BQ40" i="4"/>
  <c r="BR40" i="4" s="1"/>
  <c r="BP40" i="4"/>
  <c r="BO40" i="4"/>
  <c r="BM40" i="4"/>
  <c r="BN40" i="4" s="1"/>
  <c r="BL40" i="4"/>
  <c r="BK40" i="4"/>
  <c r="BJ40" i="4"/>
  <c r="BI40" i="4"/>
  <c r="BB40" i="4"/>
  <c r="BA40" i="4"/>
  <c r="AZ40" i="4"/>
  <c r="AP40" i="4"/>
  <c r="AO40" i="4"/>
  <c r="AL40" i="4"/>
  <c r="AI40" i="4"/>
  <c r="AF40" i="4"/>
  <c r="AC40" i="4"/>
  <c r="Z40" i="4"/>
  <c r="W40" i="4"/>
  <c r="T40" i="4"/>
  <c r="Q40" i="4"/>
  <c r="N40" i="4"/>
  <c r="BD40" i="4" s="1"/>
  <c r="K40" i="4"/>
  <c r="H40" i="4"/>
  <c r="CJ39" i="4"/>
  <c r="CI39" i="4"/>
  <c r="CH39" i="4"/>
  <c r="CG39" i="4"/>
  <c r="CF39" i="4"/>
  <c r="BW39" i="4"/>
  <c r="BV39" i="4"/>
  <c r="BS39" i="4"/>
  <c r="BT39" i="4" s="1"/>
  <c r="BQ39" i="4"/>
  <c r="BR39" i="4" s="1"/>
  <c r="BO39" i="4"/>
  <c r="BP39" i="4" s="1"/>
  <c r="BM39" i="4"/>
  <c r="BN39" i="4" s="1"/>
  <c r="BL39" i="4"/>
  <c r="BK39" i="4"/>
  <c r="BJ39" i="4"/>
  <c r="BI39" i="4"/>
  <c r="BD39" i="4"/>
  <c r="BB39" i="4"/>
  <c r="BA39" i="4"/>
  <c r="AZ39" i="4"/>
  <c r="AP39" i="4"/>
  <c r="AO39" i="4"/>
  <c r="AL39" i="4"/>
  <c r="AI39" i="4"/>
  <c r="AF39" i="4"/>
  <c r="AC39" i="4"/>
  <c r="Z39" i="4"/>
  <c r="W39" i="4"/>
  <c r="BC39" i="4" s="1"/>
  <c r="T39" i="4"/>
  <c r="Q39" i="4"/>
  <c r="N39" i="4"/>
  <c r="K39" i="4"/>
  <c r="H39" i="4"/>
  <c r="CL38" i="4"/>
  <c r="CK38" i="4"/>
  <c r="CJ38" i="4"/>
  <c r="CI38" i="4"/>
  <c r="BK38" i="4" s="1"/>
  <c r="CH38" i="4"/>
  <c r="CG38" i="4"/>
  <c r="CF38" i="4"/>
  <c r="BW38" i="4"/>
  <c r="BX38" i="4" s="1"/>
  <c r="BV38" i="4"/>
  <c r="BQ38" i="4"/>
  <c r="BR38" i="4" s="1"/>
  <c r="BO38" i="4"/>
  <c r="BP38" i="4" s="1"/>
  <c r="BM38" i="4"/>
  <c r="BL38" i="4"/>
  <c r="BJ38" i="4"/>
  <c r="BI38" i="4"/>
  <c r="BB38" i="4"/>
  <c r="AZ38" i="4"/>
  <c r="AP38" i="4"/>
  <c r="BA38" i="4" s="1"/>
  <c r="AO38" i="4"/>
  <c r="AL38" i="4"/>
  <c r="AI38" i="4"/>
  <c r="AF38" i="4"/>
  <c r="AC38" i="4"/>
  <c r="Z38" i="4"/>
  <c r="W38" i="4"/>
  <c r="T38" i="4"/>
  <c r="Q38" i="4"/>
  <c r="N38" i="4"/>
  <c r="K38" i="4"/>
  <c r="H38" i="4"/>
  <c r="CL37" i="4"/>
  <c r="CK37" i="4"/>
  <c r="CJ37" i="4"/>
  <c r="CI37" i="4"/>
  <c r="CH37" i="4"/>
  <c r="CG37" i="4"/>
  <c r="CF37" i="4"/>
  <c r="BW37" i="4"/>
  <c r="BX37" i="4" s="1"/>
  <c r="BV37" i="4"/>
  <c r="BR37" i="4"/>
  <c r="BQ37" i="4"/>
  <c r="BO37" i="4"/>
  <c r="BP37" i="4" s="1"/>
  <c r="BM37" i="4"/>
  <c r="BN37" i="4" s="1"/>
  <c r="BL37" i="4"/>
  <c r="BJ37" i="4"/>
  <c r="BI37" i="4"/>
  <c r="BB37" i="4"/>
  <c r="AZ37" i="4"/>
  <c r="AP37" i="4"/>
  <c r="BA37" i="4" s="1"/>
  <c r="AO37" i="4"/>
  <c r="AL37" i="4"/>
  <c r="AI37" i="4"/>
  <c r="AF37" i="4"/>
  <c r="AC37" i="4"/>
  <c r="Z37" i="4"/>
  <c r="W37" i="4"/>
  <c r="BC37" i="4" s="1"/>
  <c r="T37" i="4"/>
  <c r="BD37" i="4" s="1"/>
  <c r="Q37" i="4"/>
  <c r="N37" i="4"/>
  <c r="K37" i="4"/>
  <c r="H37" i="4"/>
  <c r="CK36" i="4"/>
  <c r="CJ36" i="4"/>
  <c r="CI36" i="4"/>
  <c r="CH36" i="4"/>
  <c r="CG36" i="4"/>
  <c r="CF36" i="4"/>
  <c r="BK36" i="4" s="1"/>
  <c r="BX36" i="4"/>
  <c r="BW36" i="4"/>
  <c r="CL36" i="4" s="1"/>
  <c r="BV36" i="4"/>
  <c r="BQ36" i="4"/>
  <c r="BR36" i="4" s="1"/>
  <c r="BP36" i="4"/>
  <c r="BO36" i="4"/>
  <c r="BM36" i="4"/>
  <c r="BN36" i="4" s="1"/>
  <c r="BL36" i="4"/>
  <c r="BJ36" i="4"/>
  <c r="BI36" i="4"/>
  <c r="BF36" i="4"/>
  <c r="BB36" i="4"/>
  <c r="BA36" i="4"/>
  <c r="AZ36" i="4"/>
  <c r="AP36" i="4"/>
  <c r="AO36" i="4"/>
  <c r="AL36" i="4"/>
  <c r="AI36" i="4"/>
  <c r="AF36" i="4"/>
  <c r="AC36" i="4"/>
  <c r="Z36" i="4"/>
  <c r="W36" i="4"/>
  <c r="T36" i="4"/>
  <c r="Q36" i="4"/>
  <c r="N36" i="4"/>
  <c r="K36" i="4"/>
  <c r="H36" i="4"/>
  <c r="CK35" i="4"/>
  <c r="CJ35" i="4"/>
  <c r="CI35" i="4"/>
  <c r="CH35" i="4"/>
  <c r="CG35" i="4"/>
  <c r="CF35" i="4"/>
  <c r="BK35" i="4" s="1"/>
  <c r="BX35" i="4"/>
  <c r="BW35" i="4"/>
  <c r="CL35" i="4" s="1"/>
  <c r="BV35" i="4"/>
  <c r="BQ35" i="4"/>
  <c r="BR35" i="4" s="1"/>
  <c r="BO35" i="4"/>
  <c r="BS35" i="4" s="1"/>
  <c r="BT35" i="4" s="1"/>
  <c r="BN35" i="4"/>
  <c r="BM35" i="4"/>
  <c r="BL35" i="4"/>
  <c r="BJ35" i="4"/>
  <c r="BI35" i="4"/>
  <c r="BB35" i="4"/>
  <c r="BA35" i="4"/>
  <c r="AZ35" i="4"/>
  <c r="AP35" i="4"/>
  <c r="AO35" i="4"/>
  <c r="AL35" i="4"/>
  <c r="AI35" i="4"/>
  <c r="AF35" i="4"/>
  <c r="AC35" i="4"/>
  <c r="Z35" i="4"/>
  <c r="W35" i="4"/>
  <c r="T35" i="4"/>
  <c r="Q35" i="4"/>
  <c r="N35" i="4"/>
  <c r="K35" i="4"/>
  <c r="H35" i="4"/>
  <c r="CL34" i="4"/>
  <c r="CK34" i="4"/>
  <c r="CJ34" i="4"/>
  <c r="CI34" i="4"/>
  <c r="CH34" i="4"/>
  <c r="BK34" i="4" s="1"/>
  <c r="CG34" i="4"/>
  <c r="CF34" i="4"/>
  <c r="BW34" i="4"/>
  <c r="BX34" i="4" s="1"/>
  <c r="BV34" i="4"/>
  <c r="BR34" i="4"/>
  <c r="BQ34" i="4"/>
  <c r="BP34" i="4"/>
  <c r="BO34" i="4"/>
  <c r="BM34" i="4"/>
  <c r="BJ34" i="4"/>
  <c r="BI34" i="4"/>
  <c r="BB34" i="4"/>
  <c r="BA34" i="4"/>
  <c r="AZ34" i="4"/>
  <c r="AX34" i="4"/>
  <c r="AP34" i="4"/>
  <c r="AO34" i="4"/>
  <c r="AL34" i="4"/>
  <c r="AI34" i="4"/>
  <c r="AF34" i="4"/>
  <c r="AC34" i="4"/>
  <c r="Z34" i="4"/>
  <c r="W34" i="4"/>
  <c r="T34" i="4"/>
  <c r="Q34" i="4"/>
  <c r="N34" i="4"/>
  <c r="K34" i="4"/>
  <c r="H34" i="4"/>
  <c r="CL33" i="4"/>
  <c r="CJ33" i="4"/>
  <c r="CI33" i="4"/>
  <c r="CH33" i="4"/>
  <c r="BK33" i="4" s="1"/>
  <c r="CG33" i="4"/>
  <c r="CF33" i="4"/>
  <c r="BW33" i="4"/>
  <c r="CK33" i="4" s="1"/>
  <c r="BV33" i="4"/>
  <c r="BQ33" i="4"/>
  <c r="BS33" i="4" s="1"/>
  <c r="BT33" i="4" s="1"/>
  <c r="BP33" i="4"/>
  <c r="BO33" i="4"/>
  <c r="BM33" i="4"/>
  <c r="BN33" i="4" s="1"/>
  <c r="BL33" i="4"/>
  <c r="BJ33" i="4"/>
  <c r="BI33" i="4"/>
  <c r="BC33" i="4"/>
  <c r="BB33" i="4"/>
  <c r="AZ33" i="4"/>
  <c r="AP33" i="4"/>
  <c r="BA33" i="4" s="1"/>
  <c r="AO33" i="4"/>
  <c r="AL33" i="4"/>
  <c r="AI33" i="4"/>
  <c r="AF33" i="4"/>
  <c r="AC33" i="4"/>
  <c r="Z33" i="4"/>
  <c r="W33" i="4"/>
  <c r="T33" i="4"/>
  <c r="BD33" i="4" s="1"/>
  <c r="Q33" i="4"/>
  <c r="N33" i="4"/>
  <c r="K33" i="4"/>
  <c r="H33" i="4"/>
  <c r="CL32" i="4"/>
  <c r="CK32" i="4"/>
  <c r="CJ32" i="4"/>
  <c r="CI32" i="4"/>
  <c r="CH32" i="4"/>
  <c r="CG32" i="4"/>
  <c r="CF32" i="4"/>
  <c r="BK32" i="4" s="1"/>
  <c r="BX32" i="4"/>
  <c r="BW32" i="4"/>
  <c r="BV32" i="4"/>
  <c r="BQ32" i="4"/>
  <c r="BR32" i="4" s="1"/>
  <c r="BP32" i="4"/>
  <c r="BO32" i="4"/>
  <c r="BM32" i="4"/>
  <c r="BL32" i="4"/>
  <c r="BJ32" i="4"/>
  <c r="BI32" i="4"/>
  <c r="BB32" i="4"/>
  <c r="AZ32" i="4"/>
  <c r="AP32" i="4"/>
  <c r="BA32" i="4" s="1"/>
  <c r="AO32" i="4"/>
  <c r="AL32" i="4"/>
  <c r="AI32" i="4"/>
  <c r="AF32" i="4"/>
  <c r="AC32" i="4"/>
  <c r="Z32" i="4"/>
  <c r="W32" i="4"/>
  <c r="T32" i="4"/>
  <c r="Q32" i="4"/>
  <c r="N32" i="4"/>
  <c r="K32" i="4"/>
  <c r="H32" i="4"/>
  <c r="BC32" i="4" s="1"/>
  <c r="CL31" i="4"/>
  <c r="CJ31" i="4"/>
  <c r="CI31" i="4"/>
  <c r="CH31" i="4"/>
  <c r="CG31" i="4"/>
  <c r="CF31" i="4"/>
  <c r="BW31" i="4"/>
  <c r="BV31" i="4"/>
  <c r="BR31" i="4"/>
  <c r="BQ31" i="4"/>
  <c r="BO31" i="4"/>
  <c r="BS31" i="4" s="1"/>
  <c r="BT31" i="4" s="1"/>
  <c r="BN31" i="4"/>
  <c r="BM31" i="4"/>
  <c r="BL31" i="4"/>
  <c r="BJ31" i="4"/>
  <c r="BI31" i="4"/>
  <c r="BB31" i="4"/>
  <c r="AZ31" i="4"/>
  <c r="AP31" i="4"/>
  <c r="BA31" i="4" s="1"/>
  <c r="AO31" i="4"/>
  <c r="AL31" i="4"/>
  <c r="AI31" i="4"/>
  <c r="AF31" i="4"/>
  <c r="AC31" i="4"/>
  <c r="Z31" i="4"/>
  <c r="W31" i="4"/>
  <c r="T31" i="4"/>
  <c r="Q31" i="4"/>
  <c r="N31" i="4"/>
  <c r="K31" i="4"/>
  <c r="H31" i="4"/>
  <c r="CL30" i="4"/>
  <c r="CJ30" i="4"/>
  <c r="CI30" i="4"/>
  <c r="CH30" i="4"/>
  <c r="CG30" i="4"/>
  <c r="CF30" i="4"/>
  <c r="BW30" i="4"/>
  <c r="CK30" i="4" s="1"/>
  <c r="BV30" i="4"/>
  <c r="BS30" i="4"/>
  <c r="BT30" i="4" s="1"/>
  <c r="BR30" i="4"/>
  <c r="BQ30" i="4"/>
  <c r="BP30" i="4"/>
  <c r="BO30" i="4"/>
  <c r="BM30" i="4"/>
  <c r="BN30" i="4" s="1"/>
  <c r="BL30" i="4"/>
  <c r="BK30" i="4"/>
  <c r="BJ30" i="4"/>
  <c r="BI30" i="4"/>
  <c r="BC30" i="4"/>
  <c r="BB30" i="4"/>
  <c r="AZ30" i="4"/>
  <c r="AP30" i="4"/>
  <c r="BA30" i="4" s="1"/>
  <c r="AO30" i="4"/>
  <c r="AL30" i="4"/>
  <c r="AI30" i="4"/>
  <c r="AF30" i="4"/>
  <c r="AC30" i="4"/>
  <c r="Z30" i="4"/>
  <c r="W30" i="4"/>
  <c r="BE30" i="4" s="1"/>
  <c r="T30" i="4"/>
  <c r="BD30" i="4" s="1"/>
  <c r="Q30" i="4"/>
  <c r="N30" i="4"/>
  <c r="K30" i="4"/>
  <c r="H30" i="4"/>
  <c r="CJ29" i="4"/>
  <c r="CI29" i="4"/>
  <c r="CH29" i="4"/>
  <c r="CG29" i="4"/>
  <c r="CF29" i="4"/>
  <c r="BK29" i="4" s="1"/>
  <c r="BW29" i="4"/>
  <c r="BV29" i="4"/>
  <c r="BQ29" i="4"/>
  <c r="BR29" i="4" s="1"/>
  <c r="BP29" i="4"/>
  <c r="BO29" i="4"/>
  <c r="BM29" i="4"/>
  <c r="BS29" i="4" s="1"/>
  <c r="BT29" i="4" s="1"/>
  <c r="BL29" i="4"/>
  <c r="BJ29" i="4"/>
  <c r="BI29" i="4"/>
  <c r="BB29" i="4"/>
  <c r="AZ29" i="4"/>
  <c r="AP29" i="4"/>
  <c r="BA29" i="4" s="1"/>
  <c r="AO29" i="4"/>
  <c r="AL29" i="4"/>
  <c r="AI29" i="4"/>
  <c r="AF29" i="4"/>
  <c r="AC29" i="4"/>
  <c r="Z29" i="4"/>
  <c r="W29" i="4"/>
  <c r="T29" i="4"/>
  <c r="Q29" i="4"/>
  <c r="N29" i="4"/>
  <c r="K29" i="4"/>
  <c r="H29" i="4"/>
  <c r="CL28" i="4"/>
  <c r="CK28" i="4"/>
  <c r="CJ28" i="4"/>
  <c r="CI28" i="4"/>
  <c r="CH28" i="4"/>
  <c r="CG28" i="4"/>
  <c r="CF28" i="4"/>
  <c r="BK28" i="4" s="1"/>
  <c r="BW28" i="4"/>
  <c r="BX28" i="4" s="1"/>
  <c r="BV28" i="4"/>
  <c r="BS28" i="4"/>
  <c r="BT28" i="4" s="1"/>
  <c r="BR28" i="4"/>
  <c r="BQ28" i="4"/>
  <c r="BO28" i="4"/>
  <c r="BP28" i="4" s="1"/>
  <c r="BM28" i="4"/>
  <c r="BN28" i="4" s="1"/>
  <c r="BL28" i="4"/>
  <c r="BJ28" i="4"/>
  <c r="BI28" i="4"/>
  <c r="BB28" i="4"/>
  <c r="BA28" i="4"/>
  <c r="AZ28" i="4"/>
  <c r="AP28" i="4"/>
  <c r="AO28" i="4"/>
  <c r="AL28" i="4"/>
  <c r="AI28" i="4"/>
  <c r="AF28" i="4"/>
  <c r="AC28" i="4"/>
  <c r="Z28" i="4"/>
  <c r="W28" i="4"/>
  <c r="BE28" i="4" s="1"/>
  <c r="T28" i="4"/>
  <c r="BD28" i="4" s="1"/>
  <c r="Q28" i="4"/>
  <c r="N28" i="4"/>
  <c r="K28" i="4"/>
  <c r="H28" i="4"/>
  <c r="CL27" i="4"/>
  <c r="CK27" i="4"/>
  <c r="CJ27" i="4"/>
  <c r="CI27" i="4"/>
  <c r="CH27" i="4"/>
  <c r="CG27" i="4"/>
  <c r="CF27" i="4"/>
  <c r="BK27" i="4" s="1"/>
  <c r="BX27" i="4"/>
  <c r="BW27" i="4"/>
  <c r="BV27" i="4"/>
  <c r="BQ27" i="4"/>
  <c r="BR27" i="4" s="1"/>
  <c r="BO27" i="4"/>
  <c r="BP27" i="4" s="1"/>
  <c r="BM27" i="4"/>
  <c r="BL27" i="4"/>
  <c r="BJ27" i="4"/>
  <c r="BI27" i="4"/>
  <c r="BB27" i="4"/>
  <c r="AZ27" i="4"/>
  <c r="AP27" i="4"/>
  <c r="BA27" i="4" s="1"/>
  <c r="AO27" i="4"/>
  <c r="AL27" i="4"/>
  <c r="AI27" i="4"/>
  <c r="AF27" i="4"/>
  <c r="AC27" i="4"/>
  <c r="Z27" i="4"/>
  <c r="W27" i="4"/>
  <c r="T27" i="4"/>
  <c r="Q27" i="4"/>
  <c r="N27" i="4"/>
  <c r="K27" i="4"/>
  <c r="H27" i="4"/>
  <c r="CJ26" i="4"/>
  <c r="CI26" i="4"/>
  <c r="CH26" i="4"/>
  <c r="CG26" i="4"/>
  <c r="CF26" i="4"/>
  <c r="BW26" i="4"/>
  <c r="BX26" i="4" s="1"/>
  <c r="BV26" i="4"/>
  <c r="BQ26" i="4"/>
  <c r="BR26" i="4" s="1"/>
  <c r="BO26" i="4"/>
  <c r="BM26" i="4"/>
  <c r="BN26" i="4" s="1"/>
  <c r="BL26" i="4"/>
  <c r="BK26" i="4"/>
  <c r="BJ26" i="4"/>
  <c r="BI26" i="4"/>
  <c r="BB26" i="4"/>
  <c r="BA26" i="4"/>
  <c r="AZ26" i="4"/>
  <c r="AP26" i="4"/>
  <c r="AO26" i="4"/>
  <c r="AL26" i="4"/>
  <c r="AI26" i="4"/>
  <c r="AF26" i="4"/>
  <c r="BD26" i="4" s="1"/>
  <c r="AC26" i="4"/>
  <c r="Z26" i="4"/>
  <c r="W26" i="4"/>
  <c r="T26" i="4"/>
  <c r="Q26" i="4"/>
  <c r="N26" i="4"/>
  <c r="K26" i="4"/>
  <c r="H26" i="4"/>
  <c r="CL25" i="4"/>
  <c r="CK25" i="4"/>
  <c r="CJ25" i="4"/>
  <c r="CI25" i="4"/>
  <c r="CH25" i="4"/>
  <c r="CG25" i="4"/>
  <c r="CF25" i="4"/>
  <c r="BW25" i="4"/>
  <c r="BX25" i="4" s="1"/>
  <c r="BV25" i="4"/>
  <c r="BQ25" i="4"/>
  <c r="BR25" i="4" s="1"/>
  <c r="BO25" i="4"/>
  <c r="BP25" i="4" s="1"/>
  <c r="BM25" i="4"/>
  <c r="BS25" i="4" s="1"/>
  <c r="BT25" i="4" s="1"/>
  <c r="BL25" i="4"/>
  <c r="BJ25" i="4"/>
  <c r="BI25" i="4"/>
  <c r="BB25" i="4"/>
  <c r="AZ25" i="4"/>
  <c r="AP25" i="4"/>
  <c r="BA25" i="4" s="1"/>
  <c r="AO25" i="4"/>
  <c r="AL25" i="4"/>
  <c r="AI25" i="4"/>
  <c r="AF25" i="4"/>
  <c r="AC25" i="4"/>
  <c r="Z25" i="4"/>
  <c r="W25" i="4"/>
  <c r="T25" i="4"/>
  <c r="Q25" i="4"/>
  <c r="N25" i="4"/>
  <c r="K25" i="4"/>
  <c r="H25" i="4"/>
  <c r="CK24" i="4"/>
  <c r="CJ24" i="4"/>
  <c r="CI24" i="4"/>
  <c r="CH24" i="4"/>
  <c r="BK24" i="4" s="1"/>
  <c r="CG24" i="4"/>
  <c r="CF24" i="4"/>
  <c r="BW24" i="4"/>
  <c r="CL24" i="4" s="1"/>
  <c r="BV24" i="4"/>
  <c r="BQ24" i="4"/>
  <c r="BR24" i="4" s="1"/>
  <c r="BO24" i="4"/>
  <c r="BP24" i="4" s="1"/>
  <c r="BM24" i="4"/>
  <c r="BS24" i="4" s="1"/>
  <c r="BT24" i="4" s="1"/>
  <c r="BL24" i="4"/>
  <c r="BJ24" i="4"/>
  <c r="BI24" i="4"/>
  <c r="BC24" i="4"/>
  <c r="BB24" i="4"/>
  <c r="AZ24" i="4"/>
  <c r="AP24" i="4"/>
  <c r="BA24" i="4" s="1"/>
  <c r="AO24" i="4"/>
  <c r="AL24" i="4"/>
  <c r="AI24" i="4"/>
  <c r="AF24" i="4"/>
  <c r="AC24" i="4"/>
  <c r="Z24" i="4"/>
  <c r="W24" i="4"/>
  <c r="T24" i="4"/>
  <c r="BE24" i="4" s="1"/>
  <c r="Q24" i="4"/>
  <c r="N24" i="4"/>
  <c r="K24" i="4"/>
  <c r="H24" i="4"/>
  <c r="CJ23" i="4"/>
  <c r="CI23" i="4"/>
  <c r="CH23" i="4"/>
  <c r="CG23" i="4"/>
  <c r="CF23" i="4"/>
  <c r="BK23" i="4" s="1"/>
  <c r="BW23" i="4"/>
  <c r="BV23" i="4"/>
  <c r="BQ23" i="4"/>
  <c r="BR23" i="4" s="1"/>
  <c r="BO23" i="4"/>
  <c r="BS23" i="4" s="1"/>
  <c r="BT23" i="4" s="1"/>
  <c r="BN23" i="4"/>
  <c r="BM23" i="4"/>
  <c r="BL23" i="4"/>
  <c r="BJ23" i="4"/>
  <c r="BI23" i="4"/>
  <c r="BF23" i="4"/>
  <c r="BB23" i="4"/>
  <c r="BA23" i="4"/>
  <c r="AZ23" i="4"/>
  <c r="AP23" i="4"/>
  <c r="AO23" i="4"/>
  <c r="AL23" i="4"/>
  <c r="AI23" i="4"/>
  <c r="AF23" i="4"/>
  <c r="AC23" i="4"/>
  <c r="Z23" i="4"/>
  <c r="W23" i="4"/>
  <c r="T23" i="4"/>
  <c r="Q23" i="4"/>
  <c r="N23" i="4"/>
  <c r="K23" i="4"/>
  <c r="H23" i="4"/>
  <c r="CJ22" i="4"/>
  <c r="CI22" i="4"/>
  <c r="CH22" i="4"/>
  <c r="BK22" i="4" s="1"/>
  <c r="CG22" i="4"/>
  <c r="CF22" i="4"/>
  <c r="BX22" i="4"/>
  <c r="BW22" i="4"/>
  <c r="BV22" i="4"/>
  <c r="BR22" i="4"/>
  <c r="BQ22" i="4"/>
  <c r="BO22" i="4"/>
  <c r="BP22" i="4" s="1"/>
  <c r="BM22" i="4"/>
  <c r="BS22" i="4" s="1"/>
  <c r="BT22" i="4" s="1"/>
  <c r="BL22" i="4"/>
  <c r="BJ22" i="4"/>
  <c r="BI22" i="4"/>
  <c r="BB22" i="4"/>
  <c r="AZ22" i="4"/>
  <c r="AP22" i="4"/>
  <c r="BA22" i="4" s="1"/>
  <c r="AO22" i="4"/>
  <c r="AL22" i="4"/>
  <c r="AI22" i="4"/>
  <c r="AF22" i="4"/>
  <c r="BD22" i="4" s="1"/>
  <c r="AC22" i="4"/>
  <c r="Z22" i="4"/>
  <c r="W22" i="4"/>
  <c r="T22" i="4"/>
  <c r="Q22" i="4"/>
  <c r="N22" i="4"/>
  <c r="K22" i="4"/>
  <c r="H22" i="4"/>
  <c r="CJ21" i="4"/>
  <c r="CI21" i="4"/>
  <c r="CH21" i="4"/>
  <c r="CG21" i="4"/>
  <c r="BK21" i="4" s="1"/>
  <c r="CF21" i="4"/>
  <c r="BX21" i="4"/>
  <c r="BW21" i="4"/>
  <c r="BV21" i="4"/>
  <c r="BQ21" i="4"/>
  <c r="BR21" i="4" s="1"/>
  <c r="BP21" i="4"/>
  <c r="BO21" i="4"/>
  <c r="BM21" i="4"/>
  <c r="BS21" i="4" s="1"/>
  <c r="BT21" i="4" s="1"/>
  <c r="BL21" i="4"/>
  <c r="BJ21" i="4"/>
  <c r="BI21" i="4"/>
  <c r="BB21" i="4"/>
  <c r="AZ21" i="4"/>
  <c r="AP21" i="4"/>
  <c r="BA21" i="4" s="1"/>
  <c r="AO21" i="4"/>
  <c r="AL21" i="4"/>
  <c r="AI21" i="4"/>
  <c r="AF21" i="4"/>
  <c r="AC21" i="4"/>
  <c r="Z21" i="4"/>
  <c r="W21" i="4"/>
  <c r="BF21" i="4" s="1"/>
  <c r="T21" i="4"/>
  <c r="Q21" i="4"/>
  <c r="N21" i="4"/>
  <c r="K21" i="4"/>
  <c r="H21" i="4"/>
  <c r="CL20" i="4"/>
  <c r="CK20" i="4"/>
  <c r="CJ20" i="4"/>
  <c r="CI20" i="4"/>
  <c r="CH20" i="4"/>
  <c r="CG20" i="4"/>
  <c r="BK20" i="4" s="1"/>
  <c r="CF20" i="4"/>
  <c r="BX20" i="4"/>
  <c r="BW20" i="4"/>
  <c r="BV20" i="4"/>
  <c r="BQ20" i="4"/>
  <c r="BR20" i="4" s="1"/>
  <c r="BO20" i="4"/>
  <c r="BP20" i="4" s="1"/>
  <c r="BM20" i="4"/>
  <c r="BS20" i="4" s="1"/>
  <c r="BT20" i="4" s="1"/>
  <c r="BL20" i="4"/>
  <c r="BJ20" i="4"/>
  <c r="BI20" i="4"/>
  <c r="BB20" i="4"/>
  <c r="AZ20" i="4"/>
  <c r="AP20" i="4"/>
  <c r="BA20" i="4" s="1"/>
  <c r="AO20" i="4"/>
  <c r="AL20" i="4"/>
  <c r="AI20" i="4"/>
  <c r="AF20" i="4"/>
  <c r="AC20" i="4"/>
  <c r="Z20" i="4"/>
  <c r="W20" i="4"/>
  <c r="T20" i="4"/>
  <c r="Q20" i="4"/>
  <c r="N20" i="4"/>
  <c r="K20" i="4"/>
  <c r="H20" i="4"/>
  <c r="CJ19" i="4"/>
  <c r="CI19" i="4"/>
  <c r="BK19" i="4" s="1"/>
  <c r="CH19" i="4"/>
  <c r="CG19" i="4"/>
  <c r="CF19" i="4"/>
  <c r="BW19" i="4"/>
  <c r="BV19" i="4"/>
  <c r="BR19" i="4"/>
  <c r="BQ19" i="4"/>
  <c r="BO19" i="4"/>
  <c r="BS19" i="4" s="1"/>
  <c r="BT19" i="4" s="1"/>
  <c r="BM19" i="4"/>
  <c r="BN19" i="4" s="1"/>
  <c r="BL19" i="4"/>
  <c r="BJ19" i="4"/>
  <c r="BI19" i="4"/>
  <c r="BB19" i="4"/>
  <c r="BA19" i="4"/>
  <c r="AZ19" i="4"/>
  <c r="AP19" i="4"/>
  <c r="AO19" i="4"/>
  <c r="AL19" i="4"/>
  <c r="AI19" i="4"/>
  <c r="AF19" i="4"/>
  <c r="AC19" i="4"/>
  <c r="Z19" i="4"/>
  <c r="W19" i="4"/>
  <c r="T19" i="4"/>
  <c r="Q19" i="4"/>
  <c r="N19" i="4"/>
  <c r="BE19" i="4" s="1"/>
  <c r="K19" i="4"/>
  <c r="H19" i="4"/>
  <c r="CJ18" i="4"/>
  <c r="CI18" i="4"/>
  <c r="CH18" i="4"/>
  <c r="CG18" i="4"/>
  <c r="CF18" i="4"/>
  <c r="BW18" i="4"/>
  <c r="BV18" i="4"/>
  <c r="BS18" i="4"/>
  <c r="BT18" i="4" s="1"/>
  <c r="BQ18" i="4"/>
  <c r="BR18" i="4" s="1"/>
  <c r="BO18" i="4"/>
  <c r="BP18" i="4" s="1"/>
  <c r="BM18" i="4"/>
  <c r="BN18" i="4" s="1"/>
  <c r="BL18" i="4"/>
  <c r="BJ18" i="4"/>
  <c r="BI18" i="4"/>
  <c r="BB18" i="4"/>
  <c r="AZ18" i="4"/>
  <c r="AP18" i="4"/>
  <c r="BA18" i="4" s="1"/>
  <c r="AO18" i="4"/>
  <c r="AL18" i="4"/>
  <c r="AI18" i="4"/>
  <c r="AF18" i="4"/>
  <c r="AC18" i="4"/>
  <c r="Z18" i="4"/>
  <c r="W18" i="4"/>
  <c r="T18" i="4"/>
  <c r="Q18" i="4"/>
  <c r="N18" i="4"/>
  <c r="K18" i="4"/>
  <c r="H18" i="4"/>
  <c r="CJ17" i="4"/>
  <c r="CI17" i="4"/>
  <c r="CH17" i="4"/>
  <c r="CG17" i="4"/>
  <c r="CF17" i="4"/>
  <c r="BX17" i="4"/>
  <c r="BW17" i="4"/>
  <c r="BV17" i="4"/>
  <c r="BR17" i="4"/>
  <c r="BQ17" i="4"/>
  <c r="BO17" i="4"/>
  <c r="BP17" i="4" s="1"/>
  <c r="BM17" i="4"/>
  <c r="BS17" i="4" s="1"/>
  <c r="BT17" i="4" s="1"/>
  <c r="BL17" i="4"/>
  <c r="BK17" i="4"/>
  <c r="BJ17" i="4"/>
  <c r="BI17" i="4"/>
  <c r="BB17" i="4"/>
  <c r="AZ17" i="4"/>
  <c r="AP17" i="4"/>
  <c r="BA17" i="4" s="1"/>
  <c r="AO17" i="4"/>
  <c r="AL17" i="4"/>
  <c r="AI17" i="4"/>
  <c r="AF17" i="4"/>
  <c r="AC17" i="4"/>
  <c r="Z17" i="4"/>
  <c r="W17" i="4"/>
  <c r="T17" i="4"/>
  <c r="Q17" i="4"/>
  <c r="N17" i="4"/>
  <c r="K17" i="4"/>
  <c r="H17" i="4"/>
  <c r="CL16" i="4"/>
  <c r="CK16" i="4"/>
  <c r="CJ16" i="4"/>
  <c r="CI16" i="4"/>
  <c r="CH16" i="4"/>
  <c r="CG16" i="4"/>
  <c r="BK16" i="4" s="1"/>
  <c r="CF16" i="4"/>
  <c r="BW16" i="4"/>
  <c r="BX16" i="4" s="1"/>
  <c r="BV16" i="4"/>
  <c r="BQ16" i="4"/>
  <c r="BR16" i="4" s="1"/>
  <c r="BO16" i="4"/>
  <c r="BP16" i="4" s="1"/>
  <c r="BM16" i="4"/>
  <c r="BL16" i="4"/>
  <c r="BJ16" i="4"/>
  <c r="BI16" i="4"/>
  <c r="BB16" i="4"/>
  <c r="AZ16" i="4"/>
  <c r="AP16" i="4"/>
  <c r="BA16" i="4" s="1"/>
  <c r="AO16" i="4"/>
  <c r="AL16" i="4"/>
  <c r="AI16" i="4"/>
  <c r="AF16" i="4"/>
  <c r="AC16" i="4"/>
  <c r="Z16" i="4"/>
  <c r="W16" i="4"/>
  <c r="T16" i="4"/>
  <c r="Q16" i="4"/>
  <c r="N16" i="4"/>
  <c r="K16" i="4"/>
  <c r="H16" i="4"/>
  <c r="CJ15" i="4"/>
  <c r="CI15" i="4"/>
  <c r="CH15" i="4"/>
  <c r="CG15" i="4"/>
  <c r="CF15" i="4"/>
  <c r="BK15" i="4" s="1"/>
  <c r="BW15" i="4"/>
  <c r="CL15" i="4" s="1"/>
  <c r="BV15" i="4"/>
  <c r="BS15" i="4"/>
  <c r="BT15" i="4" s="1"/>
  <c r="BR15" i="4"/>
  <c r="BQ15" i="4"/>
  <c r="BO15" i="4"/>
  <c r="BP15" i="4" s="1"/>
  <c r="BM15" i="4"/>
  <c r="BN15" i="4" s="1"/>
  <c r="BL15" i="4"/>
  <c r="BJ15" i="4"/>
  <c r="BI15" i="4"/>
  <c r="BB15" i="4"/>
  <c r="BA15" i="4"/>
  <c r="AZ15" i="4"/>
  <c r="AP15" i="4"/>
  <c r="AO15" i="4"/>
  <c r="AL15" i="4"/>
  <c r="AI15" i="4"/>
  <c r="AF15" i="4"/>
  <c r="AC15" i="4"/>
  <c r="Z15" i="4"/>
  <c r="W15" i="4"/>
  <c r="BF15" i="4" s="1"/>
  <c r="T15" i="4"/>
  <c r="Q15" i="4"/>
  <c r="N15" i="4"/>
  <c r="BD15" i="4" s="1"/>
  <c r="K15" i="4"/>
  <c r="H15" i="4"/>
  <c r="CJ14" i="4"/>
  <c r="CI14" i="4"/>
  <c r="CH14" i="4"/>
  <c r="CG14" i="4"/>
  <c r="BK14" i="4" s="1"/>
  <c r="CF14" i="4"/>
  <c r="BW14" i="4"/>
  <c r="CL14" i="4" s="1"/>
  <c r="BV14" i="4"/>
  <c r="BQ14" i="4"/>
  <c r="BR14" i="4" s="1"/>
  <c r="BO14" i="4"/>
  <c r="BP14" i="4" s="1"/>
  <c r="BM14" i="4"/>
  <c r="BS14" i="4" s="1"/>
  <c r="BT14" i="4" s="1"/>
  <c r="BL14" i="4"/>
  <c r="BJ14" i="4"/>
  <c r="BI14" i="4"/>
  <c r="BB14" i="4"/>
  <c r="BA14" i="4"/>
  <c r="AZ14" i="4"/>
  <c r="AP14" i="4"/>
  <c r="AO14" i="4"/>
  <c r="AL14" i="4"/>
  <c r="AI14" i="4"/>
  <c r="AF14" i="4"/>
  <c r="AC14" i="4"/>
  <c r="Z14" i="4"/>
  <c r="W14" i="4"/>
  <c r="T14" i="4"/>
  <c r="Q14" i="4"/>
  <c r="N14" i="4"/>
  <c r="K14" i="4"/>
  <c r="BE14" i="4" s="1"/>
  <c r="H14" i="4"/>
  <c r="CJ13" i="4"/>
  <c r="CI13" i="4"/>
  <c r="CH13" i="4"/>
  <c r="CG13" i="4"/>
  <c r="CF13" i="4"/>
  <c r="BW13" i="4"/>
  <c r="BV13" i="4"/>
  <c r="BS13" i="4"/>
  <c r="BT13" i="4" s="1"/>
  <c r="BR13" i="4"/>
  <c r="BQ13" i="4"/>
  <c r="BO13" i="4"/>
  <c r="BP13" i="4" s="1"/>
  <c r="BN13" i="4"/>
  <c r="BM13" i="4"/>
  <c r="BL13" i="4"/>
  <c r="BJ13" i="4"/>
  <c r="BI13" i="4"/>
  <c r="BB13" i="4"/>
  <c r="AZ13" i="4"/>
  <c r="AP13" i="4"/>
  <c r="BA13" i="4" s="1"/>
  <c r="AO13" i="4"/>
  <c r="AL13" i="4"/>
  <c r="AI13" i="4"/>
  <c r="AF13" i="4"/>
  <c r="AC13" i="4"/>
  <c r="Z13" i="4"/>
  <c r="W13" i="4"/>
  <c r="T13" i="4"/>
  <c r="Q13" i="4"/>
  <c r="N13" i="4"/>
  <c r="K13" i="4"/>
  <c r="H13" i="4"/>
  <c r="CK12" i="4"/>
  <c r="CJ12" i="4"/>
  <c r="CI12" i="4"/>
  <c r="CH12" i="4"/>
  <c r="CG12" i="4"/>
  <c r="CF12" i="4"/>
  <c r="BX12" i="4"/>
  <c r="BW12" i="4"/>
  <c r="CL12" i="4" s="1"/>
  <c r="BV12" i="4"/>
  <c r="BQ12" i="4"/>
  <c r="BR12" i="4" s="1"/>
  <c r="BO12" i="4"/>
  <c r="BS12" i="4" s="1"/>
  <c r="BT12" i="4" s="1"/>
  <c r="BN12" i="4"/>
  <c r="BM12" i="4"/>
  <c r="BL12" i="4"/>
  <c r="BJ12" i="4"/>
  <c r="BI12" i="4"/>
  <c r="BB12" i="4"/>
  <c r="AZ12" i="4"/>
  <c r="AP12" i="4"/>
  <c r="BA12" i="4" s="1"/>
  <c r="AO12" i="4"/>
  <c r="AL12" i="4"/>
  <c r="AI12" i="4"/>
  <c r="AF12" i="4"/>
  <c r="AC12" i="4"/>
  <c r="Z12" i="4"/>
  <c r="W12" i="4"/>
  <c r="T12" i="4"/>
  <c r="Q12" i="4"/>
  <c r="N12" i="4"/>
  <c r="K12" i="4"/>
  <c r="H12" i="4"/>
  <c r="CL11" i="4"/>
  <c r="CJ11" i="4"/>
  <c r="CI11" i="4"/>
  <c r="CH11" i="4"/>
  <c r="CG11" i="4"/>
  <c r="CF11" i="4"/>
  <c r="BW11" i="4"/>
  <c r="BV11" i="4"/>
  <c r="BS11" i="4"/>
  <c r="BT11" i="4" s="1"/>
  <c r="BR11" i="4"/>
  <c r="BQ11" i="4"/>
  <c r="BP11" i="4"/>
  <c r="BO11" i="4"/>
  <c r="BN11" i="4"/>
  <c r="BM11" i="4"/>
  <c r="BL11" i="4"/>
  <c r="BK11" i="4"/>
  <c r="BJ11" i="4"/>
  <c r="BI11" i="4"/>
  <c r="BD11" i="4"/>
  <c r="BB11" i="4"/>
  <c r="BA11" i="4"/>
  <c r="AZ11" i="4"/>
  <c r="AP11" i="4"/>
  <c r="AO11" i="4"/>
  <c r="AL11" i="4"/>
  <c r="AI11" i="4"/>
  <c r="AF11" i="4"/>
  <c r="AC11" i="4"/>
  <c r="Z11" i="4"/>
  <c r="W11" i="4"/>
  <c r="BC11" i="4" s="1"/>
  <c r="T11" i="4"/>
  <c r="Q11" i="4"/>
  <c r="N11" i="4"/>
  <c r="K11" i="4"/>
  <c r="H11" i="4"/>
  <c r="CL10" i="4"/>
  <c r="CK10" i="4"/>
  <c r="CJ10" i="4"/>
  <c r="CI10" i="4"/>
  <c r="CH10" i="4"/>
  <c r="CG10" i="4"/>
  <c r="BK10" i="4" s="1"/>
  <c r="CF10" i="4"/>
  <c r="BX10" i="4"/>
  <c r="BW10" i="4"/>
  <c r="BV10" i="4"/>
  <c r="BQ10" i="4"/>
  <c r="BR10" i="4" s="1"/>
  <c r="BO10" i="4"/>
  <c r="BP10" i="4" s="1"/>
  <c r="BN10" i="4"/>
  <c r="BM10" i="4"/>
  <c r="BS10" i="4" s="1"/>
  <c r="BT10" i="4" s="1"/>
  <c r="BL10" i="4"/>
  <c r="BJ10" i="4"/>
  <c r="BI10" i="4"/>
  <c r="BC10" i="4"/>
  <c r="BB10" i="4"/>
  <c r="AZ10" i="4"/>
  <c r="AP10" i="4"/>
  <c r="BA10" i="4" s="1"/>
  <c r="AO10" i="4"/>
  <c r="AL10" i="4"/>
  <c r="AI10" i="4"/>
  <c r="AF10" i="4"/>
  <c r="AC10" i="4"/>
  <c r="Z10" i="4"/>
  <c r="W10" i="4"/>
  <c r="T10" i="4"/>
  <c r="BD10" i="4" s="1"/>
  <c r="Q10" i="4"/>
  <c r="N10" i="4"/>
  <c r="K10" i="4"/>
  <c r="H10" i="4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CL9" i="4"/>
  <c r="CK9" i="4"/>
  <c r="CJ9" i="4"/>
  <c r="CI9" i="4"/>
  <c r="CH9" i="4"/>
  <c r="CG9" i="4"/>
  <c r="CF9" i="4"/>
  <c r="BK9" i="4" s="1"/>
  <c r="BX9" i="4"/>
  <c r="BW9" i="4"/>
  <c r="BV9" i="4"/>
  <c r="BS9" i="4"/>
  <c r="BT9" i="4" s="1"/>
  <c r="BR9" i="4"/>
  <c r="BQ9" i="4"/>
  <c r="BP9" i="4"/>
  <c r="BO9" i="4"/>
  <c r="BM9" i="4"/>
  <c r="BN9" i="4" s="1"/>
  <c r="BL9" i="4"/>
  <c r="BJ9" i="4"/>
  <c r="BI9" i="4"/>
  <c r="BC9" i="4"/>
  <c r="BB9" i="4"/>
  <c r="AZ9" i="4"/>
  <c r="AP9" i="4"/>
  <c r="BA9" i="4" s="1"/>
  <c r="AO9" i="4"/>
  <c r="AL9" i="4"/>
  <c r="AI9" i="4"/>
  <c r="AF9" i="4"/>
  <c r="AC9" i="4"/>
  <c r="Z9" i="4"/>
  <c r="W9" i="4"/>
  <c r="T9" i="4"/>
  <c r="BD9" i="4" s="1"/>
  <c r="Q9" i="4"/>
  <c r="N9" i="4"/>
  <c r="K9" i="4"/>
  <c r="H9" i="4"/>
  <c r="BU46" i="3"/>
  <c r="BH46" i="3"/>
  <c r="BG46" i="3"/>
  <c r="AY46" i="3"/>
  <c r="AW46" i="3"/>
  <c r="AT46" i="3"/>
  <c r="AV46" i="3" s="1"/>
  <c r="AS46" i="3"/>
  <c r="AX46" i="3" s="1"/>
  <c r="AQ46" i="3"/>
  <c r="AO46" i="3"/>
  <c r="AM46" i="3"/>
  <c r="AJ46" i="3"/>
  <c r="AL46" i="3" s="1"/>
  <c r="AI46" i="3"/>
  <c r="AG46" i="3"/>
  <c r="AD46" i="3"/>
  <c r="AF46" i="3" s="1"/>
  <c r="AA46" i="3"/>
  <c r="AC46" i="3" s="1"/>
  <c r="X46" i="3"/>
  <c r="Z46" i="3" s="1"/>
  <c r="W46" i="3"/>
  <c r="U46" i="3"/>
  <c r="R46" i="3"/>
  <c r="T46" i="3" s="1"/>
  <c r="Q46" i="3"/>
  <c r="O46" i="3"/>
  <c r="L46" i="3"/>
  <c r="N46" i="3" s="1"/>
  <c r="K46" i="3"/>
  <c r="I46" i="3"/>
  <c r="F46" i="3"/>
  <c r="H46" i="3" s="1"/>
  <c r="A46" i="3"/>
  <c r="CK42" i="3"/>
  <c r="CJ42" i="3"/>
  <c r="CI42" i="3"/>
  <c r="CH42" i="3"/>
  <c r="CG42" i="3"/>
  <c r="CF42" i="3"/>
  <c r="BW42" i="3"/>
  <c r="BX42" i="3" s="1"/>
  <c r="BV42" i="3"/>
  <c r="BQ42" i="3"/>
  <c r="BR42" i="3" s="1"/>
  <c r="BO42" i="3"/>
  <c r="BP42" i="3" s="1"/>
  <c r="BM42" i="3"/>
  <c r="BS42" i="3" s="1"/>
  <c r="BT42" i="3" s="1"/>
  <c r="BL42" i="3"/>
  <c r="BJ42" i="3"/>
  <c r="BI42" i="3"/>
  <c r="AZ42" i="3"/>
  <c r="AX42" i="3"/>
  <c r="BB42" i="3" s="1"/>
  <c r="AP42" i="3"/>
  <c r="BA42" i="3" s="1"/>
  <c r="AO42" i="3"/>
  <c r="AL42" i="3"/>
  <c r="AI42" i="3"/>
  <c r="AF42" i="3"/>
  <c r="AC42" i="3"/>
  <c r="Z42" i="3"/>
  <c r="BF42" i="3" s="1"/>
  <c r="W42" i="3"/>
  <c r="T42" i="3"/>
  <c r="Q42" i="3"/>
  <c r="N42" i="3"/>
  <c r="K42" i="3"/>
  <c r="H42" i="3"/>
  <c r="CJ41" i="3"/>
  <c r="CI41" i="3"/>
  <c r="CH41" i="3"/>
  <c r="CG41" i="3"/>
  <c r="CF41" i="3"/>
  <c r="BK41" i="3" s="1"/>
  <c r="BW41" i="3"/>
  <c r="BV41" i="3"/>
  <c r="BR41" i="3"/>
  <c r="BQ41" i="3"/>
  <c r="BO41" i="3"/>
  <c r="BP41" i="3" s="1"/>
  <c r="BM41" i="3"/>
  <c r="BN41" i="3" s="1"/>
  <c r="BL41" i="3"/>
  <c r="BJ41" i="3"/>
  <c r="BI41" i="3"/>
  <c r="AZ41" i="3"/>
  <c r="AX41" i="3"/>
  <c r="BB41" i="3" s="1"/>
  <c r="AP41" i="3"/>
  <c r="BA41" i="3" s="1"/>
  <c r="AO41" i="3"/>
  <c r="AL41" i="3"/>
  <c r="AI41" i="3"/>
  <c r="AF41" i="3"/>
  <c r="AC41" i="3"/>
  <c r="Z41" i="3"/>
  <c r="W41" i="3"/>
  <c r="T41" i="3"/>
  <c r="BC41" i="3" s="1"/>
  <c r="Q41" i="3"/>
  <c r="N41" i="3"/>
  <c r="K41" i="3"/>
  <c r="H41" i="3"/>
  <c r="CJ40" i="3"/>
  <c r="CI40" i="3"/>
  <c r="CH40" i="3"/>
  <c r="BK40" i="3" s="1"/>
  <c r="CG40" i="3"/>
  <c r="CF40" i="3"/>
  <c r="BW40" i="3"/>
  <c r="BV40" i="3"/>
  <c r="BQ40" i="3"/>
  <c r="BR40" i="3" s="1"/>
  <c r="BP40" i="3"/>
  <c r="BO40" i="3"/>
  <c r="BM40" i="3"/>
  <c r="BN40" i="3" s="1"/>
  <c r="BJ40" i="3"/>
  <c r="BI40" i="3"/>
  <c r="AZ40" i="3"/>
  <c r="AX40" i="3"/>
  <c r="BB40" i="3" s="1"/>
  <c r="AP40" i="3"/>
  <c r="BA40" i="3" s="1"/>
  <c r="AO40" i="3"/>
  <c r="AL40" i="3"/>
  <c r="AI40" i="3"/>
  <c r="AF40" i="3"/>
  <c r="AC40" i="3"/>
  <c r="Z40" i="3"/>
  <c r="W40" i="3"/>
  <c r="T40" i="3"/>
  <c r="Q40" i="3"/>
  <c r="N40" i="3"/>
  <c r="K40" i="3"/>
  <c r="H40" i="3"/>
  <c r="CJ39" i="3"/>
  <c r="CI39" i="3"/>
  <c r="CH39" i="3"/>
  <c r="CG39" i="3"/>
  <c r="CF39" i="3"/>
  <c r="BW39" i="3"/>
  <c r="CK39" i="3" s="1"/>
  <c r="BV39" i="3"/>
  <c r="BS39" i="3"/>
  <c r="BT39" i="3" s="1"/>
  <c r="BR39" i="3"/>
  <c r="BQ39" i="3"/>
  <c r="BO39" i="3"/>
  <c r="BP39" i="3" s="1"/>
  <c r="BN39" i="3"/>
  <c r="BM39" i="3"/>
  <c r="BL39" i="3"/>
  <c r="BK39" i="3"/>
  <c r="BJ39" i="3"/>
  <c r="BI39" i="3"/>
  <c r="BD39" i="3"/>
  <c r="BB39" i="3"/>
  <c r="BA39" i="3"/>
  <c r="AZ39" i="3"/>
  <c r="AX39" i="3"/>
  <c r="AP39" i="3"/>
  <c r="AO39" i="3"/>
  <c r="AL39" i="3"/>
  <c r="AI39" i="3"/>
  <c r="AF39" i="3"/>
  <c r="AC39" i="3"/>
  <c r="Z39" i="3"/>
  <c r="BF39" i="3" s="1"/>
  <c r="W39" i="3"/>
  <c r="BC39" i="3" s="1"/>
  <c r="T39" i="3"/>
  <c r="Q39" i="3"/>
  <c r="N39" i="3"/>
  <c r="K39" i="3"/>
  <c r="H39" i="3"/>
  <c r="CK38" i="3"/>
  <c r="CJ38" i="3"/>
  <c r="CI38" i="3"/>
  <c r="CH38" i="3"/>
  <c r="CG38" i="3"/>
  <c r="BK38" i="3" s="1"/>
  <c r="CF38" i="3"/>
  <c r="BW38" i="3"/>
  <c r="BX38" i="3" s="1"/>
  <c r="BV38" i="3"/>
  <c r="BQ38" i="3"/>
  <c r="BR38" i="3" s="1"/>
  <c r="BO38" i="3"/>
  <c r="BP38" i="3" s="1"/>
  <c r="BM38" i="3"/>
  <c r="BL38" i="3"/>
  <c r="BJ38" i="3"/>
  <c r="BI38" i="3"/>
  <c r="BB38" i="3"/>
  <c r="AZ38" i="3"/>
  <c r="AP38" i="3"/>
  <c r="BA38" i="3" s="1"/>
  <c r="AO38" i="3"/>
  <c r="AL38" i="3"/>
  <c r="AI38" i="3"/>
  <c r="AF38" i="3"/>
  <c r="AC38" i="3"/>
  <c r="Z38" i="3"/>
  <c r="W38" i="3"/>
  <c r="T38" i="3"/>
  <c r="Q38" i="3"/>
  <c r="N38" i="3"/>
  <c r="K38" i="3"/>
  <c r="H38" i="3"/>
  <c r="CK37" i="3"/>
  <c r="CJ37" i="3"/>
  <c r="CI37" i="3"/>
  <c r="CH37" i="3"/>
  <c r="BK37" i="3" s="1"/>
  <c r="CG37" i="3"/>
  <c r="CF37" i="3"/>
  <c r="BW37" i="3"/>
  <c r="BX37" i="3" s="1"/>
  <c r="BV37" i="3"/>
  <c r="BQ37" i="3"/>
  <c r="BR37" i="3" s="1"/>
  <c r="BO37" i="3"/>
  <c r="BN37" i="3"/>
  <c r="BM37" i="3"/>
  <c r="BJ37" i="3"/>
  <c r="BI37" i="3"/>
  <c r="BB37" i="3"/>
  <c r="BA37" i="3"/>
  <c r="AZ37" i="3"/>
  <c r="AP37" i="3"/>
  <c r="AO37" i="3"/>
  <c r="AL37" i="3"/>
  <c r="AI37" i="3"/>
  <c r="AF37" i="3"/>
  <c r="AC37" i="3"/>
  <c r="Z37" i="3"/>
  <c r="BF37" i="3" s="1"/>
  <c r="W37" i="3"/>
  <c r="T37" i="3"/>
  <c r="Q37" i="3"/>
  <c r="N37" i="3"/>
  <c r="K37" i="3"/>
  <c r="H37" i="3"/>
  <c r="CK36" i="3"/>
  <c r="CJ36" i="3"/>
  <c r="CI36" i="3"/>
  <c r="CH36" i="3"/>
  <c r="CG36" i="3"/>
  <c r="CF36" i="3"/>
  <c r="BK36" i="3" s="1"/>
  <c r="BX36" i="3"/>
  <c r="BW36" i="3"/>
  <c r="BV36" i="3"/>
  <c r="BQ36" i="3"/>
  <c r="BR36" i="3" s="1"/>
  <c r="BP36" i="3"/>
  <c r="BO36" i="3"/>
  <c r="BM36" i="3"/>
  <c r="BL36" i="3"/>
  <c r="BJ36" i="3"/>
  <c r="BI36" i="3"/>
  <c r="BB36" i="3"/>
  <c r="BA36" i="3"/>
  <c r="AZ36" i="3"/>
  <c r="AX36" i="3"/>
  <c r="AP36" i="3"/>
  <c r="AO36" i="3"/>
  <c r="AL36" i="3"/>
  <c r="AI36" i="3"/>
  <c r="AF36" i="3"/>
  <c r="AC36" i="3"/>
  <c r="Z36" i="3"/>
  <c r="W36" i="3"/>
  <c r="BC36" i="3" s="1"/>
  <c r="T36" i="3"/>
  <c r="Q36" i="3"/>
  <c r="N36" i="3"/>
  <c r="K36" i="3"/>
  <c r="H36" i="3"/>
  <c r="CK35" i="3"/>
  <c r="CJ35" i="3"/>
  <c r="CI35" i="3"/>
  <c r="CH35" i="3"/>
  <c r="CG35" i="3"/>
  <c r="CF35" i="3"/>
  <c r="BX35" i="3"/>
  <c r="BW35" i="3"/>
  <c r="BV35" i="3"/>
  <c r="BQ35" i="3"/>
  <c r="BR35" i="3" s="1"/>
  <c r="BO35" i="3"/>
  <c r="BS35" i="3" s="1"/>
  <c r="BT35" i="3" s="1"/>
  <c r="BN35" i="3"/>
  <c r="BM35" i="3"/>
  <c r="BL35" i="3"/>
  <c r="BK35" i="3"/>
  <c r="BJ35" i="3"/>
  <c r="BI35" i="3"/>
  <c r="BB35" i="3"/>
  <c r="BA35" i="3"/>
  <c r="AZ35" i="3"/>
  <c r="AP35" i="3"/>
  <c r="AO35" i="3"/>
  <c r="AL35" i="3"/>
  <c r="AI35" i="3"/>
  <c r="AF35" i="3"/>
  <c r="AC35" i="3"/>
  <c r="Z35" i="3"/>
  <c r="BE35" i="3" s="1"/>
  <c r="W35" i="3"/>
  <c r="T35" i="3"/>
  <c r="Q35" i="3"/>
  <c r="N35" i="3"/>
  <c r="K35" i="3"/>
  <c r="H35" i="3"/>
  <c r="CJ34" i="3"/>
  <c r="CI34" i="3"/>
  <c r="CH34" i="3"/>
  <c r="CG34" i="3"/>
  <c r="CF34" i="3"/>
  <c r="BK34" i="3" s="1"/>
  <c r="BX34" i="3"/>
  <c r="BW34" i="3"/>
  <c r="CK34" i="3" s="1"/>
  <c r="BV34" i="3"/>
  <c r="BR34" i="3"/>
  <c r="BQ34" i="3"/>
  <c r="BO34" i="3"/>
  <c r="BP34" i="3" s="1"/>
  <c r="BM34" i="3"/>
  <c r="BL34" i="3"/>
  <c r="BJ34" i="3"/>
  <c r="BI34" i="3"/>
  <c r="BB34" i="3"/>
  <c r="BA34" i="3"/>
  <c r="AZ34" i="3"/>
  <c r="AP34" i="3"/>
  <c r="AO34" i="3"/>
  <c r="AL34" i="3"/>
  <c r="AI34" i="3"/>
  <c r="AF34" i="3"/>
  <c r="BD34" i="3" s="1"/>
  <c r="AC34" i="3"/>
  <c r="Z34" i="3"/>
  <c r="W34" i="3"/>
  <c r="T34" i="3"/>
  <c r="Q34" i="3"/>
  <c r="N34" i="3"/>
  <c r="K34" i="3"/>
  <c r="H34" i="3"/>
  <c r="CK33" i="3"/>
  <c r="CJ33" i="3"/>
  <c r="CI33" i="3"/>
  <c r="CH33" i="3"/>
  <c r="BK33" i="3" s="1"/>
  <c r="CG33" i="3"/>
  <c r="CF33" i="3"/>
  <c r="BW33" i="3"/>
  <c r="BX33" i="3" s="1"/>
  <c r="BV33" i="3"/>
  <c r="BQ33" i="3"/>
  <c r="BR33" i="3" s="1"/>
  <c r="BP33" i="3"/>
  <c r="BO33" i="3"/>
  <c r="BS33" i="3" s="1"/>
  <c r="BT33" i="3" s="1"/>
  <c r="BN33" i="3"/>
  <c r="BM33" i="3"/>
  <c r="BL33" i="3"/>
  <c r="BJ33" i="3"/>
  <c r="BI33" i="3"/>
  <c r="BB33" i="3"/>
  <c r="BA33" i="3"/>
  <c r="AZ33" i="3"/>
  <c r="AP33" i="3"/>
  <c r="AO33" i="3"/>
  <c r="AL33" i="3"/>
  <c r="AI33" i="3"/>
  <c r="AF33" i="3"/>
  <c r="AC33" i="3"/>
  <c r="Z33" i="3"/>
  <c r="W33" i="3"/>
  <c r="T33" i="3"/>
  <c r="Q33" i="3"/>
  <c r="N33" i="3"/>
  <c r="K33" i="3"/>
  <c r="H33" i="3"/>
  <c r="CK32" i="3"/>
  <c r="CJ32" i="3"/>
  <c r="CI32" i="3"/>
  <c r="CH32" i="3"/>
  <c r="BK32" i="3" s="1"/>
  <c r="CG32" i="3"/>
  <c r="CF32" i="3"/>
  <c r="BW32" i="3"/>
  <c r="BX32" i="3" s="1"/>
  <c r="BV32" i="3"/>
  <c r="BQ32" i="3"/>
  <c r="BR32" i="3" s="1"/>
  <c r="BP32" i="3"/>
  <c r="BO32" i="3"/>
  <c r="BN32" i="3"/>
  <c r="BM32" i="3"/>
  <c r="BL32" i="3"/>
  <c r="BJ32" i="3"/>
  <c r="BI32" i="3"/>
  <c r="BB32" i="3"/>
  <c r="AZ32" i="3"/>
  <c r="AP32" i="3"/>
  <c r="BA32" i="3" s="1"/>
  <c r="AO32" i="3"/>
  <c r="AL32" i="3"/>
  <c r="AI32" i="3"/>
  <c r="AF32" i="3"/>
  <c r="AC32" i="3"/>
  <c r="Z32" i="3"/>
  <c r="W32" i="3"/>
  <c r="T32" i="3"/>
  <c r="Q32" i="3"/>
  <c r="N32" i="3"/>
  <c r="K32" i="3"/>
  <c r="H32" i="3"/>
  <c r="CJ31" i="3"/>
  <c r="CI31" i="3"/>
  <c r="CH31" i="3"/>
  <c r="CG31" i="3"/>
  <c r="CF31" i="3"/>
  <c r="BW31" i="3"/>
  <c r="BV31" i="3"/>
  <c r="BS31" i="3"/>
  <c r="BT31" i="3" s="1"/>
  <c r="BR31" i="3"/>
  <c r="BQ31" i="3"/>
  <c r="BP31" i="3"/>
  <c r="BO31" i="3"/>
  <c r="BN31" i="3"/>
  <c r="BM31" i="3"/>
  <c r="BL31" i="3"/>
  <c r="BK31" i="3"/>
  <c r="BJ31" i="3"/>
  <c r="BI31" i="3"/>
  <c r="BB31" i="3"/>
  <c r="BA31" i="3"/>
  <c r="AZ31" i="3"/>
  <c r="AP31" i="3"/>
  <c r="AO31" i="3"/>
  <c r="AL31" i="3"/>
  <c r="AI31" i="3"/>
  <c r="AF31" i="3"/>
  <c r="AC31" i="3"/>
  <c r="Z31" i="3"/>
  <c r="W31" i="3"/>
  <c r="BF31" i="3" s="1"/>
  <c r="T31" i="3"/>
  <c r="Q31" i="3"/>
  <c r="N31" i="3"/>
  <c r="BD31" i="3" s="1"/>
  <c r="K31" i="3"/>
  <c r="H31" i="3"/>
  <c r="CJ30" i="3"/>
  <c r="CI30" i="3"/>
  <c r="CH30" i="3"/>
  <c r="CG30" i="3"/>
  <c r="CF30" i="3"/>
  <c r="BK30" i="3" s="1"/>
  <c r="BW30" i="3"/>
  <c r="BV30" i="3"/>
  <c r="BR30" i="3"/>
  <c r="BQ30" i="3"/>
  <c r="BO30" i="3"/>
  <c r="BP30" i="3" s="1"/>
  <c r="BN30" i="3"/>
  <c r="BM30" i="3"/>
  <c r="BJ30" i="3"/>
  <c r="BI30" i="3"/>
  <c r="BB30" i="3"/>
  <c r="AZ30" i="3"/>
  <c r="AP30" i="3"/>
  <c r="BA30" i="3" s="1"/>
  <c r="AO30" i="3"/>
  <c r="AL30" i="3"/>
  <c r="AI30" i="3"/>
  <c r="AF30" i="3"/>
  <c r="AC30" i="3"/>
  <c r="Z30" i="3"/>
  <c r="W30" i="3"/>
  <c r="T30" i="3"/>
  <c r="Q30" i="3"/>
  <c r="N30" i="3"/>
  <c r="K30" i="3"/>
  <c r="H30" i="3"/>
  <c r="BD30" i="3" s="1"/>
  <c r="CK29" i="3"/>
  <c r="CJ29" i="3"/>
  <c r="CI29" i="3"/>
  <c r="CH29" i="3"/>
  <c r="CG29" i="3"/>
  <c r="BK29" i="3" s="1"/>
  <c r="CF29" i="3"/>
  <c r="BX29" i="3"/>
  <c r="BW29" i="3"/>
  <c r="BV29" i="3"/>
  <c r="BQ29" i="3"/>
  <c r="BS29" i="3" s="1"/>
  <c r="BT29" i="3" s="1"/>
  <c r="BP29" i="3"/>
  <c r="BO29" i="3"/>
  <c r="BM29" i="3"/>
  <c r="BN29" i="3" s="1"/>
  <c r="BL29" i="3"/>
  <c r="BJ29" i="3"/>
  <c r="BI29" i="3"/>
  <c r="BB29" i="3"/>
  <c r="BA29" i="3"/>
  <c r="AZ29" i="3"/>
  <c r="AP29" i="3"/>
  <c r="AO29" i="3"/>
  <c r="AL29" i="3"/>
  <c r="AI29" i="3"/>
  <c r="AF29" i="3"/>
  <c r="AC29" i="3"/>
  <c r="Z29" i="3"/>
  <c r="W29" i="3"/>
  <c r="T29" i="3"/>
  <c r="BC29" i="3" s="1"/>
  <c r="Q29" i="3"/>
  <c r="N29" i="3"/>
  <c r="K29" i="3"/>
  <c r="H29" i="3"/>
  <c r="CJ28" i="3"/>
  <c r="CI28" i="3"/>
  <c r="CH28" i="3"/>
  <c r="CG28" i="3"/>
  <c r="CF28" i="3"/>
  <c r="BK28" i="3" s="1"/>
  <c r="BW28" i="3"/>
  <c r="CK28" i="3" s="1"/>
  <c r="BV28" i="3"/>
  <c r="BQ28" i="3"/>
  <c r="BR28" i="3" s="1"/>
  <c r="BP28" i="3"/>
  <c r="BO28" i="3"/>
  <c r="BM28" i="3"/>
  <c r="BL28" i="3"/>
  <c r="BJ28" i="3"/>
  <c r="BI28" i="3"/>
  <c r="BB28" i="3"/>
  <c r="BA28" i="3"/>
  <c r="AZ28" i="3"/>
  <c r="AP28" i="3"/>
  <c r="AO28" i="3"/>
  <c r="AL28" i="3"/>
  <c r="AI28" i="3"/>
  <c r="AF28" i="3"/>
  <c r="AC28" i="3"/>
  <c r="Z28" i="3"/>
  <c r="W28" i="3"/>
  <c r="T28" i="3"/>
  <c r="Q28" i="3"/>
  <c r="N28" i="3"/>
  <c r="K28" i="3"/>
  <c r="BF28" i="3" s="1"/>
  <c r="H28" i="3"/>
  <c r="CJ27" i="3"/>
  <c r="CI27" i="3"/>
  <c r="CH27" i="3"/>
  <c r="CG27" i="3"/>
  <c r="BK27" i="3" s="1"/>
  <c r="CF27" i="3"/>
  <c r="BW27" i="3"/>
  <c r="BV27" i="3"/>
  <c r="BS27" i="3"/>
  <c r="BT27" i="3" s="1"/>
  <c r="BR27" i="3"/>
  <c r="BQ27" i="3"/>
  <c r="BP27" i="3"/>
  <c r="BO27" i="3"/>
  <c r="BM27" i="3"/>
  <c r="BN27" i="3" s="1"/>
  <c r="BJ27" i="3"/>
  <c r="BI27" i="3"/>
  <c r="BB27" i="3"/>
  <c r="BA27" i="3"/>
  <c r="AZ27" i="3"/>
  <c r="AP27" i="3"/>
  <c r="AO27" i="3"/>
  <c r="AL27" i="3"/>
  <c r="AI27" i="3"/>
  <c r="AF27" i="3"/>
  <c r="AC27" i="3"/>
  <c r="Z27" i="3"/>
  <c r="W27" i="3"/>
  <c r="BF27" i="3" s="1"/>
  <c r="T27" i="3"/>
  <c r="BC27" i="3" s="1"/>
  <c r="Q27" i="3"/>
  <c r="N27" i="3"/>
  <c r="K27" i="3"/>
  <c r="H27" i="3"/>
  <c r="CJ26" i="3"/>
  <c r="CI26" i="3"/>
  <c r="CH26" i="3"/>
  <c r="CG26" i="3"/>
  <c r="CF26" i="3"/>
  <c r="BK26" i="3" s="1"/>
  <c r="BW26" i="3"/>
  <c r="CK26" i="3" s="1"/>
  <c r="BV26" i="3"/>
  <c r="BR26" i="3"/>
  <c r="BQ26" i="3"/>
  <c r="BO26" i="3"/>
  <c r="BP26" i="3" s="1"/>
  <c r="BM26" i="3"/>
  <c r="BL26" i="3"/>
  <c r="BJ26" i="3"/>
  <c r="BI26" i="3"/>
  <c r="BD26" i="3"/>
  <c r="BB26" i="3"/>
  <c r="BA26" i="3"/>
  <c r="AZ26" i="3"/>
  <c r="AP26" i="3"/>
  <c r="AO26" i="3"/>
  <c r="AL26" i="3"/>
  <c r="AI26" i="3"/>
  <c r="AF26" i="3"/>
  <c r="AC26" i="3"/>
  <c r="Z26" i="3"/>
  <c r="W26" i="3"/>
  <c r="BE26" i="3" s="1"/>
  <c r="T26" i="3"/>
  <c r="Q26" i="3"/>
  <c r="N26" i="3"/>
  <c r="K26" i="3"/>
  <c r="H26" i="3"/>
  <c r="CJ25" i="3"/>
  <c r="CI25" i="3"/>
  <c r="CH25" i="3"/>
  <c r="CG25" i="3"/>
  <c r="CF25" i="3"/>
  <c r="BK25" i="3" s="1"/>
  <c r="BW25" i="3"/>
  <c r="BX25" i="3" s="1"/>
  <c r="BV25" i="3"/>
  <c r="BQ25" i="3"/>
  <c r="BR25" i="3" s="1"/>
  <c r="BO25" i="3"/>
  <c r="BP25" i="3" s="1"/>
  <c r="BM25" i="3"/>
  <c r="BS25" i="3" s="1"/>
  <c r="BT25" i="3" s="1"/>
  <c r="BL25" i="3"/>
  <c r="BJ25" i="3"/>
  <c r="BI25" i="3"/>
  <c r="BB25" i="3"/>
  <c r="BA25" i="3"/>
  <c r="AZ25" i="3"/>
  <c r="AP25" i="3"/>
  <c r="AO25" i="3"/>
  <c r="AL25" i="3"/>
  <c r="AI25" i="3"/>
  <c r="AF25" i="3"/>
  <c r="BF25" i="3" s="1"/>
  <c r="AC25" i="3"/>
  <c r="Z25" i="3"/>
  <c r="W25" i="3"/>
  <c r="T25" i="3"/>
  <c r="Q25" i="3"/>
  <c r="N25" i="3"/>
  <c r="K25" i="3"/>
  <c r="H25" i="3"/>
  <c r="CJ24" i="3"/>
  <c r="CI24" i="3"/>
  <c r="CH24" i="3"/>
  <c r="CG24" i="3"/>
  <c r="CF24" i="3"/>
  <c r="BX24" i="3"/>
  <c r="BW24" i="3"/>
  <c r="CK24" i="3" s="1"/>
  <c r="BV24" i="3"/>
  <c r="BR24" i="3"/>
  <c r="BQ24" i="3"/>
  <c r="BO24" i="3"/>
  <c r="BP24" i="3" s="1"/>
  <c r="BM24" i="3"/>
  <c r="BS24" i="3" s="1"/>
  <c r="BT24" i="3" s="1"/>
  <c r="BL24" i="3"/>
  <c r="BJ24" i="3"/>
  <c r="BI24" i="3"/>
  <c r="BB24" i="3"/>
  <c r="AZ24" i="3"/>
  <c r="AP24" i="3"/>
  <c r="BA24" i="3" s="1"/>
  <c r="AO24" i="3"/>
  <c r="AL24" i="3"/>
  <c r="AI24" i="3"/>
  <c r="AF24" i="3"/>
  <c r="AC24" i="3"/>
  <c r="Z24" i="3"/>
  <c r="W24" i="3"/>
  <c r="T24" i="3"/>
  <c r="Q24" i="3"/>
  <c r="N24" i="3"/>
  <c r="K24" i="3"/>
  <c r="H24" i="3"/>
  <c r="BE24" i="3" s="1"/>
  <c r="CK23" i="3"/>
  <c r="CJ23" i="3"/>
  <c r="CI23" i="3"/>
  <c r="CH23" i="3"/>
  <c r="CG23" i="3"/>
  <c r="CF23" i="3"/>
  <c r="BK23" i="3" s="1"/>
  <c r="BW23" i="3"/>
  <c r="BX23" i="3" s="1"/>
  <c r="BV23" i="3"/>
  <c r="BQ23" i="3"/>
  <c r="BS23" i="3" s="1"/>
  <c r="BT23" i="3" s="1"/>
  <c r="BP23" i="3"/>
  <c r="BO23" i="3"/>
  <c r="BM23" i="3"/>
  <c r="BN23" i="3" s="1"/>
  <c r="BL23" i="3"/>
  <c r="BJ23" i="3"/>
  <c r="BI23" i="3"/>
  <c r="BB23" i="3"/>
  <c r="BA23" i="3"/>
  <c r="AZ23" i="3"/>
  <c r="AP23" i="3"/>
  <c r="AO23" i="3"/>
  <c r="AL23" i="3"/>
  <c r="AI23" i="3"/>
  <c r="AF23" i="3"/>
  <c r="BD23" i="3" s="1"/>
  <c r="AC23" i="3"/>
  <c r="Z23" i="3"/>
  <c r="W23" i="3"/>
  <c r="T23" i="3"/>
  <c r="Q23" i="3"/>
  <c r="N23" i="3"/>
  <c r="K23" i="3"/>
  <c r="H23" i="3"/>
  <c r="CJ22" i="3"/>
  <c r="CI22" i="3"/>
  <c r="CH22" i="3"/>
  <c r="CG22" i="3"/>
  <c r="BK22" i="3" s="1"/>
  <c r="CF22" i="3"/>
  <c r="BW22" i="3"/>
  <c r="CK22" i="3" s="1"/>
  <c r="BV22" i="3"/>
  <c r="BR22" i="3"/>
  <c r="BQ22" i="3"/>
  <c r="BO22" i="3"/>
  <c r="BP22" i="3" s="1"/>
  <c r="BM22" i="3"/>
  <c r="BS22" i="3" s="1"/>
  <c r="BT22" i="3" s="1"/>
  <c r="BL22" i="3"/>
  <c r="BJ22" i="3"/>
  <c r="BI22" i="3"/>
  <c r="BF22" i="3"/>
  <c r="AZ22" i="3"/>
  <c r="AX22" i="3"/>
  <c r="BB22" i="3" s="1"/>
  <c r="AP22" i="3"/>
  <c r="BA22" i="3" s="1"/>
  <c r="AO22" i="3"/>
  <c r="AL22" i="3"/>
  <c r="AI22" i="3"/>
  <c r="AF22" i="3"/>
  <c r="AC22" i="3"/>
  <c r="Z22" i="3"/>
  <c r="W22" i="3"/>
  <c r="T22" i="3"/>
  <c r="Q22" i="3"/>
  <c r="N22" i="3"/>
  <c r="K22" i="3"/>
  <c r="H22" i="3"/>
  <c r="CJ21" i="3"/>
  <c r="CI21" i="3"/>
  <c r="CH21" i="3"/>
  <c r="CG21" i="3"/>
  <c r="CF21" i="3"/>
  <c r="BW21" i="3"/>
  <c r="BX21" i="3" s="1"/>
  <c r="BV21" i="3"/>
  <c r="BQ21" i="3"/>
  <c r="BR21" i="3" s="1"/>
  <c r="BO21" i="3"/>
  <c r="BS21" i="3" s="1"/>
  <c r="BT21" i="3" s="1"/>
  <c r="BN21" i="3"/>
  <c r="BM21" i="3"/>
  <c r="BJ21" i="3"/>
  <c r="BI21" i="3"/>
  <c r="AZ21" i="3"/>
  <c r="AX21" i="3"/>
  <c r="BB21" i="3" s="1"/>
  <c r="AP21" i="3"/>
  <c r="BA21" i="3" s="1"/>
  <c r="AO21" i="3"/>
  <c r="AL21" i="3"/>
  <c r="AI21" i="3"/>
  <c r="AF21" i="3"/>
  <c r="BF21" i="3" s="1"/>
  <c r="AC21" i="3"/>
  <c r="Z21" i="3"/>
  <c r="W21" i="3"/>
  <c r="T21" i="3"/>
  <c r="Q21" i="3"/>
  <c r="N21" i="3"/>
  <c r="K21" i="3"/>
  <c r="H21" i="3"/>
  <c r="BE21" i="3" s="1"/>
  <c r="CJ20" i="3"/>
  <c r="CI20" i="3"/>
  <c r="CH20" i="3"/>
  <c r="CG20" i="3"/>
  <c r="BK20" i="3" s="1"/>
  <c r="CF20" i="3"/>
  <c r="BX20" i="3"/>
  <c r="BW20" i="3"/>
  <c r="CK20" i="3" s="1"/>
  <c r="BV20" i="3"/>
  <c r="BQ20" i="3"/>
  <c r="BR20" i="3" s="1"/>
  <c r="BP20" i="3"/>
  <c r="BO20" i="3"/>
  <c r="BM20" i="3"/>
  <c r="BN20" i="3" s="1"/>
  <c r="BL20" i="3"/>
  <c r="BJ20" i="3"/>
  <c r="BI20" i="3"/>
  <c r="BB20" i="3"/>
  <c r="AZ20" i="3"/>
  <c r="AX20" i="3"/>
  <c r="AP20" i="3"/>
  <c r="BA20" i="3" s="1"/>
  <c r="AO20" i="3"/>
  <c r="AL20" i="3"/>
  <c r="AI20" i="3"/>
  <c r="AF20" i="3"/>
  <c r="AC20" i="3"/>
  <c r="Z20" i="3"/>
  <c r="W20" i="3"/>
  <c r="BE20" i="3" s="1"/>
  <c r="T20" i="3"/>
  <c r="BC20" i="3" s="1"/>
  <c r="Q20" i="3"/>
  <c r="N20" i="3"/>
  <c r="K20" i="3"/>
  <c r="H20" i="3"/>
  <c r="CK19" i="3"/>
  <c r="CJ19" i="3"/>
  <c r="CI19" i="3"/>
  <c r="BK19" i="3" s="1"/>
  <c r="CH19" i="3"/>
  <c r="CG19" i="3"/>
  <c r="CF19" i="3"/>
  <c r="BX19" i="3"/>
  <c r="BW19" i="3"/>
  <c r="BV19" i="3"/>
  <c r="BR19" i="3"/>
  <c r="BQ19" i="3"/>
  <c r="BO19" i="3"/>
  <c r="BP19" i="3" s="1"/>
  <c r="BN19" i="3"/>
  <c r="BM19" i="3"/>
  <c r="BJ19" i="3"/>
  <c r="BI19" i="3"/>
  <c r="BB19" i="3"/>
  <c r="BA19" i="3"/>
  <c r="AZ19" i="3"/>
  <c r="AX19" i="3"/>
  <c r="AP19" i="3"/>
  <c r="AO19" i="3"/>
  <c r="AL19" i="3"/>
  <c r="AI19" i="3"/>
  <c r="AF19" i="3"/>
  <c r="AC19" i="3"/>
  <c r="Z19" i="3"/>
  <c r="W19" i="3"/>
  <c r="T19" i="3"/>
  <c r="BD19" i="3" s="1"/>
  <c r="Q19" i="3"/>
  <c r="N19" i="3"/>
  <c r="K19" i="3"/>
  <c r="H19" i="3"/>
  <c r="CK18" i="3"/>
  <c r="CJ18" i="3"/>
  <c r="CI18" i="3"/>
  <c r="CH18" i="3"/>
  <c r="CG18" i="3"/>
  <c r="CF18" i="3"/>
  <c r="BK18" i="3" s="1"/>
  <c r="BX18" i="3"/>
  <c r="BW18" i="3"/>
  <c r="BV18" i="3"/>
  <c r="BQ18" i="3"/>
  <c r="BR18" i="3" s="1"/>
  <c r="BP18" i="3"/>
  <c r="BO18" i="3"/>
  <c r="BM18" i="3"/>
  <c r="BL18" i="3"/>
  <c r="BJ18" i="3"/>
  <c r="BI18" i="3"/>
  <c r="BB18" i="3"/>
  <c r="BA18" i="3"/>
  <c r="AZ18" i="3"/>
  <c r="AX18" i="3"/>
  <c r="AP18" i="3"/>
  <c r="AO18" i="3"/>
  <c r="AL18" i="3"/>
  <c r="AI18" i="3"/>
  <c r="AF18" i="3"/>
  <c r="AC18" i="3"/>
  <c r="Z18" i="3"/>
  <c r="W18" i="3"/>
  <c r="T18" i="3"/>
  <c r="Q18" i="3"/>
  <c r="N18" i="3"/>
  <c r="K18" i="3"/>
  <c r="H18" i="3"/>
  <c r="CK17" i="3"/>
  <c r="CJ17" i="3"/>
  <c r="CI17" i="3"/>
  <c r="CH17" i="3"/>
  <c r="CG17" i="3"/>
  <c r="CF17" i="3"/>
  <c r="BK17" i="3" s="1"/>
  <c r="BW17" i="3"/>
  <c r="BX17" i="3" s="1"/>
  <c r="BV17" i="3"/>
  <c r="BQ17" i="3"/>
  <c r="BR17" i="3" s="1"/>
  <c r="BO17" i="3"/>
  <c r="BP17" i="3" s="1"/>
  <c r="BM17" i="3"/>
  <c r="BL17" i="3"/>
  <c r="BJ17" i="3"/>
  <c r="BI17" i="3"/>
  <c r="AZ17" i="3"/>
  <c r="AX17" i="3"/>
  <c r="BB17" i="3" s="1"/>
  <c r="AP17" i="3"/>
  <c r="BA17" i="3" s="1"/>
  <c r="AO17" i="3"/>
  <c r="AL17" i="3"/>
  <c r="AI17" i="3"/>
  <c r="AF17" i="3"/>
  <c r="AC17" i="3"/>
  <c r="Z17" i="3"/>
  <c r="W17" i="3"/>
  <c r="T17" i="3"/>
  <c r="Q17" i="3"/>
  <c r="N17" i="3"/>
  <c r="K17" i="3"/>
  <c r="H17" i="3"/>
  <c r="CK16" i="3"/>
  <c r="CJ16" i="3"/>
  <c r="CI16" i="3"/>
  <c r="CH16" i="3"/>
  <c r="CG16" i="3"/>
  <c r="CF16" i="3"/>
  <c r="BK16" i="3" s="1"/>
  <c r="BW16" i="3"/>
  <c r="BX16" i="3" s="1"/>
  <c r="BV16" i="3"/>
  <c r="BQ16" i="3"/>
  <c r="BS16" i="3" s="1"/>
  <c r="BT16" i="3" s="1"/>
  <c r="BP16" i="3"/>
  <c r="BO16" i="3"/>
  <c r="BM16" i="3"/>
  <c r="BN16" i="3" s="1"/>
  <c r="BL16" i="3"/>
  <c r="BJ16" i="3"/>
  <c r="BI16" i="3"/>
  <c r="BB16" i="3"/>
  <c r="AZ16" i="3"/>
  <c r="AX16" i="3"/>
  <c r="AP16" i="3"/>
  <c r="BA16" i="3" s="1"/>
  <c r="AO16" i="3"/>
  <c r="AL16" i="3"/>
  <c r="AI16" i="3"/>
  <c r="AF16" i="3"/>
  <c r="AC16" i="3"/>
  <c r="Z16" i="3"/>
  <c r="W16" i="3"/>
  <c r="BF16" i="3" s="1"/>
  <c r="T16" i="3"/>
  <c r="BD16" i="3" s="1"/>
  <c r="Q16" i="3"/>
  <c r="N16" i="3"/>
  <c r="K16" i="3"/>
  <c r="H16" i="3"/>
  <c r="CK15" i="3"/>
  <c r="CJ15" i="3"/>
  <c r="CI15" i="3"/>
  <c r="CH15" i="3"/>
  <c r="CG15" i="3"/>
  <c r="CF15" i="3"/>
  <c r="BK15" i="3" s="1"/>
  <c r="BX15" i="3"/>
  <c r="BW15" i="3"/>
  <c r="BV15" i="3"/>
  <c r="BQ15" i="3"/>
  <c r="BR15" i="3" s="1"/>
  <c r="BO15" i="3"/>
  <c r="BP15" i="3" s="1"/>
  <c r="BM15" i="3"/>
  <c r="BS15" i="3" s="1"/>
  <c r="BT15" i="3" s="1"/>
  <c r="BL15" i="3"/>
  <c r="BJ15" i="3"/>
  <c r="BI15" i="3"/>
  <c r="BD15" i="3"/>
  <c r="BC15" i="3"/>
  <c r="AZ15" i="3"/>
  <c r="AX15" i="3"/>
  <c r="BB15" i="3" s="1"/>
  <c r="AP15" i="3"/>
  <c r="BA15" i="3" s="1"/>
  <c r="AO15" i="3"/>
  <c r="AL15" i="3"/>
  <c r="AI15" i="3"/>
  <c r="AF15" i="3"/>
  <c r="AC15" i="3"/>
  <c r="Z15" i="3"/>
  <c r="W15" i="3"/>
  <c r="T15" i="3"/>
  <c r="Q15" i="3"/>
  <c r="N15" i="3"/>
  <c r="K15" i="3"/>
  <c r="H15" i="3"/>
  <c r="CJ14" i="3"/>
  <c r="CI14" i="3"/>
  <c r="CH14" i="3"/>
  <c r="CG14" i="3"/>
  <c r="CF14" i="3"/>
  <c r="BK14" i="3" s="1"/>
  <c r="BW14" i="3"/>
  <c r="BX14" i="3" s="1"/>
  <c r="BV14" i="3"/>
  <c r="BQ14" i="3"/>
  <c r="BR14" i="3" s="1"/>
  <c r="BP14" i="3"/>
  <c r="BO14" i="3"/>
  <c r="BN14" i="3"/>
  <c r="BM14" i="3"/>
  <c r="BL14" i="3"/>
  <c r="BJ14" i="3"/>
  <c r="BI14" i="3"/>
  <c r="BB14" i="3"/>
  <c r="BA14" i="3"/>
  <c r="AZ14" i="3"/>
  <c r="AP14" i="3"/>
  <c r="AO14" i="3"/>
  <c r="AL14" i="3"/>
  <c r="AI14" i="3"/>
  <c r="AF14" i="3"/>
  <c r="AC14" i="3"/>
  <c r="Z14" i="3"/>
  <c r="W14" i="3"/>
  <c r="T14" i="3"/>
  <c r="BC14" i="3" s="1"/>
  <c r="Q14" i="3"/>
  <c r="N14" i="3"/>
  <c r="K14" i="3"/>
  <c r="H14" i="3"/>
  <c r="CJ13" i="3"/>
  <c r="CI13" i="3"/>
  <c r="CH13" i="3"/>
  <c r="CG13" i="3"/>
  <c r="BK13" i="3" s="1"/>
  <c r="CF13" i="3"/>
  <c r="BW13" i="3"/>
  <c r="CK13" i="3" s="1"/>
  <c r="BV13" i="3"/>
  <c r="BR13" i="3"/>
  <c r="BQ13" i="3"/>
  <c r="BO13" i="3"/>
  <c r="BP13" i="3" s="1"/>
  <c r="BN13" i="3"/>
  <c r="BM13" i="3"/>
  <c r="BL13" i="3"/>
  <c r="BJ13" i="3"/>
  <c r="BI13" i="3"/>
  <c r="BB13" i="3"/>
  <c r="AZ13" i="3"/>
  <c r="AP13" i="3"/>
  <c r="BA13" i="3" s="1"/>
  <c r="AO13" i="3"/>
  <c r="AL13" i="3"/>
  <c r="AI13" i="3"/>
  <c r="AF13" i="3"/>
  <c r="AC13" i="3"/>
  <c r="Z13" i="3"/>
  <c r="W13" i="3"/>
  <c r="T13" i="3"/>
  <c r="Q13" i="3"/>
  <c r="N13" i="3"/>
  <c r="K13" i="3"/>
  <c r="H13" i="3"/>
  <c r="BF13" i="3" s="1"/>
  <c r="CK12" i="3"/>
  <c r="CJ12" i="3"/>
  <c r="CI12" i="3"/>
  <c r="CH12" i="3"/>
  <c r="CG12" i="3"/>
  <c r="CF12" i="3"/>
  <c r="BW12" i="3"/>
  <c r="BX12" i="3" s="1"/>
  <c r="BV12" i="3"/>
  <c r="BQ12" i="3"/>
  <c r="BR12" i="3" s="1"/>
  <c r="BO12" i="3"/>
  <c r="BS12" i="3" s="1"/>
  <c r="BT12" i="3" s="1"/>
  <c r="BN12" i="3"/>
  <c r="BM12" i="3"/>
  <c r="BL12" i="3"/>
  <c r="BJ12" i="3"/>
  <c r="BI12" i="3"/>
  <c r="BB12" i="3"/>
  <c r="AZ12" i="3"/>
  <c r="AP12" i="3"/>
  <c r="BA12" i="3" s="1"/>
  <c r="AO12" i="3"/>
  <c r="AL12" i="3"/>
  <c r="AI12" i="3"/>
  <c r="AF12" i="3"/>
  <c r="AC12" i="3"/>
  <c r="Z12" i="3"/>
  <c r="W12" i="3"/>
  <c r="T12" i="3"/>
  <c r="Q12" i="3"/>
  <c r="N12" i="3"/>
  <c r="K12" i="3"/>
  <c r="H12" i="3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CJ11" i="3"/>
  <c r="CI11" i="3"/>
  <c r="CH11" i="3"/>
  <c r="CG11" i="3"/>
  <c r="CF11" i="3"/>
  <c r="BW11" i="3"/>
  <c r="CK11" i="3" s="1"/>
  <c r="BV11" i="3"/>
  <c r="BS11" i="3"/>
  <c r="BT11" i="3" s="1"/>
  <c r="BR11" i="3"/>
  <c r="BQ11" i="3"/>
  <c r="BP11" i="3"/>
  <c r="BO11" i="3"/>
  <c r="BN11" i="3"/>
  <c r="BM11" i="3"/>
  <c r="BL11" i="3"/>
  <c r="BK11" i="3"/>
  <c r="BJ11" i="3"/>
  <c r="BI11" i="3"/>
  <c r="BD11" i="3"/>
  <c r="BB11" i="3"/>
  <c r="BA11" i="3"/>
  <c r="AZ11" i="3"/>
  <c r="AP11" i="3"/>
  <c r="AO11" i="3"/>
  <c r="AL11" i="3"/>
  <c r="AI11" i="3"/>
  <c r="AF11" i="3"/>
  <c r="AC11" i="3"/>
  <c r="Z11" i="3"/>
  <c r="W11" i="3"/>
  <c r="BF11" i="3" s="1"/>
  <c r="T11" i="3"/>
  <c r="Q11" i="3"/>
  <c r="N11" i="3"/>
  <c r="K11" i="3"/>
  <c r="H11" i="3"/>
  <c r="CJ10" i="3"/>
  <c r="CI10" i="3"/>
  <c r="CH10" i="3"/>
  <c r="CG10" i="3"/>
  <c r="CF10" i="3"/>
  <c r="BK10" i="3" s="1"/>
  <c r="BW10" i="3"/>
  <c r="BW46" i="3" s="1"/>
  <c r="BW47" i="3" s="1"/>
  <c r="BV10" i="3"/>
  <c r="BS10" i="3"/>
  <c r="BT10" i="3" s="1"/>
  <c r="BR10" i="3"/>
  <c r="BQ10" i="3"/>
  <c r="BO10" i="3"/>
  <c r="BP10" i="3" s="1"/>
  <c r="BM10" i="3"/>
  <c r="BN10" i="3" s="1"/>
  <c r="BJ10" i="3"/>
  <c r="BI10" i="3"/>
  <c r="BB10" i="3"/>
  <c r="AZ10" i="3"/>
  <c r="AP10" i="3"/>
  <c r="BA10" i="3" s="1"/>
  <c r="AO10" i="3"/>
  <c r="AL10" i="3"/>
  <c r="AI10" i="3"/>
  <c r="AF10" i="3"/>
  <c r="AC10" i="3"/>
  <c r="Z10" i="3"/>
  <c r="W10" i="3"/>
  <c r="BF10" i="3" s="1"/>
  <c r="T10" i="3"/>
  <c r="Q10" i="3"/>
  <c r="N10" i="3"/>
  <c r="K10" i="3"/>
  <c r="BD10" i="3" s="1"/>
  <c r="H10" i="3"/>
  <c r="CK9" i="3"/>
  <c r="CJ9" i="3"/>
  <c r="CI9" i="3"/>
  <c r="CH9" i="3"/>
  <c r="CG9" i="3"/>
  <c r="CF9" i="3"/>
  <c r="BK9" i="3" s="1"/>
  <c r="BX9" i="3"/>
  <c r="BW9" i="3"/>
  <c r="BV9" i="3"/>
  <c r="BS9" i="3"/>
  <c r="BT9" i="3" s="1"/>
  <c r="BR9" i="3"/>
  <c r="BQ9" i="3"/>
  <c r="BO9" i="3"/>
  <c r="BP9" i="3" s="1"/>
  <c r="BM9" i="3"/>
  <c r="BN9" i="3" s="1"/>
  <c r="BL9" i="3"/>
  <c r="BJ9" i="3"/>
  <c r="BI9" i="3"/>
  <c r="BC9" i="3"/>
  <c r="BB9" i="3"/>
  <c r="AZ9" i="3"/>
  <c r="AP9" i="3"/>
  <c r="BA9" i="3" s="1"/>
  <c r="AO9" i="3"/>
  <c r="AL9" i="3"/>
  <c r="AI9" i="3"/>
  <c r="AF9" i="3"/>
  <c r="AC9" i="3"/>
  <c r="Z9" i="3"/>
  <c r="W9" i="3"/>
  <c r="T9" i="3"/>
  <c r="BE9" i="3" s="1"/>
  <c r="Q9" i="3"/>
  <c r="N9" i="3"/>
  <c r="K9" i="3"/>
  <c r="H9" i="3"/>
  <c r="A9" i="3"/>
  <c r="A10" i="3" s="1"/>
  <c r="A11" i="3" s="1"/>
  <c r="CK8" i="3"/>
  <c r="CJ8" i="3"/>
  <c r="CI8" i="3"/>
  <c r="CH8" i="3"/>
  <c r="CG8" i="3"/>
  <c r="CF8" i="3"/>
  <c r="BK8" i="3" s="1"/>
  <c r="BX8" i="3"/>
  <c r="BW8" i="3"/>
  <c r="BV8" i="3"/>
  <c r="BQ8" i="3"/>
  <c r="BR8" i="3" s="1"/>
  <c r="BP8" i="3"/>
  <c r="BO8" i="3"/>
  <c r="BM8" i="3"/>
  <c r="BN8" i="3" s="1"/>
  <c r="BJ8" i="3"/>
  <c r="BI8" i="3"/>
  <c r="BC8" i="3"/>
  <c r="BB8" i="3"/>
  <c r="AZ8" i="3"/>
  <c r="AP8" i="3"/>
  <c r="BA8" i="3" s="1"/>
  <c r="AO8" i="3"/>
  <c r="AL8" i="3"/>
  <c r="AI8" i="3"/>
  <c r="AF8" i="3"/>
  <c r="AC8" i="3"/>
  <c r="Z8" i="3"/>
  <c r="BF8" i="3" s="1"/>
  <c r="W8" i="3"/>
  <c r="BE8" i="3" s="1"/>
  <c r="T8" i="3"/>
  <c r="BD8" i="3" s="1"/>
  <c r="Q8" i="3"/>
  <c r="N8" i="3"/>
  <c r="K8" i="3"/>
  <c r="H8" i="3"/>
  <c r="BU46" i="2"/>
  <c r="BH46" i="2"/>
  <c r="BG46" i="2"/>
  <c r="AY46" i="2"/>
  <c r="AW46" i="2"/>
  <c r="AV46" i="2"/>
  <c r="AT46" i="2"/>
  <c r="AQ46" i="2"/>
  <c r="AS46" i="2" s="1"/>
  <c r="AM46" i="2"/>
  <c r="AP46" i="2" s="1"/>
  <c r="AL46" i="2"/>
  <c r="AJ46" i="2"/>
  <c r="AG46" i="2"/>
  <c r="AI46" i="2" s="1"/>
  <c r="AD46" i="2"/>
  <c r="AF46" i="2" s="1"/>
  <c r="AC46" i="2"/>
  <c r="AA46" i="2"/>
  <c r="Z46" i="2"/>
  <c r="X46" i="2"/>
  <c r="U46" i="2"/>
  <c r="W46" i="2" s="1"/>
  <c r="R46" i="2"/>
  <c r="T46" i="2" s="1"/>
  <c r="O46" i="2"/>
  <c r="Q46" i="2" s="1"/>
  <c r="L46" i="2"/>
  <c r="N46" i="2" s="1"/>
  <c r="K46" i="2"/>
  <c r="I46" i="2"/>
  <c r="F46" i="2"/>
  <c r="H46" i="2" s="1"/>
  <c r="A46" i="2"/>
  <c r="CK42" i="2"/>
  <c r="CJ42" i="2"/>
  <c r="CI42" i="2"/>
  <c r="BK42" i="2" s="1"/>
  <c r="CH42" i="2"/>
  <c r="CG42" i="2"/>
  <c r="CF42" i="2"/>
  <c r="BW42" i="2"/>
  <c r="BX42" i="2" s="1"/>
  <c r="BV42" i="2"/>
  <c r="BQ42" i="2"/>
  <c r="BS42" i="2" s="1"/>
  <c r="BT42" i="2" s="1"/>
  <c r="BO42" i="2"/>
  <c r="BP42" i="2" s="1"/>
  <c r="BM42" i="2"/>
  <c r="BN42" i="2" s="1"/>
  <c r="BL42" i="2"/>
  <c r="BJ42" i="2"/>
  <c r="BI42" i="2"/>
  <c r="BB42" i="2"/>
  <c r="BA42" i="2"/>
  <c r="AZ42" i="2"/>
  <c r="AP42" i="2"/>
  <c r="AO42" i="2"/>
  <c r="AL42" i="2"/>
  <c r="AI42" i="2"/>
  <c r="AF42" i="2"/>
  <c r="AC42" i="2"/>
  <c r="Z42" i="2"/>
  <c r="W42" i="2"/>
  <c r="BF42" i="2" s="1"/>
  <c r="T42" i="2"/>
  <c r="BD42" i="2" s="1"/>
  <c r="Q42" i="2"/>
  <c r="N42" i="2"/>
  <c r="BC42" i="2" s="1"/>
  <c r="K42" i="2"/>
  <c r="H42" i="2"/>
  <c r="CJ41" i="2"/>
  <c r="CI41" i="2"/>
  <c r="CH41" i="2"/>
  <c r="CG41" i="2"/>
  <c r="CF41" i="2"/>
  <c r="BK41" i="2" s="1"/>
  <c r="BW41" i="2"/>
  <c r="BX41" i="2" s="1"/>
  <c r="BV41" i="2"/>
  <c r="BQ41" i="2"/>
  <c r="BR41" i="2" s="1"/>
  <c r="BP41" i="2"/>
  <c r="BO41" i="2"/>
  <c r="BN41" i="2"/>
  <c r="BM41" i="2"/>
  <c r="BL41" i="2"/>
  <c r="BJ41" i="2"/>
  <c r="BI41" i="2"/>
  <c r="BB41" i="2"/>
  <c r="AZ41" i="2"/>
  <c r="AP41" i="2"/>
  <c r="BA41" i="2" s="1"/>
  <c r="AO41" i="2"/>
  <c r="AL41" i="2"/>
  <c r="AI41" i="2"/>
  <c r="AF41" i="2"/>
  <c r="AC41" i="2"/>
  <c r="Z41" i="2"/>
  <c r="W41" i="2"/>
  <c r="T41" i="2"/>
  <c r="Q41" i="2"/>
  <c r="N41" i="2"/>
  <c r="K41" i="2"/>
  <c r="H41" i="2"/>
  <c r="CJ40" i="2"/>
  <c r="CI40" i="2"/>
  <c r="CH40" i="2"/>
  <c r="CG40" i="2"/>
  <c r="CF40" i="2"/>
  <c r="BW40" i="2"/>
  <c r="BX40" i="2" s="1"/>
  <c r="BV40" i="2"/>
  <c r="BQ40" i="2"/>
  <c r="BS40" i="2" s="1"/>
  <c r="BT40" i="2" s="1"/>
  <c r="BO40" i="2"/>
  <c r="BP40" i="2" s="1"/>
  <c r="BN40" i="2"/>
  <c r="BM40" i="2"/>
  <c r="BL40" i="2"/>
  <c r="BJ40" i="2"/>
  <c r="BI40" i="2"/>
  <c r="BC40" i="2"/>
  <c r="BB40" i="2"/>
  <c r="BA40" i="2"/>
  <c r="AZ40" i="2"/>
  <c r="AP40" i="2"/>
  <c r="AO40" i="2"/>
  <c r="AL40" i="2"/>
  <c r="AI40" i="2"/>
  <c r="AF40" i="2"/>
  <c r="AC40" i="2"/>
  <c r="Z40" i="2"/>
  <c r="W40" i="2"/>
  <c r="BE40" i="2" s="1"/>
  <c r="T40" i="2"/>
  <c r="BD40" i="2" s="1"/>
  <c r="Q40" i="2"/>
  <c r="N40" i="2"/>
  <c r="K40" i="2"/>
  <c r="H40" i="2"/>
  <c r="CJ39" i="2"/>
  <c r="CI39" i="2"/>
  <c r="CH39" i="2"/>
  <c r="CG39" i="2"/>
  <c r="CF39" i="2"/>
  <c r="BK39" i="2" s="1"/>
  <c r="BW39" i="2"/>
  <c r="CK39" i="2" s="1"/>
  <c r="BV39" i="2"/>
  <c r="BT39" i="2"/>
  <c r="BQ39" i="2"/>
  <c r="BR39" i="2" s="1"/>
  <c r="BP39" i="2"/>
  <c r="BO39" i="2"/>
  <c r="BM39" i="2"/>
  <c r="BS39" i="2" s="1"/>
  <c r="BL39" i="2"/>
  <c r="BJ39" i="2"/>
  <c r="BI39" i="2"/>
  <c r="BB39" i="2"/>
  <c r="AZ39" i="2"/>
  <c r="AP39" i="2"/>
  <c r="BA39" i="2" s="1"/>
  <c r="AO39" i="2"/>
  <c r="AL39" i="2"/>
  <c r="AI39" i="2"/>
  <c r="AF39" i="2"/>
  <c r="AC39" i="2"/>
  <c r="Z39" i="2"/>
  <c r="W39" i="2"/>
  <c r="T39" i="2"/>
  <c r="Q39" i="2"/>
  <c r="N39" i="2"/>
  <c r="K39" i="2"/>
  <c r="H39" i="2"/>
  <c r="BF39" i="2" s="1"/>
  <c r="CK38" i="2"/>
  <c r="CJ38" i="2"/>
  <c r="CI38" i="2"/>
  <c r="CH38" i="2"/>
  <c r="CG38" i="2"/>
  <c r="BK38" i="2" s="1"/>
  <c r="CF38" i="2"/>
  <c r="BW38" i="2"/>
  <c r="BX38" i="2" s="1"/>
  <c r="BV38" i="2"/>
  <c r="BS38" i="2"/>
  <c r="BT38" i="2" s="1"/>
  <c r="BR38" i="2"/>
  <c r="BQ38" i="2"/>
  <c r="BO38" i="2"/>
  <c r="BP38" i="2" s="1"/>
  <c r="BM38" i="2"/>
  <c r="BN38" i="2" s="1"/>
  <c r="BL38" i="2"/>
  <c r="BJ38" i="2"/>
  <c r="BI38" i="2"/>
  <c r="BC38" i="2"/>
  <c r="BB38" i="2"/>
  <c r="AZ38" i="2"/>
  <c r="AP38" i="2"/>
  <c r="BA38" i="2" s="1"/>
  <c r="AO38" i="2"/>
  <c r="AL38" i="2"/>
  <c r="AI38" i="2"/>
  <c r="AF38" i="2"/>
  <c r="AC38" i="2"/>
  <c r="Z38" i="2"/>
  <c r="W38" i="2"/>
  <c r="BE38" i="2" s="1"/>
  <c r="T38" i="2"/>
  <c r="BD38" i="2" s="1"/>
  <c r="Q38" i="2"/>
  <c r="N38" i="2"/>
  <c r="K38" i="2"/>
  <c r="H38" i="2"/>
  <c r="CJ37" i="2"/>
  <c r="CI37" i="2"/>
  <c r="CH37" i="2"/>
  <c r="CG37" i="2"/>
  <c r="CF37" i="2"/>
  <c r="BK37" i="2" s="1"/>
  <c r="BW37" i="2"/>
  <c r="CK37" i="2" s="1"/>
  <c r="BV37" i="2"/>
  <c r="BT37" i="2"/>
  <c r="BQ37" i="2"/>
  <c r="BR37" i="2" s="1"/>
  <c r="BP37" i="2"/>
  <c r="BO37" i="2"/>
  <c r="BM37" i="2"/>
  <c r="BS37" i="2" s="1"/>
  <c r="BL37" i="2"/>
  <c r="BJ37" i="2"/>
  <c r="BI37" i="2"/>
  <c r="BF37" i="2"/>
  <c r="BE37" i="2"/>
  <c r="BB37" i="2"/>
  <c r="AZ37" i="2"/>
  <c r="AP37" i="2"/>
  <c r="BA37" i="2" s="1"/>
  <c r="AO37" i="2"/>
  <c r="AL37" i="2"/>
  <c r="AI37" i="2"/>
  <c r="AF37" i="2"/>
  <c r="AC37" i="2"/>
  <c r="Z37" i="2"/>
  <c r="W37" i="2"/>
  <c r="T37" i="2"/>
  <c r="Q37" i="2"/>
  <c r="N37" i="2"/>
  <c r="K37" i="2"/>
  <c r="H37" i="2"/>
  <c r="CK36" i="2"/>
  <c r="CJ36" i="2"/>
  <c r="CI36" i="2"/>
  <c r="CH36" i="2"/>
  <c r="CG36" i="2"/>
  <c r="CF36" i="2"/>
  <c r="BK36" i="2" s="1"/>
  <c r="BW36" i="2"/>
  <c r="BX36" i="2" s="1"/>
  <c r="BV36" i="2"/>
  <c r="BQ36" i="2"/>
  <c r="BR36" i="2" s="1"/>
  <c r="BO36" i="2"/>
  <c r="BP36" i="2" s="1"/>
  <c r="BN36" i="2"/>
  <c r="BM36" i="2"/>
  <c r="BL36" i="2"/>
  <c r="BJ36" i="2"/>
  <c r="BI36" i="2"/>
  <c r="BB36" i="2"/>
  <c r="AZ36" i="2"/>
  <c r="AP36" i="2"/>
  <c r="BA36" i="2" s="1"/>
  <c r="AO36" i="2"/>
  <c r="AL36" i="2"/>
  <c r="AI36" i="2"/>
  <c r="AF36" i="2"/>
  <c r="AC36" i="2"/>
  <c r="Z36" i="2"/>
  <c r="W36" i="2"/>
  <c r="T36" i="2"/>
  <c r="Q36" i="2"/>
  <c r="N36" i="2"/>
  <c r="K36" i="2"/>
  <c r="H36" i="2"/>
  <c r="CJ35" i="2"/>
  <c r="CI35" i="2"/>
  <c r="CH35" i="2"/>
  <c r="CG35" i="2"/>
  <c r="CF35" i="2"/>
  <c r="BW35" i="2"/>
  <c r="BV35" i="2"/>
  <c r="BS35" i="2"/>
  <c r="BT35" i="2" s="1"/>
  <c r="BR35" i="2"/>
  <c r="BQ35" i="2"/>
  <c r="BP35" i="2"/>
  <c r="BO35" i="2"/>
  <c r="BM35" i="2"/>
  <c r="BN35" i="2" s="1"/>
  <c r="BL35" i="2"/>
  <c r="BJ35" i="2"/>
  <c r="BI35" i="2"/>
  <c r="BB35" i="2"/>
  <c r="AZ35" i="2"/>
  <c r="AP35" i="2"/>
  <c r="BA35" i="2" s="1"/>
  <c r="AO35" i="2"/>
  <c r="AL35" i="2"/>
  <c r="AI35" i="2"/>
  <c r="AF35" i="2"/>
  <c r="AC35" i="2"/>
  <c r="Z35" i="2"/>
  <c r="W35" i="2"/>
  <c r="T35" i="2"/>
  <c r="Q35" i="2"/>
  <c r="N35" i="2"/>
  <c r="K35" i="2"/>
  <c r="H35" i="2"/>
  <c r="BC35" i="2" s="1"/>
  <c r="CK34" i="2"/>
  <c r="CJ34" i="2"/>
  <c r="CI34" i="2"/>
  <c r="CH34" i="2"/>
  <c r="CG34" i="2"/>
  <c r="CF34" i="2"/>
  <c r="BK34" i="2" s="1"/>
  <c r="BX34" i="2"/>
  <c r="BW34" i="2"/>
  <c r="BV34" i="2"/>
  <c r="BQ34" i="2"/>
  <c r="BR34" i="2" s="1"/>
  <c r="BP34" i="2"/>
  <c r="BO34" i="2"/>
  <c r="BM34" i="2"/>
  <c r="BN34" i="2" s="1"/>
  <c r="BL34" i="2"/>
  <c r="BJ34" i="2"/>
  <c r="BI34" i="2"/>
  <c r="BB34" i="2"/>
  <c r="BA34" i="2"/>
  <c r="AZ34" i="2"/>
  <c r="AP34" i="2"/>
  <c r="AO34" i="2"/>
  <c r="AL34" i="2"/>
  <c r="AI34" i="2"/>
  <c r="AF34" i="2"/>
  <c r="AC34" i="2"/>
  <c r="Z34" i="2"/>
  <c r="W34" i="2"/>
  <c r="BE34" i="2" s="1"/>
  <c r="T34" i="2"/>
  <c r="BC34" i="2" s="1"/>
  <c r="Q34" i="2"/>
  <c r="N34" i="2"/>
  <c r="K34" i="2"/>
  <c r="H34" i="2"/>
  <c r="CJ33" i="2"/>
  <c r="CI33" i="2"/>
  <c r="CH33" i="2"/>
  <c r="CG33" i="2"/>
  <c r="CF33" i="2"/>
  <c r="BK33" i="2" s="1"/>
  <c r="BW33" i="2"/>
  <c r="CK33" i="2" s="1"/>
  <c r="BV33" i="2"/>
  <c r="BR33" i="2"/>
  <c r="BQ33" i="2"/>
  <c r="BP33" i="2"/>
  <c r="BO33" i="2"/>
  <c r="BM33" i="2"/>
  <c r="BL33" i="2"/>
  <c r="BJ33" i="2"/>
  <c r="BI33" i="2"/>
  <c r="BF33" i="2"/>
  <c r="BC33" i="2"/>
  <c r="BB33" i="2"/>
  <c r="AZ33" i="2"/>
  <c r="AP33" i="2"/>
  <c r="BA33" i="2" s="1"/>
  <c r="AO33" i="2"/>
  <c r="AL33" i="2"/>
  <c r="AI33" i="2"/>
  <c r="AF33" i="2"/>
  <c r="BD33" i="2" s="1"/>
  <c r="AC33" i="2"/>
  <c r="Z33" i="2"/>
  <c r="W33" i="2"/>
  <c r="BE33" i="2" s="1"/>
  <c r="T33" i="2"/>
  <c r="Q33" i="2"/>
  <c r="N33" i="2"/>
  <c r="K33" i="2"/>
  <c r="H33" i="2"/>
  <c r="CJ32" i="2"/>
  <c r="CI32" i="2"/>
  <c r="CH32" i="2"/>
  <c r="CG32" i="2"/>
  <c r="BK32" i="2" s="1"/>
  <c r="CF32" i="2"/>
  <c r="BW32" i="2"/>
  <c r="BX32" i="2" s="1"/>
  <c r="BV32" i="2"/>
  <c r="BR32" i="2"/>
  <c r="BQ32" i="2"/>
  <c r="BO32" i="2"/>
  <c r="BP32" i="2" s="1"/>
  <c r="BM32" i="2"/>
  <c r="BS32" i="2" s="1"/>
  <c r="BT32" i="2" s="1"/>
  <c r="BL32" i="2"/>
  <c r="BJ32" i="2"/>
  <c r="BI32" i="2"/>
  <c r="BC32" i="2"/>
  <c r="BB32" i="2"/>
  <c r="AZ32" i="2"/>
  <c r="AP32" i="2"/>
  <c r="BA32" i="2" s="1"/>
  <c r="AO32" i="2"/>
  <c r="AL32" i="2"/>
  <c r="AI32" i="2"/>
  <c r="AF32" i="2"/>
  <c r="AC32" i="2"/>
  <c r="Z32" i="2"/>
  <c r="W32" i="2"/>
  <c r="T32" i="2"/>
  <c r="BD32" i="2" s="1"/>
  <c r="Q32" i="2"/>
  <c r="N32" i="2"/>
  <c r="K32" i="2"/>
  <c r="H32" i="2"/>
  <c r="CJ31" i="2"/>
  <c r="CI31" i="2"/>
  <c r="CH31" i="2"/>
  <c r="CG31" i="2"/>
  <c r="CF31" i="2"/>
  <c r="BK31" i="2" s="1"/>
  <c r="BW31" i="2"/>
  <c r="CK31" i="2" s="1"/>
  <c r="BV31" i="2"/>
  <c r="BQ31" i="2"/>
  <c r="BS31" i="2" s="1"/>
  <c r="BT31" i="2" s="1"/>
  <c r="BP31" i="2"/>
  <c r="BO31" i="2"/>
  <c r="BM31" i="2"/>
  <c r="BN31" i="2" s="1"/>
  <c r="BL31" i="2"/>
  <c r="BJ31" i="2"/>
  <c r="BI31" i="2"/>
  <c r="BB31" i="2"/>
  <c r="AZ31" i="2"/>
  <c r="AP31" i="2"/>
  <c r="BA31" i="2" s="1"/>
  <c r="AO31" i="2"/>
  <c r="AL31" i="2"/>
  <c r="AI31" i="2"/>
  <c r="AF31" i="2"/>
  <c r="BD31" i="2" s="1"/>
  <c r="AC31" i="2"/>
  <c r="BC31" i="2" s="1"/>
  <c r="Z31" i="2"/>
  <c r="W31" i="2"/>
  <c r="BF31" i="2" s="1"/>
  <c r="T31" i="2"/>
  <c r="Q31" i="2"/>
  <c r="N31" i="2"/>
  <c r="K31" i="2"/>
  <c r="H31" i="2"/>
  <c r="CJ30" i="2"/>
  <c r="CI30" i="2"/>
  <c r="CH30" i="2"/>
  <c r="CG30" i="2"/>
  <c r="CF30" i="2"/>
  <c r="BK30" i="2" s="1"/>
  <c r="BW30" i="2"/>
  <c r="CK30" i="2" s="1"/>
  <c r="BV30" i="2"/>
  <c r="BQ30" i="2"/>
  <c r="BR30" i="2" s="1"/>
  <c r="BO30" i="2"/>
  <c r="BP30" i="2" s="1"/>
  <c r="BM30" i="2"/>
  <c r="BL30" i="2"/>
  <c r="BJ30" i="2"/>
  <c r="BI30" i="2"/>
  <c r="BC30" i="2"/>
  <c r="BB30" i="2"/>
  <c r="AZ30" i="2"/>
  <c r="AP30" i="2"/>
  <c r="BA30" i="2" s="1"/>
  <c r="AO30" i="2"/>
  <c r="AL30" i="2"/>
  <c r="AI30" i="2"/>
  <c r="AF30" i="2"/>
  <c r="AC30" i="2"/>
  <c r="Z30" i="2"/>
  <c r="W30" i="2"/>
  <c r="T30" i="2"/>
  <c r="Q30" i="2"/>
  <c r="N30" i="2"/>
  <c r="K30" i="2"/>
  <c r="H30" i="2"/>
  <c r="CJ29" i="2"/>
  <c r="CI29" i="2"/>
  <c r="CH29" i="2"/>
  <c r="CG29" i="2"/>
  <c r="CF29" i="2"/>
  <c r="BW29" i="2"/>
  <c r="CK29" i="2" s="1"/>
  <c r="BV29" i="2"/>
  <c r="BS29" i="2"/>
  <c r="BT29" i="2" s="1"/>
  <c r="BR29" i="2"/>
  <c r="BQ29" i="2"/>
  <c r="BP29" i="2"/>
  <c r="BO29" i="2"/>
  <c r="BM29" i="2"/>
  <c r="BN29" i="2" s="1"/>
  <c r="BL29" i="2"/>
  <c r="BK29" i="2"/>
  <c r="BJ29" i="2"/>
  <c r="BI29" i="2"/>
  <c r="BB29" i="2"/>
  <c r="AZ29" i="2"/>
  <c r="AP29" i="2"/>
  <c r="BA29" i="2" s="1"/>
  <c r="AO29" i="2"/>
  <c r="AL29" i="2"/>
  <c r="AI29" i="2"/>
  <c r="AF29" i="2"/>
  <c r="BD29" i="2" s="1"/>
  <c r="AC29" i="2"/>
  <c r="BC29" i="2" s="1"/>
  <c r="Z29" i="2"/>
  <c r="W29" i="2"/>
  <c r="BF29" i="2" s="1"/>
  <c r="T29" i="2"/>
  <c r="Q29" i="2"/>
  <c r="N29" i="2"/>
  <c r="K29" i="2"/>
  <c r="H29" i="2"/>
  <c r="CJ28" i="2"/>
  <c r="CI28" i="2"/>
  <c r="CH28" i="2"/>
  <c r="CG28" i="2"/>
  <c r="CF28" i="2"/>
  <c r="BK28" i="2" s="1"/>
  <c r="BW28" i="2"/>
  <c r="CK28" i="2" s="1"/>
  <c r="BV28" i="2"/>
  <c r="BQ28" i="2"/>
  <c r="BR28" i="2" s="1"/>
  <c r="BO28" i="2"/>
  <c r="BP28" i="2" s="1"/>
  <c r="BM28" i="2"/>
  <c r="BS28" i="2" s="1"/>
  <c r="BT28" i="2" s="1"/>
  <c r="BL28" i="2"/>
  <c r="BJ28" i="2"/>
  <c r="BI28" i="2"/>
  <c r="BB28" i="2"/>
  <c r="BA28" i="2"/>
  <c r="AZ28" i="2"/>
  <c r="AP28" i="2"/>
  <c r="AO28" i="2"/>
  <c r="AL28" i="2"/>
  <c r="AI28" i="2"/>
  <c r="AF28" i="2"/>
  <c r="AC28" i="2"/>
  <c r="BF28" i="2" s="1"/>
  <c r="Z28" i="2"/>
  <c r="W28" i="2"/>
  <c r="T28" i="2"/>
  <c r="Q28" i="2"/>
  <c r="N28" i="2"/>
  <c r="K28" i="2"/>
  <c r="H28" i="2"/>
  <c r="CK27" i="2"/>
  <c r="CJ27" i="2"/>
  <c r="CI27" i="2"/>
  <c r="CH27" i="2"/>
  <c r="BK27" i="2" s="1"/>
  <c r="CG27" i="2"/>
  <c r="CF27" i="2"/>
  <c r="BW27" i="2"/>
  <c r="BX27" i="2" s="1"/>
  <c r="BV27" i="2"/>
  <c r="BQ27" i="2"/>
  <c r="BP27" i="2"/>
  <c r="BO27" i="2"/>
  <c r="BN27" i="2"/>
  <c r="BM27" i="2"/>
  <c r="BL27" i="2"/>
  <c r="BJ27" i="2"/>
  <c r="BI27" i="2"/>
  <c r="BF27" i="2"/>
  <c r="BB27" i="2"/>
  <c r="AZ27" i="2"/>
  <c r="AP27" i="2"/>
  <c r="BA27" i="2" s="1"/>
  <c r="AO27" i="2"/>
  <c r="AL27" i="2"/>
  <c r="AI27" i="2"/>
  <c r="AF27" i="2"/>
  <c r="AC27" i="2"/>
  <c r="Z27" i="2"/>
  <c r="W27" i="2"/>
  <c r="T27" i="2"/>
  <c r="Q27" i="2"/>
  <c r="N27" i="2"/>
  <c r="K27" i="2"/>
  <c r="H27" i="2"/>
  <c r="CJ26" i="2"/>
  <c r="CI26" i="2"/>
  <c r="CH26" i="2"/>
  <c r="CG26" i="2"/>
  <c r="CF26" i="2"/>
  <c r="BK26" i="2" s="1"/>
  <c r="BW26" i="2"/>
  <c r="CK26" i="2" s="1"/>
  <c r="BV26" i="2"/>
  <c r="BQ26" i="2"/>
  <c r="BR26" i="2" s="1"/>
  <c r="BO26" i="2"/>
  <c r="BP26" i="2" s="1"/>
  <c r="BM26" i="2"/>
  <c r="BS26" i="2" s="1"/>
  <c r="BT26" i="2" s="1"/>
  <c r="BL26" i="2"/>
  <c r="BJ26" i="2"/>
  <c r="BI26" i="2"/>
  <c r="BB26" i="2"/>
  <c r="BA26" i="2"/>
  <c r="AZ26" i="2"/>
  <c r="AP26" i="2"/>
  <c r="AO26" i="2"/>
  <c r="AL26" i="2"/>
  <c r="AI26" i="2"/>
  <c r="AF26" i="2"/>
  <c r="AC26" i="2"/>
  <c r="Z26" i="2"/>
  <c r="W26" i="2"/>
  <c r="T26" i="2"/>
  <c r="Q26" i="2"/>
  <c r="N26" i="2"/>
  <c r="BF26" i="2" s="1"/>
  <c r="K26" i="2"/>
  <c r="H26" i="2"/>
  <c r="CK25" i="2"/>
  <c r="CJ25" i="2"/>
  <c r="CI25" i="2"/>
  <c r="CH25" i="2"/>
  <c r="CG25" i="2"/>
  <c r="BK25" i="2" s="1"/>
  <c r="CF25" i="2"/>
  <c r="BW25" i="2"/>
  <c r="BX25" i="2" s="1"/>
  <c r="BV25" i="2"/>
  <c r="BR25" i="2"/>
  <c r="BQ25" i="2"/>
  <c r="BP25" i="2"/>
  <c r="BO25" i="2"/>
  <c r="BM25" i="2"/>
  <c r="BS25" i="2" s="1"/>
  <c r="BT25" i="2" s="1"/>
  <c r="BL25" i="2"/>
  <c r="BJ25" i="2"/>
  <c r="BI25" i="2"/>
  <c r="BB25" i="2"/>
  <c r="AZ25" i="2"/>
  <c r="AP25" i="2"/>
  <c r="BA25" i="2" s="1"/>
  <c r="AO25" i="2"/>
  <c r="AL25" i="2"/>
  <c r="AI25" i="2"/>
  <c r="AF25" i="2"/>
  <c r="AC25" i="2"/>
  <c r="Z25" i="2"/>
  <c r="W25" i="2"/>
  <c r="BE25" i="2" s="1"/>
  <c r="T25" i="2"/>
  <c r="BD25" i="2" s="1"/>
  <c r="Q25" i="2"/>
  <c r="N25" i="2"/>
  <c r="K25" i="2"/>
  <c r="H25" i="2"/>
  <c r="CJ24" i="2"/>
  <c r="CI24" i="2"/>
  <c r="CH24" i="2"/>
  <c r="BK24" i="2" s="1"/>
  <c r="CG24" i="2"/>
  <c r="CF24" i="2"/>
  <c r="BW24" i="2"/>
  <c r="CK24" i="2" s="1"/>
  <c r="BV24" i="2"/>
  <c r="BR24" i="2"/>
  <c r="BQ24" i="2"/>
  <c r="BO24" i="2"/>
  <c r="BP24" i="2" s="1"/>
  <c r="BM24" i="2"/>
  <c r="BS24" i="2" s="1"/>
  <c r="BT24" i="2" s="1"/>
  <c r="BL24" i="2"/>
  <c r="BJ24" i="2"/>
  <c r="BI24" i="2"/>
  <c r="BB24" i="2"/>
  <c r="AZ24" i="2"/>
  <c r="AP24" i="2"/>
  <c r="BA24" i="2" s="1"/>
  <c r="AO24" i="2"/>
  <c r="AL24" i="2"/>
  <c r="AI24" i="2"/>
  <c r="AF24" i="2"/>
  <c r="AC24" i="2"/>
  <c r="Z24" i="2"/>
  <c r="W24" i="2"/>
  <c r="BF24" i="2" s="1"/>
  <c r="T24" i="2"/>
  <c r="Q24" i="2"/>
  <c r="N24" i="2"/>
  <c r="K24" i="2"/>
  <c r="H24" i="2"/>
  <c r="BD24" i="2" s="1"/>
  <c r="CK23" i="2"/>
  <c r="CJ23" i="2"/>
  <c r="CI23" i="2"/>
  <c r="CH23" i="2"/>
  <c r="CG23" i="2"/>
  <c r="CF23" i="2"/>
  <c r="BK23" i="2" s="1"/>
  <c r="BW23" i="2"/>
  <c r="BX23" i="2" s="1"/>
  <c r="BV23" i="2"/>
  <c r="BQ23" i="2"/>
  <c r="BR23" i="2" s="1"/>
  <c r="BP23" i="2"/>
  <c r="BO23" i="2"/>
  <c r="BM23" i="2"/>
  <c r="BN23" i="2" s="1"/>
  <c r="BL23" i="2"/>
  <c r="BJ23" i="2"/>
  <c r="BI23" i="2"/>
  <c r="BB23" i="2"/>
  <c r="AZ23" i="2"/>
  <c r="AP23" i="2"/>
  <c r="BA23" i="2" s="1"/>
  <c r="AO23" i="2"/>
  <c r="AL23" i="2"/>
  <c r="AI23" i="2"/>
  <c r="AF23" i="2"/>
  <c r="AC23" i="2"/>
  <c r="Z23" i="2"/>
  <c r="W23" i="2"/>
  <c r="BF23" i="2" s="1"/>
  <c r="T23" i="2"/>
  <c r="BD23" i="2" s="1"/>
  <c r="Q23" i="2"/>
  <c r="N23" i="2"/>
  <c r="K23" i="2"/>
  <c r="BC23" i="2" s="1"/>
  <c r="H23" i="2"/>
  <c r="CK22" i="2"/>
  <c r="CJ22" i="2"/>
  <c r="CI22" i="2"/>
  <c r="CH22" i="2"/>
  <c r="CG22" i="2"/>
  <c r="BK22" i="2" s="1"/>
  <c r="CF22" i="2"/>
  <c r="BW22" i="2"/>
  <c r="BX22" i="2" s="1"/>
  <c r="BV22" i="2"/>
  <c r="BQ22" i="2"/>
  <c r="BR22" i="2" s="1"/>
  <c r="BO22" i="2"/>
  <c r="BP22" i="2" s="1"/>
  <c r="BM22" i="2"/>
  <c r="BL22" i="2"/>
  <c r="BJ22" i="2"/>
  <c r="BI22" i="2"/>
  <c r="BB22" i="2"/>
  <c r="AZ22" i="2"/>
  <c r="AP22" i="2"/>
  <c r="BA22" i="2" s="1"/>
  <c r="AO22" i="2"/>
  <c r="AL22" i="2"/>
  <c r="AI22" i="2"/>
  <c r="AF22" i="2"/>
  <c r="AC22" i="2"/>
  <c r="Z22" i="2"/>
  <c r="W22" i="2"/>
  <c r="T22" i="2"/>
  <c r="Q22" i="2"/>
  <c r="N22" i="2"/>
  <c r="K22" i="2"/>
  <c r="H22" i="2"/>
  <c r="CK21" i="2"/>
  <c r="CJ21" i="2"/>
  <c r="CI21" i="2"/>
  <c r="CH21" i="2"/>
  <c r="CG21" i="2"/>
  <c r="BK21" i="2" s="1"/>
  <c r="CF21" i="2"/>
  <c r="BX21" i="2"/>
  <c r="BW21" i="2"/>
  <c r="BV21" i="2"/>
  <c r="BQ21" i="2"/>
  <c r="BR21" i="2" s="1"/>
  <c r="BP21" i="2"/>
  <c r="BO21" i="2"/>
  <c r="BM21" i="2"/>
  <c r="BS21" i="2" s="1"/>
  <c r="BT21" i="2" s="1"/>
  <c r="BL21" i="2"/>
  <c r="BJ21" i="2"/>
  <c r="BI21" i="2"/>
  <c r="BB21" i="2"/>
  <c r="AZ21" i="2"/>
  <c r="AP21" i="2"/>
  <c r="BA21" i="2" s="1"/>
  <c r="AO21" i="2"/>
  <c r="AL21" i="2"/>
  <c r="AI21" i="2"/>
  <c r="AF21" i="2"/>
  <c r="AC21" i="2"/>
  <c r="Z21" i="2"/>
  <c r="W21" i="2"/>
  <c r="T21" i="2"/>
  <c r="Q21" i="2"/>
  <c r="N21" i="2"/>
  <c r="K21" i="2"/>
  <c r="H21" i="2"/>
  <c r="CK20" i="2"/>
  <c r="CJ20" i="2"/>
  <c r="CI20" i="2"/>
  <c r="CH20" i="2"/>
  <c r="CG20" i="2"/>
  <c r="CF20" i="2"/>
  <c r="BW20" i="2"/>
  <c r="BX20" i="2" s="1"/>
  <c r="BV20" i="2"/>
  <c r="BQ20" i="2"/>
  <c r="BS20" i="2" s="1"/>
  <c r="BT20" i="2" s="1"/>
  <c r="BP20" i="2"/>
  <c r="BO20" i="2"/>
  <c r="BM20" i="2"/>
  <c r="BN20" i="2" s="1"/>
  <c r="BL20" i="2"/>
  <c r="BK20" i="2"/>
  <c r="BJ20" i="2"/>
  <c r="BI20" i="2"/>
  <c r="BC20" i="2"/>
  <c r="BB20" i="2"/>
  <c r="AZ20" i="2"/>
  <c r="AP20" i="2"/>
  <c r="BA20" i="2" s="1"/>
  <c r="AO20" i="2"/>
  <c r="AL20" i="2"/>
  <c r="AI20" i="2"/>
  <c r="AF20" i="2"/>
  <c r="AC20" i="2"/>
  <c r="Z20" i="2"/>
  <c r="W20" i="2"/>
  <c r="BF20" i="2" s="1"/>
  <c r="T20" i="2"/>
  <c r="BD20" i="2" s="1"/>
  <c r="Q20" i="2"/>
  <c r="N20" i="2"/>
  <c r="K20" i="2"/>
  <c r="H20" i="2"/>
  <c r="CJ19" i="2"/>
  <c r="CI19" i="2"/>
  <c r="CH19" i="2"/>
  <c r="CG19" i="2"/>
  <c r="CF19" i="2"/>
  <c r="BK19" i="2" s="1"/>
  <c r="BW19" i="2"/>
  <c r="CK19" i="2" s="1"/>
  <c r="BV19" i="2"/>
  <c r="BQ19" i="2"/>
  <c r="BR19" i="2" s="1"/>
  <c r="BP19" i="2"/>
  <c r="BO19" i="2"/>
  <c r="BM19" i="2"/>
  <c r="BL19" i="2"/>
  <c r="BJ19" i="2"/>
  <c r="BI19" i="2"/>
  <c r="BB19" i="2"/>
  <c r="AZ19" i="2"/>
  <c r="AP19" i="2"/>
  <c r="BA19" i="2" s="1"/>
  <c r="AO19" i="2"/>
  <c r="AL19" i="2"/>
  <c r="AI19" i="2"/>
  <c r="AF19" i="2"/>
  <c r="AC19" i="2"/>
  <c r="Z19" i="2"/>
  <c r="W19" i="2"/>
  <c r="T19" i="2"/>
  <c r="Q19" i="2"/>
  <c r="N19" i="2"/>
  <c r="K19" i="2"/>
  <c r="H19" i="2"/>
  <c r="BC19" i="2" s="1"/>
  <c r="CJ18" i="2"/>
  <c r="CI18" i="2"/>
  <c r="CH18" i="2"/>
  <c r="CG18" i="2"/>
  <c r="CF18" i="2"/>
  <c r="BW18" i="2"/>
  <c r="CK18" i="2" s="1"/>
  <c r="BV18" i="2"/>
  <c r="BQ18" i="2"/>
  <c r="BR18" i="2" s="1"/>
  <c r="BO18" i="2"/>
  <c r="BS18" i="2" s="1"/>
  <c r="BT18" i="2" s="1"/>
  <c r="BN18" i="2"/>
  <c r="BM18" i="2"/>
  <c r="BL18" i="2"/>
  <c r="BK18" i="2"/>
  <c r="BJ18" i="2"/>
  <c r="BI18" i="2"/>
  <c r="BB18" i="2"/>
  <c r="BA18" i="2"/>
  <c r="AZ18" i="2"/>
  <c r="AP18" i="2"/>
  <c r="AO18" i="2"/>
  <c r="AL18" i="2"/>
  <c r="AI18" i="2"/>
  <c r="AF18" i="2"/>
  <c r="AC18" i="2"/>
  <c r="Z18" i="2"/>
  <c r="W18" i="2"/>
  <c r="T18" i="2"/>
  <c r="Q18" i="2"/>
  <c r="N18" i="2"/>
  <c r="BF18" i="2" s="1"/>
  <c r="K18" i="2"/>
  <c r="H18" i="2"/>
  <c r="CK17" i="2"/>
  <c r="CJ17" i="2"/>
  <c r="CI17" i="2"/>
  <c r="CH17" i="2"/>
  <c r="CG17" i="2"/>
  <c r="CF17" i="2"/>
  <c r="BK17" i="2" s="1"/>
  <c r="BW17" i="2"/>
  <c r="BX17" i="2" s="1"/>
  <c r="BV17" i="2"/>
  <c r="BQ17" i="2"/>
  <c r="BR17" i="2" s="1"/>
  <c r="BP17" i="2"/>
  <c r="BO17" i="2"/>
  <c r="BN17" i="2"/>
  <c r="BM17" i="2"/>
  <c r="BL17" i="2"/>
  <c r="BJ17" i="2"/>
  <c r="BI17" i="2"/>
  <c r="BB17" i="2"/>
  <c r="AZ17" i="2"/>
  <c r="AP17" i="2"/>
  <c r="BA17" i="2" s="1"/>
  <c r="AO17" i="2"/>
  <c r="AL17" i="2"/>
  <c r="AI17" i="2"/>
  <c r="AF17" i="2"/>
  <c r="AC17" i="2"/>
  <c r="Z17" i="2"/>
  <c r="W17" i="2"/>
  <c r="T17" i="2"/>
  <c r="Q17" i="2"/>
  <c r="N17" i="2"/>
  <c r="K17" i="2"/>
  <c r="H17" i="2"/>
  <c r="CK16" i="2"/>
  <c r="CJ16" i="2"/>
  <c r="CI16" i="2"/>
  <c r="CH16" i="2"/>
  <c r="CG16" i="2"/>
  <c r="CF16" i="2"/>
  <c r="BW16" i="2"/>
  <c r="BX16" i="2" s="1"/>
  <c r="BV16" i="2"/>
  <c r="BQ16" i="2"/>
  <c r="BR16" i="2" s="1"/>
  <c r="BO16" i="2"/>
  <c r="BS16" i="2" s="1"/>
  <c r="BT16" i="2" s="1"/>
  <c r="BN16" i="2"/>
  <c r="BM16" i="2"/>
  <c r="BL16" i="2"/>
  <c r="BJ16" i="2"/>
  <c r="BI16" i="2"/>
  <c r="BB16" i="2"/>
  <c r="BA16" i="2"/>
  <c r="AZ16" i="2"/>
  <c r="AP16" i="2"/>
  <c r="AO16" i="2"/>
  <c r="AL16" i="2"/>
  <c r="AI16" i="2"/>
  <c r="AF16" i="2"/>
  <c r="AC16" i="2"/>
  <c r="Z16" i="2"/>
  <c r="W16" i="2"/>
  <c r="T16" i="2"/>
  <c r="BC16" i="2" s="1"/>
  <c r="Q16" i="2"/>
  <c r="N16" i="2"/>
  <c r="K16" i="2"/>
  <c r="H16" i="2"/>
  <c r="CJ15" i="2"/>
  <c r="CI15" i="2"/>
  <c r="CH15" i="2"/>
  <c r="BK15" i="2" s="1"/>
  <c r="CG15" i="2"/>
  <c r="CF15" i="2"/>
  <c r="BW15" i="2"/>
  <c r="BV15" i="2"/>
  <c r="BQ15" i="2"/>
  <c r="BR15" i="2" s="1"/>
  <c r="BP15" i="2"/>
  <c r="BO15" i="2"/>
  <c r="BM15" i="2"/>
  <c r="BS15" i="2" s="1"/>
  <c r="BT15" i="2" s="1"/>
  <c r="BL15" i="2"/>
  <c r="BJ15" i="2"/>
  <c r="BI15" i="2"/>
  <c r="BB15" i="2"/>
  <c r="AZ15" i="2"/>
  <c r="AP15" i="2"/>
  <c r="BA15" i="2" s="1"/>
  <c r="AO15" i="2"/>
  <c r="AL15" i="2"/>
  <c r="AI15" i="2"/>
  <c r="AF15" i="2"/>
  <c r="AC15" i="2"/>
  <c r="Z15" i="2"/>
  <c r="W15" i="2"/>
  <c r="T15" i="2"/>
  <c r="Q15" i="2"/>
  <c r="N15" i="2"/>
  <c r="K15" i="2"/>
  <c r="H15" i="2"/>
  <c r="BF15" i="2" s="1"/>
  <c r="CK14" i="2"/>
  <c r="CJ14" i="2"/>
  <c r="CI14" i="2"/>
  <c r="CH14" i="2"/>
  <c r="CG14" i="2"/>
  <c r="BK14" i="2" s="1"/>
  <c r="CF14" i="2"/>
  <c r="BW14" i="2"/>
  <c r="BX14" i="2" s="1"/>
  <c r="BV14" i="2"/>
  <c r="BQ14" i="2"/>
  <c r="BR14" i="2" s="1"/>
  <c r="BO14" i="2"/>
  <c r="BP14" i="2" s="1"/>
  <c r="BM14" i="2"/>
  <c r="BN14" i="2" s="1"/>
  <c r="BL14" i="2"/>
  <c r="BJ14" i="2"/>
  <c r="BI14" i="2"/>
  <c r="BB14" i="2"/>
  <c r="AZ14" i="2"/>
  <c r="AP14" i="2"/>
  <c r="BA14" i="2" s="1"/>
  <c r="AO14" i="2"/>
  <c r="AL14" i="2"/>
  <c r="AI14" i="2"/>
  <c r="AF14" i="2"/>
  <c r="AC14" i="2"/>
  <c r="Z14" i="2"/>
  <c r="W14" i="2"/>
  <c r="T14" i="2"/>
  <c r="Q14" i="2"/>
  <c r="N14" i="2"/>
  <c r="K14" i="2"/>
  <c r="H14" i="2"/>
  <c r="BD14" i="2" s="1"/>
  <c r="CJ13" i="2"/>
  <c r="CI13" i="2"/>
  <c r="CH13" i="2"/>
  <c r="CG13" i="2"/>
  <c r="CF13" i="2"/>
  <c r="BW13" i="2"/>
  <c r="CK13" i="2" s="1"/>
  <c r="BV13" i="2"/>
  <c r="BS13" i="2"/>
  <c r="BT13" i="2" s="1"/>
  <c r="BQ13" i="2"/>
  <c r="BR13" i="2" s="1"/>
  <c r="BP13" i="2"/>
  <c r="BO13" i="2"/>
  <c r="BN13" i="2"/>
  <c r="BM13" i="2"/>
  <c r="BL13" i="2"/>
  <c r="BK13" i="2"/>
  <c r="BJ13" i="2"/>
  <c r="BI13" i="2"/>
  <c r="BB13" i="2"/>
  <c r="AZ13" i="2"/>
  <c r="AP13" i="2"/>
  <c r="BA13" i="2" s="1"/>
  <c r="AO13" i="2"/>
  <c r="AL13" i="2"/>
  <c r="AI13" i="2"/>
  <c r="AF13" i="2"/>
  <c r="AC13" i="2"/>
  <c r="Z13" i="2"/>
  <c r="W13" i="2"/>
  <c r="T13" i="2"/>
  <c r="Q13" i="2"/>
  <c r="N13" i="2"/>
  <c r="K13" i="2"/>
  <c r="H13" i="2"/>
  <c r="BF13" i="2" s="1"/>
  <c r="CK12" i="2"/>
  <c r="CJ12" i="2"/>
  <c r="CI12" i="2"/>
  <c r="CH12" i="2"/>
  <c r="CG12" i="2"/>
  <c r="CF12" i="2"/>
  <c r="BK12" i="2" s="1"/>
  <c r="BW12" i="2"/>
  <c r="BX12" i="2" s="1"/>
  <c r="BV12" i="2"/>
  <c r="BQ12" i="2"/>
  <c r="BS12" i="2" s="1"/>
  <c r="BT12" i="2" s="1"/>
  <c r="BP12" i="2"/>
  <c r="BO12" i="2"/>
  <c r="BM12" i="2"/>
  <c r="BN12" i="2" s="1"/>
  <c r="BL12" i="2"/>
  <c r="BJ12" i="2"/>
  <c r="BI12" i="2"/>
  <c r="BB12" i="2"/>
  <c r="BA12" i="2"/>
  <c r="AZ12" i="2"/>
  <c r="AP12" i="2"/>
  <c r="AO12" i="2"/>
  <c r="AL12" i="2"/>
  <c r="AI12" i="2"/>
  <c r="AF12" i="2"/>
  <c r="AC12" i="2"/>
  <c r="Z12" i="2"/>
  <c r="W12" i="2"/>
  <c r="BE12" i="2" s="1"/>
  <c r="T12" i="2"/>
  <c r="BD12" i="2" s="1"/>
  <c r="Q12" i="2"/>
  <c r="N12" i="2"/>
  <c r="K12" i="2"/>
  <c r="H12" i="2"/>
  <c r="CJ11" i="2"/>
  <c r="CI11" i="2"/>
  <c r="CH11" i="2"/>
  <c r="CG11" i="2"/>
  <c r="CF11" i="2"/>
  <c r="BK11" i="2" s="1"/>
  <c r="BW11" i="2"/>
  <c r="CK11" i="2" s="1"/>
  <c r="BV11" i="2"/>
  <c r="BT11" i="2"/>
  <c r="BR11" i="2"/>
  <c r="BQ11" i="2"/>
  <c r="BP11" i="2"/>
  <c r="BO11" i="2"/>
  <c r="BM11" i="2"/>
  <c r="BS11" i="2" s="1"/>
  <c r="BL11" i="2"/>
  <c r="BJ11" i="2"/>
  <c r="BI11" i="2"/>
  <c r="BF11" i="2"/>
  <c r="BB11" i="2"/>
  <c r="AZ11" i="2"/>
  <c r="AP11" i="2"/>
  <c r="BA11" i="2" s="1"/>
  <c r="AO11" i="2"/>
  <c r="AL11" i="2"/>
  <c r="AI11" i="2"/>
  <c r="AF11" i="2"/>
  <c r="AC11" i="2"/>
  <c r="Z11" i="2"/>
  <c r="W11" i="2"/>
  <c r="T11" i="2"/>
  <c r="Q11" i="2"/>
  <c r="N11" i="2"/>
  <c r="K11" i="2"/>
  <c r="H11" i="2"/>
  <c r="CK10" i="2"/>
  <c r="CJ10" i="2"/>
  <c r="CI10" i="2"/>
  <c r="CH10" i="2"/>
  <c r="CG10" i="2"/>
  <c r="CF10" i="2"/>
  <c r="BK10" i="2" s="1"/>
  <c r="BX10" i="2"/>
  <c r="BW10" i="2"/>
  <c r="BV10" i="2"/>
  <c r="BS10" i="2"/>
  <c r="BT10" i="2" s="1"/>
  <c r="BQ10" i="2"/>
  <c r="BR10" i="2" s="1"/>
  <c r="BO10" i="2"/>
  <c r="BP10" i="2" s="1"/>
  <c r="BM10" i="2"/>
  <c r="BN10" i="2" s="1"/>
  <c r="BL10" i="2"/>
  <c r="BJ10" i="2"/>
  <c r="BI10" i="2"/>
  <c r="BD10" i="2"/>
  <c r="AZ10" i="2"/>
  <c r="AX10" i="2"/>
  <c r="BB10" i="2" s="1"/>
  <c r="AP10" i="2"/>
  <c r="BA10" i="2" s="1"/>
  <c r="AO10" i="2"/>
  <c r="AL10" i="2"/>
  <c r="AI10" i="2"/>
  <c r="AF10" i="2"/>
  <c r="AC10" i="2"/>
  <c r="Z10" i="2"/>
  <c r="BE10" i="2" s="1"/>
  <c r="W10" i="2"/>
  <c r="T10" i="2"/>
  <c r="Q10" i="2"/>
  <c r="N10" i="2"/>
  <c r="K10" i="2"/>
  <c r="H10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CJ9" i="2"/>
  <c r="CI9" i="2"/>
  <c r="CH9" i="2"/>
  <c r="CG9" i="2"/>
  <c r="CF9" i="2"/>
  <c r="BK9" i="2" s="1"/>
  <c r="BW9" i="2"/>
  <c r="CK9" i="2" s="1"/>
  <c r="BV9" i="2"/>
  <c r="BS9" i="2"/>
  <c r="BT9" i="2" s="1"/>
  <c r="BR9" i="2"/>
  <c r="BQ9" i="2"/>
  <c r="BO9" i="2"/>
  <c r="BP9" i="2" s="1"/>
  <c r="BM9" i="2"/>
  <c r="BN9" i="2" s="1"/>
  <c r="BL9" i="2"/>
  <c r="BJ9" i="2"/>
  <c r="BI9" i="2"/>
  <c r="AZ9" i="2"/>
  <c r="AX9" i="2"/>
  <c r="BB9" i="2" s="1"/>
  <c r="AP9" i="2"/>
  <c r="BA9" i="2" s="1"/>
  <c r="AO9" i="2"/>
  <c r="AL9" i="2"/>
  <c r="AI9" i="2"/>
  <c r="AF9" i="2"/>
  <c r="AC9" i="2"/>
  <c r="Z9" i="2"/>
  <c r="W9" i="2"/>
  <c r="T9" i="2"/>
  <c r="Q9" i="2"/>
  <c r="N9" i="2"/>
  <c r="K9" i="2"/>
  <c r="H9" i="2"/>
  <c r="BD9" i="2" s="1"/>
  <c r="A9" i="2"/>
  <c r="CJ8" i="2"/>
  <c r="CI8" i="2"/>
  <c r="CH8" i="2"/>
  <c r="CG8" i="2"/>
  <c r="CF8" i="2"/>
  <c r="BW8" i="2"/>
  <c r="BV8" i="2"/>
  <c r="BQ8" i="2"/>
  <c r="BR8" i="2" s="1"/>
  <c r="BP8" i="2"/>
  <c r="BO8" i="2"/>
  <c r="BM8" i="2"/>
  <c r="BL8" i="2"/>
  <c r="BJ8" i="2"/>
  <c r="BI8" i="2"/>
  <c r="AZ8" i="2"/>
  <c r="AX8" i="2"/>
  <c r="BB8" i="2" s="1"/>
  <c r="AP8" i="2"/>
  <c r="BA8" i="2" s="1"/>
  <c r="AO8" i="2"/>
  <c r="AL8" i="2"/>
  <c r="AI8" i="2"/>
  <c r="AF8" i="2"/>
  <c r="AC8" i="2"/>
  <c r="Z8" i="2"/>
  <c r="W8" i="2"/>
  <c r="T8" i="2"/>
  <c r="Q8" i="2"/>
  <c r="N8" i="2"/>
  <c r="K8" i="2"/>
  <c r="H8" i="2"/>
  <c r="E120" i="1"/>
  <c r="D120" i="1"/>
  <c r="C120" i="1"/>
  <c r="E113" i="1"/>
  <c r="D113" i="1"/>
  <c r="C113" i="1"/>
  <c r="E106" i="1"/>
  <c r="D106" i="1"/>
  <c r="C106" i="1"/>
  <c r="E99" i="1"/>
  <c r="D99" i="1"/>
  <c r="C99" i="1"/>
  <c r="E92" i="1"/>
  <c r="D92" i="1"/>
  <c r="C92" i="1"/>
  <c r="E85" i="1"/>
  <c r="D85" i="1"/>
  <c r="C85" i="1"/>
  <c r="E78" i="1"/>
  <c r="D78" i="1"/>
  <c r="C78" i="1"/>
  <c r="E71" i="1"/>
  <c r="D71" i="1"/>
  <c r="C71" i="1"/>
  <c r="E64" i="1"/>
  <c r="D64" i="1"/>
  <c r="C64" i="1"/>
  <c r="E57" i="1"/>
  <c r="D57" i="1"/>
  <c r="C57" i="1"/>
  <c r="E50" i="1"/>
  <c r="D50" i="1"/>
  <c r="C50" i="1"/>
  <c r="E43" i="1"/>
  <c r="D43" i="1"/>
  <c r="C43" i="1"/>
  <c r="E36" i="1"/>
  <c r="D36" i="1"/>
  <c r="C36" i="1"/>
  <c r="E29" i="1"/>
  <c r="D29" i="1"/>
  <c r="C29" i="1"/>
  <c r="E22" i="1"/>
  <c r="D22" i="1"/>
  <c r="C22" i="1"/>
  <c r="E15" i="1"/>
  <c r="D15" i="1"/>
  <c r="C15" i="1"/>
  <c r="E8" i="1"/>
  <c r="D8" i="1"/>
  <c r="C8" i="1"/>
  <c r="CE43" i="6" l="1"/>
  <c r="CF38" i="6"/>
  <c r="AZ39" i="6"/>
  <c r="CE19" i="6"/>
  <c r="CF19" i="6"/>
  <c r="CE12" i="6"/>
  <c r="CF12" i="6"/>
  <c r="BI20" i="6"/>
  <c r="CE27" i="6"/>
  <c r="CE16" i="6"/>
  <c r="CE17" i="6"/>
  <c r="BI18" i="6"/>
  <c r="CF25" i="6"/>
  <c r="CF27" i="6"/>
  <c r="BB32" i="6"/>
  <c r="BI8" i="6"/>
  <c r="CF16" i="6"/>
  <c r="CF17" i="6"/>
  <c r="BI33" i="6"/>
  <c r="AZ31" i="6"/>
  <c r="AZ7" i="6"/>
  <c r="CE7" i="6"/>
  <c r="BA24" i="6"/>
  <c r="CF7" i="6"/>
  <c r="CE14" i="6"/>
  <c r="CF35" i="6"/>
  <c r="BB38" i="6"/>
  <c r="BB45" i="6"/>
  <c r="CE22" i="6"/>
  <c r="AZ9" i="6"/>
  <c r="BI12" i="6"/>
  <c r="CF22" i="6"/>
  <c r="BI32" i="6"/>
  <c r="CD38" i="6"/>
  <c r="BC30" i="6"/>
  <c r="BI40" i="6"/>
  <c r="CE37" i="6"/>
  <c r="CE44" i="6"/>
  <c r="AZ17" i="6"/>
  <c r="BC25" i="6"/>
  <c r="BB29" i="6"/>
  <c r="BB36" i="6"/>
  <c r="BC34" i="6"/>
  <c r="CF18" i="6"/>
  <c r="CF11" i="6"/>
  <c r="CE20" i="6"/>
  <c r="AZ23" i="6"/>
  <c r="CE25" i="6"/>
  <c r="BB30" i="6"/>
  <c r="BI30" i="6"/>
  <c r="BA32" i="6"/>
  <c r="BV35" i="6"/>
  <c r="AZ43" i="6"/>
  <c r="BV11" i="6"/>
  <c r="CE13" i="6"/>
  <c r="BJ46" i="6"/>
  <c r="BC29" i="6"/>
  <c r="BV44" i="6"/>
  <c r="CF13" i="6"/>
  <c r="CE15" i="6"/>
  <c r="BA17" i="6"/>
  <c r="BV38" i="6"/>
  <c r="CE42" i="6"/>
  <c r="CF15" i="6"/>
  <c r="BV20" i="6"/>
  <c r="CE21" i="6"/>
  <c r="BB23" i="6"/>
  <c r="CE31" i="6"/>
  <c r="BI35" i="6"/>
  <c r="CE36" i="6"/>
  <c r="BA38" i="6"/>
  <c r="CF42" i="6"/>
  <c r="AZ45" i="6"/>
  <c r="BA12" i="6"/>
  <c r="BI16" i="6"/>
  <c r="CF21" i="6"/>
  <c r="BC23" i="6"/>
  <c r="CE23" i="6"/>
  <c r="BO24" i="6"/>
  <c r="CE26" i="6"/>
  <c r="BI28" i="6"/>
  <c r="CF31" i="6"/>
  <c r="CF36" i="6"/>
  <c r="BI7" i="6"/>
  <c r="BC10" i="6"/>
  <c r="BI14" i="6"/>
  <c r="BA25" i="6"/>
  <c r="BC37" i="6"/>
  <c r="BV37" i="6"/>
  <c r="CE39" i="6"/>
  <c r="BV43" i="6"/>
  <c r="BI43" i="6"/>
  <c r="BO18" i="6"/>
  <c r="BI27" i="6"/>
  <c r="BA7" i="6"/>
  <c r="BP18" i="6"/>
  <c r="BI19" i="6"/>
  <c r="BV23" i="6"/>
  <c r="AZ24" i="6"/>
  <c r="BB24" i="6"/>
  <c r="BC32" i="6"/>
  <c r="BC7" i="6"/>
  <c r="BI13" i="6"/>
  <c r="BA14" i="6"/>
  <c r="BA29" i="6"/>
  <c r="BI31" i="6"/>
  <c r="BI36" i="6"/>
  <c r="BH40" i="6"/>
  <c r="BI26" i="6"/>
  <c r="BB31" i="6"/>
  <c r="BC11" i="6"/>
  <c r="CE18" i="6"/>
  <c r="BB22" i="6"/>
  <c r="BA30" i="6"/>
  <c r="BI37" i="6"/>
  <c r="CF39" i="6"/>
  <c r="BI41" i="6"/>
  <c r="I55" i="16"/>
  <c r="I56" i="16" s="1"/>
  <c r="L48" i="15"/>
  <c r="L49" i="15"/>
  <c r="BN26" i="3"/>
  <c r="BS26" i="3"/>
  <c r="BT26" i="3" s="1"/>
  <c r="BF43" i="5"/>
  <c r="BE43" i="5"/>
  <c r="BD43" i="5"/>
  <c r="BC43" i="5"/>
  <c r="CH16" i="10"/>
  <c r="BU16" i="10"/>
  <c r="CI16" i="10"/>
  <c r="BL11" i="11"/>
  <c r="BQ11" i="11"/>
  <c r="BR11" i="11" s="1"/>
  <c r="AA49" i="14"/>
  <c r="AA48" i="14"/>
  <c r="BP18" i="2"/>
  <c r="BX29" i="2"/>
  <c r="BX31" i="2"/>
  <c r="BR40" i="2"/>
  <c r="BF41" i="2"/>
  <c r="BE41" i="2"/>
  <c r="BD41" i="2"/>
  <c r="BR42" i="2"/>
  <c r="BD9" i="3"/>
  <c r="BE12" i="3"/>
  <c r="BF12" i="3"/>
  <c r="BC16" i="3"/>
  <c r="BE32" i="3"/>
  <c r="BD32" i="3"/>
  <c r="BF32" i="3"/>
  <c r="BP12" i="4"/>
  <c r="BR33" i="4"/>
  <c r="BV8" i="6"/>
  <c r="BA44" i="6"/>
  <c r="BC44" i="6"/>
  <c r="BU14" i="8"/>
  <c r="CI14" i="8"/>
  <c r="CH14" i="8"/>
  <c r="BD13" i="9"/>
  <c r="BC13" i="9"/>
  <c r="BB13" i="9"/>
  <c r="BE13" i="9"/>
  <c r="BR12" i="2"/>
  <c r="BX33" i="2"/>
  <c r="BS34" i="2"/>
  <c r="BT34" i="2" s="1"/>
  <c r="BE11" i="3"/>
  <c r="BF17" i="3"/>
  <c r="BD17" i="3"/>
  <c r="BE17" i="3"/>
  <c r="BN24" i="3"/>
  <c r="BP31" i="4"/>
  <c r="BP21" i="5"/>
  <c r="BP33" i="5"/>
  <c r="BC35" i="5"/>
  <c r="BA6" i="11"/>
  <c r="BC6" i="11"/>
  <c r="BC12" i="11"/>
  <c r="BD12" i="11"/>
  <c r="BA12" i="11"/>
  <c r="BP16" i="2"/>
  <c r="BR20" i="2"/>
  <c r="BE10" i="3"/>
  <c r="BE46" i="3" s="1"/>
  <c r="BS13" i="3"/>
  <c r="BT13" i="3" s="1"/>
  <c r="BE31" i="3"/>
  <c r="BN17" i="4"/>
  <c r="BF27" i="4"/>
  <c r="BE27" i="4"/>
  <c r="BC27" i="4"/>
  <c r="BE29" i="4"/>
  <c r="BF29" i="4"/>
  <c r="BD29" i="4"/>
  <c r="BE36" i="4"/>
  <c r="BC36" i="4"/>
  <c r="BC42" i="4"/>
  <c r="BN47" i="4"/>
  <c r="BS47" i="4"/>
  <c r="BT47" i="4" s="1"/>
  <c r="CL18" i="5"/>
  <c r="CL49" i="5" s="1"/>
  <c r="CK18" i="5"/>
  <c r="BE20" i="5"/>
  <c r="BF20" i="5"/>
  <c r="BR31" i="5"/>
  <c r="BE35" i="5"/>
  <c r="BB10" i="6"/>
  <c r="BX11" i="2"/>
  <c r="BF17" i="2"/>
  <c r="BD17" i="2"/>
  <c r="BE17" i="2"/>
  <c r="BC17" i="2"/>
  <c r="BF21" i="2"/>
  <c r="BE21" i="2"/>
  <c r="BN22" i="2"/>
  <c r="BS22" i="2"/>
  <c r="BT22" i="2" s="1"/>
  <c r="BF40" i="2"/>
  <c r="BC41" i="2"/>
  <c r="BE42" i="2"/>
  <c r="BD29" i="3"/>
  <c r="BC30" i="3"/>
  <c r="BN36" i="3"/>
  <c r="BS36" i="3"/>
  <c r="BT36" i="3" s="1"/>
  <c r="BN16" i="4"/>
  <c r="BS16" i="4"/>
  <c r="BT16" i="4" s="1"/>
  <c r="CK17" i="5"/>
  <c r="CL17" i="5"/>
  <c r="BX18" i="5"/>
  <c r="BF39" i="5"/>
  <c r="BE39" i="5"/>
  <c r="BS40" i="5"/>
  <c r="BT40" i="5" s="1"/>
  <c r="BI22" i="6"/>
  <c r="BL3" i="11"/>
  <c r="BQ3" i="11"/>
  <c r="BR3" i="11" s="1"/>
  <c r="BC35" i="11"/>
  <c r="BA35" i="11"/>
  <c r="BB39" i="11"/>
  <c r="Z44" i="20"/>
  <c r="Z43" i="20"/>
  <c r="BE13" i="2"/>
  <c r="BN24" i="2"/>
  <c r="BN28" i="2"/>
  <c r="BE35" i="2"/>
  <c r="BE30" i="3"/>
  <c r="BC32" i="3"/>
  <c r="BF34" i="3"/>
  <c r="BC34" i="3"/>
  <c r="BE39" i="3"/>
  <c r="BC28" i="4"/>
  <c r="BF30" i="4"/>
  <c r="BX17" i="5"/>
  <c r="BD18" i="5"/>
  <c r="BD32" i="5"/>
  <c r="BF32" i="5"/>
  <c r="BE32" i="5"/>
  <c r="BC32" i="5"/>
  <c r="BS38" i="5"/>
  <c r="BT38" i="5" s="1"/>
  <c r="BL17" i="11"/>
  <c r="CJ23" i="11"/>
  <c r="BV23" i="11"/>
  <c r="K43" i="18"/>
  <c r="K44" i="18"/>
  <c r="BF8" i="2"/>
  <c r="BD8" i="2"/>
  <c r="BE8" i="2"/>
  <c r="BC14" i="2"/>
  <c r="BC22" i="2"/>
  <c r="BN25" i="2"/>
  <c r="BD12" i="3"/>
  <c r="BS20" i="3"/>
  <c r="BT20" i="3" s="1"/>
  <c r="BP21" i="3"/>
  <c r="BR23" i="3"/>
  <c r="BP35" i="3"/>
  <c r="BS29" i="5"/>
  <c r="BT29" i="5" s="1"/>
  <c r="BD44" i="5"/>
  <c r="BC44" i="5"/>
  <c r="BF44" i="5"/>
  <c r="BE44" i="5"/>
  <c r="BB11" i="6"/>
  <c r="CE34" i="6"/>
  <c r="BV34" i="6"/>
  <c r="CF34" i="6"/>
  <c r="BC41" i="6"/>
  <c r="BA41" i="6"/>
  <c r="BB41" i="6"/>
  <c r="AZ41" i="6"/>
  <c r="C48" i="15"/>
  <c r="E45" i="16"/>
  <c r="E53" i="16" s="1"/>
  <c r="E44" i="16"/>
  <c r="T44" i="18"/>
  <c r="T43" i="18"/>
  <c r="D44" i="20"/>
  <c r="D43" i="20"/>
  <c r="BC9" i="2"/>
  <c r="BS14" i="2"/>
  <c r="BT14" i="2" s="1"/>
  <c r="BC21" i="2"/>
  <c r="BF18" i="3"/>
  <c r="BE19" i="3"/>
  <c r="BF19" i="3"/>
  <c r="BX26" i="3"/>
  <c r="BX27" i="3"/>
  <c r="CK27" i="3"/>
  <c r="BE13" i="5"/>
  <c r="BF13" i="5"/>
  <c r="BE27" i="5"/>
  <c r="CK41" i="5"/>
  <c r="CL41" i="5"/>
  <c r="BC18" i="6"/>
  <c r="AZ18" i="6"/>
  <c r="BB18" i="6"/>
  <c r="BA18" i="6"/>
  <c r="BQ24" i="11"/>
  <c r="BR24" i="11" s="1"/>
  <c r="BL24" i="11"/>
  <c r="BN28" i="11"/>
  <c r="BQ28" i="11"/>
  <c r="BR28" i="11" s="1"/>
  <c r="I43" i="18"/>
  <c r="I44" i="18"/>
  <c r="O44" i="18"/>
  <c r="O43" i="18"/>
  <c r="AC43" i="20"/>
  <c r="AC44" i="20"/>
  <c r="BX13" i="2"/>
  <c r="BD16" i="2"/>
  <c r="BD21" i="2"/>
  <c r="BS23" i="2"/>
  <c r="BT23" i="2" s="1"/>
  <c r="BD27" i="2"/>
  <c r="BC27" i="2"/>
  <c r="BR31" i="2"/>
  <c r="AO46" i="2"/>
  <c r="BD14" i="3"/>
  <c r="BC22" i="3"/>
  <c r="BE22" i="3"/>
  <c r="BD22" i="3"/>
  <c r="BP19" i="4"/>
  <c r="BE22" i="4"/>
  <c r="BD14" i="5"/>
  <c r="BC14" i="5"/>
  <c r="BE16" i="5"/>
  <c r="BS26" i="5"/>
  <c r="BT26" i="5" s="1"/>
  <c r="BC14" i="6"/>
  <c r="AZ16" i="6"/>
  <c r="BB16" i="6"/>
  <c r="BC16" i="6"/>
  <c r="BB37" i="6"/>
  <c r="BB18" i="10"/>
  <c r="BC20" i="10"/>
  <c r="F49" i="14"/>
  <c r="F48" i="14"/>
  <c r="K49" i="15"/>
  <c r="K48" i="15"/>
  <c r="C47" i="17"/>
  <c r="AK46" i="17"/>
  <c r="BX8" i="2"/>
  <c r="CK8" i="2"/>
  <c r="CK46" i="2" s="1"/>
  <c r="BE9" i="2"/>
  <c r="BF14" i="2"/>
  <c r="CK15" i="2"/>
  <c r="BX15" i="2"/>
  <c r="BD22" i="2"/>
  <c r="BF32" i="2"/>
  <c r="BE32" i="2"/>
  <c r="BK35" i="2"/>
  <c r="CK41" i="2"/>
  <c r="BF9" i="3"/>
  <c r="CK14" i="3"/>
  <c r="BN15" i="3"/>
  <c r="BF20" i="3"/>
  <c r="BC21" i="3"/>
  <c r="BF24" i="3"/>
  <c r="BS32" i="3"/>
  <c r="BT32" i="3" s="1"/>
  <c r="BD33" i="3"/>
  <c r="BN24" i="4"/>
  <c r="BE39" i="4"/>
  <c r="CL39" i="4"/>
  <c r="CK39" i="4"/>
  <c r="CL15" i="5"/>
  <c r="CK15" i="5"/>
  <c r="BX15" i="5"/>
  <c r="BF22" i="5"/>
  <c r="BC22" i="5"/>
  <c r="BX24" i="5"/>
  <c r="CL24" i="5"/>
  <c r="BC34" i="5"/>
  <c r="BN34" i="5"/>
  <c r="CK34" i="5"/>
  <c r="BD38" i="5"/>
  <c r="BC38" i="5"/>
  <c r="BC41" i="5"/>
  <c r="BF41" i="5"/>
  <c r="BE41" i="5"/>
  <c r="BK19" i="6"/>
  <c r="BK46" i="6" s="1"/>
  <c r="CI9" i="8"/>
  <c r="CI15" i="8" s="1"/>
  <c r="CH9" i="8"/>
  <c r="BU9" i="8"/>
  <c r="BE12" i="9"/>
  <c r="BL15" i="11"/>
  <c r="BB18" i="11"/>
  <c r="BL32" i="11"/>
  <c r="BQ32" i="11"/>
  <c r="BR32" i="11" s="1"/>
  <c r="BQ33" i="11"/>
  <c r="BR33" i="11" s="1"/>
  <c r="BN33" i="11"/>
  <c r="G48" i="14"/>
  <c r="G49" i="14"/>
  <c r="AE49" i="14"/>
  <c r="AE48" i="14"/>
  <c r="R49" i="14"/>
  <c r="R48" i="14"/>
  <c r="E48" i="15"/>
  <c r="E49" i="15"/>
  <c r="Q48" i="15"/>
  <c r="Q49" i="15"/>
  <c r="AK8" i="16"/>
  <c r="Q45" i="16"/>
  <c r="Q53" i="16" s="1"/>
  <c r="Q55" i="16" s="1"/>
  <c r="Q44" i="16"/>
  <c r="AC44" i="16"/>
  <c r="AC45" i="16"/>
  <c r="AC53" i="16" s="1"/>
  <c r="AC56" i="16" s="1"/>
  <c r="M44" i="16"/>
  <c r="M45" i="16"/>
  <c r="M53" i="16" s="1"/>
  <c r="I48" i="17"/>
  <c r="I49" i="17"/>
  <c r="BX14" i="4"/>
  <c r="CK14" i="4"/>
  <c r="BE15" i="4"/>
  <c r="BE37" i="4"/>
  <c r="CE8" i="6"/>
  <c r="BU46" i="6"/>
  <c r="BC12" i="6"/>
  <c r="AZ12" i="6"/>
  <c r="CF29" i="6"/>
  <c r="CE29" i="6"/>
  <c r="BA12" i="10"/>
  <c r="BC12" i="10"/>
  <c r="BB12" i="10"/>
  <c r="BD12" i="10"/>
  <c r="BE19" i="2"/>
  <c r="BF19" i="2"/>
  <c r="BX24" i="2"/>
  <c r="BN25" i="3"/>
  <c r="CD23" i="6"/>
  <c r="BI23" i="6" s="1"/>
  <c r="BH23" i="6"/>
  <c r="BC24" i="6"/>
  <c r="BV29" i="6"/>
  <c r="CH19" i="10"/>
  <c r="CI19" i="10"/>
  <c r="BD13" i="2"/>
  <c r="BC13" i="2"/>
  <c r="BX26" i="2"/>
  <c r="BE36" i="2"/>
  <c r="BC36" i="2"/>
  <c r="BD36" i="2"/>
  <c r="BC13" i="3"/>
  <c r="BD13" i="3"/>
  <c r="BS8" i="2"/>
  <c r="BT8" i="2" s="1"/>
  <c r="BN8" i="2"/>
  <c r="BC12" i="2"/>
  <c r="BD34" i="2"/>
  <c r="BX10" i="3"/>
  <c r="CK10" i="3"/>
  <c r="CK46" i="3" s="1"/>
  <c r="BE16" i="3"/>
  <c r="BC31" i="3"/>
  <c r="BS40" i="3"/>
  <c r="BT40" i="3" s="1"/>
  <c r="BF13" i="4"/>
  <c r="BD13" i="4"/>
  <c r="BE13" i="4"/>
  <c r="BC13" i="4"/>
  <c r="BC18" i="4"/>
  <c r="BF18" i="4"/>
  <c r="BE18" i="4"/>
  <c r="BD18" i="4"/>
  <c r="BC31" i="4"/>
  <c r="BF31" i="4"/>
  <c r="BE31" i="4"/>
  <c r="BN44" i="4"/>
  <c r="BC47" i="4"/>
  <c r="BF47" i="4"/>
  <c r="BF28" i="5"/>
  <c r="BE28" i="5"/>
  <c r="BD28" i="5"/>
  <c r="BF30" i="5"/>
  <c r="BE30" i="5"/>
  <c r="BC30" i="5"/>
  <c r="BD30" i="5"/>
  <c r="BX34" i="5"/>
  <c r="BF40" i="5"/>
  <c r="BE40" i="5"/>
  <c r="BD40" i="5"/>
  <c r="BC40" i="5"/>
  <c r="BC26" i="6"/>
  <c r="BA26" i="6"/>
  <c r="AZ26" i="6"/>
  <c r="BB26" i="6"/>
  <c r="BE18" i="2"/>
  <c r="BN42" i="3"/>
  <c r="BF9" i="4"/>
  <c r="CL29" i="4"/>
  <c r="CK29" i="4"/>
  <c r="BC31" i="5"/>
  <c r="CD11" i="6"/>
  <c r="BI11" i="6" s="1"/>
  <c r="CD45" i="6"/>
  <c r="BI45" i="6" s="1"/>
  <c r="BH45" i="6"/>
  <c r="BC14" i="8"/>
  <c r="BA14" i="8"/>
  <c r="BD14" i="8"/>
  <c r="BB14" i="8"/>
  <c r="X49" i="15"/>
  <c r="X48" i="15"/>
  <c r="AB44" i="20"/>
  <c r="AB43" i="20"/>
  <c r="BX19" i="2"/>
  <c r="BE20" i="2"/>
  <c r="BX37" i="2"/>
  <c r="BF38" i="2"/>
  <c r="BE13" i="3"/>
  <c r="BS19" i="3"/>
  <c r="BT19" i="3" s="1"/>
  <c r="BX28" i="3"/>
  <c r="BX29" i="4"/>
  <c r="BC35" i="4"/>
  <c r="BE35" i="4"/>
  <c r="BA37" i="6"/>
  <c r="AZ37" i="6"/>
  <c r="BB3" i="11"/>
  <c r="BA3" i="11"/>
  <c r="BF10" i="2"/>
  <c r="BF12" i="2"/>
  <c r="BX11" i="3"/>
  <c r="CK21" i="3"/>
  <c r="BD27" i="3"/>
  <c r="CK31" i="3"/>
  <c r="BX31" i="3"/>
  <c r="BD27" i="4"/>
  <c r="BE33" i="4"/>
  <c r="BP14" i="5"/>
  <c r="BS14" i="5"/>
  <c r="BT14" i="5" s="1"/>
  <c r="BH9" i="6"/>
  <c r="CD9" i="6"/>
  <c r="BV41" i="6"/>
  <c r="CF41" i="6"/>
  <c r="CE41" i="6"/>
  <c r="BC14" i="10"/>
  <c r="BA14" i="10"/>
  <c r="BD14" i="10"/>
  <c r="BB14" i="10"/>
  <c r="BL2" i="11"/>
  <c r="H43" i="18"/>
  <c r="H44" i="18"/>
  <c r="AF43" i="18"/>
  <c r="AF44" i="18"/>
  <c r="BN33" i="2"/>
  <c r="BS33" i="2"/>
  <c r="BT33" i="2" s="1"/>
  <c r="CK35" i="2"/>
  <c r="BX35" i="2"/>
  <c r="BC17" i="3"/>
  <c r="BF26" i="3"/>
  <c r="BE27" i="3"/>
  <c r="CK11" i="4"/>
  <c r="BX11" i="4"/>
  <c r="BD31" i="4"/>
  <c r="CI14" i="7"/>
  <c r="CI16" i="7" s="1"/>
  <c r="CH14" i="7"/>
  <c r="BQ20" i="11"/>
  <c r="BR20" i="11" s="1"/>
  <c r="BL20" i="11"/>
  <c r="K56" i="16"/>
  <c r="K55" i="16"/>
  <c r="AH48" i="17"/>
  <c r="AH49" i="17"/>
  <c r="B42" i="20"/>
  <c r="BN11" i="2"/>
  <c r="BE14" i="2"/>
  <c r="BF16" i="2"/>
  <c r="BE16" i="2"/>
  <c r="CK32" i="2"/>
  <c r="BF16" i="4"/>
  <c r="BE16" i="4"/>
  <c r="BD16" i="4"/>
  <c r="BC16" i="4"/>
  <c r="CK26" i="4"/>
  <c r="CL26" i="4"/>
  <c r="BN34" i="4"/>
  <c r="BS34" i="4"/>
  <c r="BT34" i="4" s="1"/>
  <c r="BS37" i="4"/>
  <c r="BT37" i="4" s="1"/>
  <c r="BD38" i="4"/>
  <c r="BC38" i="4"/>
  <c r="BE38" i="4"/>
  <c r="BC8" i="5"/>
  <c r="BE8" i="5"/>
  <c r="BD8" i="5"/>
  <c r="BD13" i="5"/>
  <c r="BC28" i="5"/>
  <c r="BD39" i="5"/>
  <c r="BX41" i="5"/>
  <c r="BC17" i="6"/>
  <c r="BB17" i="6"/>
  <c r="BU14" i="7"/>
  <c r="BB38" i="11"/>
  <c r="O49" i="17"/>
  <c r="O48" i="17"/>
  <c r="L43" i="18"/>
  <c r="BK8" i="2"/>
  <c r="BF9" i="2"/>
  <c r="BS19" i="2"/>
  <c r="BT19" i="2" s="1"/>
  <c r="BN19" i="2"/>
  <c r="BE22" i="2"/>
  <c r="BE23" i="2"/>
  <c r="BD26" i="2"/>
  <c r="BC26" i="2"/>
  <c r="BE26" i="2"/>
  <c r="BE29" i="2"/>
  <c r="BE31" i="2"/>
  <c r="BS36" i="2"/>
  <c r="BT36" i="2" s="1"/>
  <c r="BN37" i="2"/>
  <c r="AX46" i="2"/>
  <c r="BS8" i="3"/>
  <c r="BT8" i="3" s="1"/>
  <c r="BS14" i="3"/>
  <c r="BT14" i="3" s="1"/>
  <c r="BD18" i="3"/>
  <c r="BD21" i="3"/>
  <c r="BC23" i="3"/>
  <c r="BS28" i="3"/>
  <c r="BT28" i="3" s="1"/>
  <c r="BN28" i="3"/>
  <c r="BE37" i="3"/>
  <c r="BF38" i="3"/>
  <c r="BS38" i="3"/>
  <c r="BT38" i="3" s="1"/>
  <c r="BE42" i="3"/>
  <c r="BK42" i="3"/>
  <c r="AP46" i="3"/>
  <c r="BK12" i="4"/>
  <c r="BC19" i="4"/>
  <c r="BD19" i="4"/>
  <c r="BF19" i="4"/>
  <c r="BC22" i="4"/>
  <c r="BC26" i="4"/>
  <c r="BE26" i="4"/>
  <c r="BN32" i="4"/>
  <c r="BS32" i="4"/>
  <c r="BT32" i="4" s="1"/>
  <c r="BP35" i="4"/>
  <c r="BF39" i="4"/>
  <c r="BX39" i="4"/>
  <c r="BD26" i="5"/>
  <c r="BE26" i="5"/>
  <c r="BC26" i="5"/>
  <c r="BF26" i="5"/>
  <c r="BB14" i="6"/>
  <c r="BC20" i="6"/>
  <c r="BA20" i="6"/>
  <c r="AZ20" i="6"/>
  <c r="BB20" i="6"/>
  <c r="CE24" i="6"/>
  <c r="CF24" i="6"/>
  <c r="BC27" i="6"/>
  <c r="BA27" i="6"/>
  <c r="BB27" i="6"/>
  <c r="AZ27" i="6"/>
  <c r="AZ30" i="6"/>
  <c r="CE30" i="6"/>
  <c r="CF30" i="6"/>
  <c r="BC40" i="6"/>
  <c r="BB40" i="6"/>
  <c r="BA40" i="6"/>
  <c r="AZ40" i="6"/>
  <c r="BD14" i="7"/>
  <c r="BC14" i="7"/>
  <c r="BA14" i="7"/>
  <c r="BB14" i="7"/>
  <c r="BE10" i="9"/>
  <c r="BD18" i="10"/>
  <c r="BC17" i="11"/>
  <c r="BA17" i="11"/>
  <c r="BB17" i="11"/>
  <c r="BD17" i="11"/>
  <c r="BD26" i="11"/>
  <c r="H49" i="14"/>
  <c r="H48" i="14"/>
  <c r="AF48" i="14"/>
  <c r="AF49" i="14"/>
  <c r="R48" i="15"/>
  <c r="E49" i="17"/>
  <c r="E48" i="17"/>
  <c r="AC49" i="17"/>
  <c r="AC48" i="17"/>
  <c r="J49" i="17"/>
  <c r="J48" i="17"/>
  <c r="BE39" i="2"/>
  <c r="BD39" i="2"/>
  <c r="BC39" i="2"/>
  <c r="CK15" i="4"/>
  <c r="BX15" i="4"/>
  <c r="CK43" i="4"/>
  <c r="BX43" i="4"/>
  <c r="CL43" i="4"/>
  <c r="BA33" i="6"/>
  <c r="AZ33" i="6"/>
  <c r="BC33" i="6"/>
  <c r="BB33" i="6"/>
  <c r="BC35" i="6"/>
  <c r="BA35" i="6"/>
  <c r="AZ35" i="6"/>
  <c r="BB35" i="6"/>
  <c r="CH10" i="7"/>
  <c r="CI10" i="7"/>
  <c r="BU10" i="7"/>
  <c r="BH9" i="11"/>
  <c r="CG9" i="11"/>
  <c r="BI9" i="11" s="1"/>
  <c r="BP12" i="3"/>
  <c r="BR16" i="3"/>
  <c r="BR29" i="3"/>
  <c r="BN22" i="4"/>
  <c r="BP23" i="4"/>
  <c r="CL42" i="4"/>
  <c r="CK42" i="4"/>
  <c r="BP12" i="5"/>
  <c r="BS16" i="5"/>
  <c r="BT16" i="5" s="1"/>
  <c r="BN16" i="5"/>
  <c r="BN32" i="5"/>
  <c r="BC13" i="6"/>
  <c r="BB13" i="6"/>
  <c r="BA15" i="6"/>
  <c r="AZ15" i="6"/>
  <c r="BC15" i="6"/>
  <c r="BB15" i="6"/>
  <c r="BL14" i="11"/>
  <c r="CG24" i="11"/>
  <c r="BI24" i="11" s="1"/>
  <c r="BH24" i="11"/>
  <c r="BN21" i="2"/>
  <c r="BX42" i="4"/>
  <c r="BA23" i="6"/>
  <c r="CD29" i="6"/>
  <c r="BI29" i="6" s="1"/>
  <c r="BH29" i="6"/>
  <c r="BQ6" i="11"/>
  <c r="BR6" i="11" s="1"/>
  <c r="BL6" i="11"/>
  <c r="AF55" i="16"/>
  <c r="AF56" i="16"/>
  <c r="BN15" i="2"/>
  <c r="BX39" i="2"/>
  <c r="BC40" i="3"/>
  <c r="BE40" i="3"/>
  <c r="BD40" i="3"/>
  <c r="BF40" i="3"/>
  <c r="BD12" i="4"/>
  <c r="BF12" i="4"/>
  <c r="BE12" i="4"/>
  <c r="BC12" i="4"/>
  <c r="BN25" i="4"/>
  <c r="BF32" i="4"/>
  <c r="BE32" i="4"/>
  <c r="BD32" i="4"/>
  <c r="BF19" i="5"/>
  <c r="BA10" i="6"/>
  <c r="BD10" i="8"/>
  <c r="BB10" i="8"/>
  <c r="BC10" i="8"/>
  <c r="BC19" i="11"/>
  <c r="BA19" i="11"/>
  <c r="BB19" i="11"/>
  <c r="BD19" i="11"/>
  <c r="BD18" i="2"/>
  <c r="BD35" i="2"/>
  <c r="BX30" i="3"/>
  <c r="CK30" i="3"/>
  <c r="BS37" i="3"/>
  <c r="BT37" i="3" s="1"/>
  <c r="BP37" i="3"/>
  <c r="BE11" i="4"/>
  <c r="BN20" i="4"/>
  <c r="BN21" i="4"/>
  <c r="CL23" i="4"/>
  <c r="CK23" i="4"/>
  <c r="BD34" i="4"/>
  <c r="CK41" i="4"/>
  <c r="CL41" i="4"/>
  <c r="BS11" i="5"/>
  <c r="BT11" i="5" s="1"/>
  <c r="BN11" i="5"/>
  <c r="BN20" i="5"/>
  <c r="BD27" i="5"/>
  <c r="BC27" i="5"/>
  <c r="BF31" i="5"/>
  <c r="BD8" i="10"/>
  <c r="BB8" i="10"/>
  <c r="BC8" i="10"/>
  <c r="CI32" i="11"/>
  <c r="CJ32" i="11"/>
  <c r="BD39" i="11"/>
  <c r="BC39" i="11"/>
  <c r="AG43" i="18"/>
  <c r="AG44" i="18"/>
  <c r="AL44" i="20"/>
  <c r="AL43" i="20"/>
  <c r="N44" i="20"/>
  <c r="BD19" i="2"/>
  <c r="BC12" i="3"/>
  <c r="BF14" i="3"/>
  <c r="BN22" i="3"/>
  <c r="BC24" i="3"/>
  <c r="BD24" i="3"/>
  <c r="BD46" i="3" s="1"/>
  <c r="BE28" i="3"/>
  <c r="BX40" i="3"/>
  <c r="CK40" i="3"/>
  <c r="BF11" i="4"/>
  <c r="BX23" i="4"/>
  <c r="BS28" i="5"/>
  <c r="BT28" i="5" s="1"/>
  <c r="AZ10" i="6"/>
  <c r="BB12" i="11"/>
  <c r="BV26" i="11"/>
  <c r="CJ26" i="11"/>
  <c r="BC37" i="11"/>
  <c r="BA37" i="11"/>
  <c r="C45" i="16"/>
  <c r="C53" i="16" s="1"/>
  <c r="C44" i="16"/>
  <c r="AM44" i="20"/>
  <c r="AM43" i="20"/>
  <c r="BE15" i="2"/>
  <c r="BC15" i="2"/>
  <c r="BD15" i="2"/>
  <c r="BC18" i="2"/>
  <c r="BF35" i="2"/>
  <c r="BF36" i="2"/>
  <c r="BL46" i="3"/>
  <c r="BF30" i="3"/>
  <c r="BF28" i="4"/>
  <c r="BC29" i="4"/>
  <c r="BP8" i="5"/>
  <c r="BP24" i="5"/>
  <c r="BD29" i="5"/>
  <c r="BE29" i="5"/>
  <c r="BC29" i="5"/>
  <c r="BF29" i="5"/>
  <c r="AP49" i="5"/>
  <c r="AI49" i="5"/>
  <c r="BD13" i="7"/>
  <c r="BA13" i="7"/>
  <c r="BC13" i="7"/>
  <c r="BB13" i="7"/>
  <c r="B45" i="16"/>
  <c r="AK43" i="16"/>
  <c r="B44" i="16"/>
  <c r="P44" i="20"/>
  <c r="P43" i="20"/>
  <c r="BX18" i="2"/>
  <c r="BC24" i="2"/>
  <c r="BW46" i="2"/>
  <c r="BW47" i="2" s="1"/>
  <c r="BC19" i="3"/>
  <c r="BX30" i="4"/>
  <c r="BS43" i="4"/>
  <c r="BT43" i="4" s="1"/>
  <c r="BP43" i="4"/>
  <c r="BN46" i="4"/>
  <c r="BC39" i="5"/>
  <c r="BA21" i="6"/>
  <c r="AZ21" i="6"/>
  <c r="BC21" i="6"/>
  <c r="BB21" i="6"/>
  <c r="BH22" i="6"/>
  <c r="BA16" i="11"/>
  <c r="BB16" i="11"/>
  <c r="U44" i="18"/>
  <c r="U43" i="18"/>
  <c r="BF25" i="2"/>
  <c r="BN26" i="2"/>
  <c r="BS27" i="2"/>
  <c r="BT27" i="2" s="1"/>
  <c r="BR27" i="2"/>
  <c r="BF30" i="2"/>
  <c r="BD30" i="2"/>
  <c r="BE30" i="2"/>
  <c r="BN32" i="2"/>
  <c r="BF33" i="3"/>
  <c r="BX39" i="3"/>
  <c r="BN14" i="4"/>
  <c r="BF20" i="4"/>
  <c r="BE20" i="4"/>
  <c r="BD20" i="4"/>
  <c r="BC20" i="4"/>
  <c r="BC23" i="4"/>
  <c r="BE23" i="4"/>
  <c r="BL1" i="11"/>
  <c r="CJ29" i="11"/>
  <c r="CI29" i="11"/>
  <c r="AA49" i="17"/>
  <c r="AA48" i="17"/>
  <c r="BC8" i="2"/>
  <c r="BX9" i="2"/>
  <c r="BC10" i="2"/>
  <c r="BC11" i="2"/>
  <c r="BE11" i="2"/>
  <c r="BD11" i="2"/>
  <c r="BK16" i="2"/>
  <c r="BS17" i="2"/>
  <c r="BT17" i="2" s="1"/>
  <c r="BF22" i="2"/>
  <c r="BE24" i="2"/>
  <c r="BC25" i="2"/>
  <c r="BE27" i="2"/>
  <c r="BX28" i="2"/>
  <c r="BX30" i="2"/>
  <c r="CK40" i="2"/>
  <c r="BC10" i="3"/>
  <c r="BE15" i="3"/>
  <c r="BF15" i="3"/>
  <c r="BN17" i="3"/>
  <c r="BS17" i="3"/>
  <c r="BT17" i="3" s="1"/>
  <c r="BF23" i="3"/>
  <c r="BK24" i="3"/>
  <c r="CK25" i="3"/>
  <c r="BC35" i="3"/>
  <c r="BN38" i="3"/>
  <c r="BS41" i="3"/>
  <c r="BT41" i="3" s="1"/>
  <c r="BD14" i="4"/>
  <c r="BC14" i="4"/>
  <c r="BF14" i="4"/>
  <c r="BF26" i="4"/>
  <c r="BF38" i="4"/>
  <c r="BP45" i="4"/>
  <c r="BS45" i="4"/>
  <c r="BT45" i="4" s="1"/>
  <c r="BF8" i="5"/>
  <c r="BS13" i="5"/>
  <c r="BT13" i="5" s="1"/>
  <c r="BE14" i="5"/>
  <c r="BC23" i="5"/>
  <c r="BF23" i="5"/>
  <c r="BE23" i="5"/>
  <c r="BD23" i="5"/>
  <c r="BE24" i="5"/>
  <c r="BF24" i="5"/>
  <c r="BN25" i="5"/>
  <c r="BS25" i="5"/>
  <c r="BT25" i="5" s="1"/>
  <c r="BE37" i="5"/>
  <c r="BB12" i="6"/>
  <c r="AZ14" i="6"/>
  <c r="BA16" i="6"/>
  <c r="BV24" i="6"/>
  <c r="BV30" i="6"/>
  <c r="BC11" i="7"/>
  <c r="BB9" i="9"/>
  <c r="BC9" i="9"/>
  <c r="BD17" i="10"/>
  <c r="BA20" i="10"/>
  <c r="CI23" i="11"/>
  <c r="BD25" i="11"/>
  <c r="BI25" i="11"/>
  <c r="BD28" i="11"/>
  <c r="BB28" i="11"/>
  <c r="BA28" i="11"/>
  <c r="BC28" i="11"/>
  <c r="BI35" i="11"/>
  <c r="S48" i="15"/>
  <c r="S49" i="15"/>
  <c r="U48" i="15"/>
  <c r="U49" i="15"/>
  <c r="AD49" i="17"/>
  <c r="AD48" i="17"/>
  <c r="K49" i="17"/>
  <c r="K48" i="17"/>
  <c r="BE9" i="4"/>
  <c r="BF10" i="4"/>
  <c r="BE10" i="4"/>
  <c r="BE17" i="4"/>
  <c r="BD17" i="4"/>
  <c r="BC17" i="4"/>
  <c r="BD24" i="4"/>
  <c r="BF24" i="4"/>
  <c r="BP26" i="4"/>
  <c r="BS26" i="4"/>
  <c r="BT26" i="4" s="1"/>
  <c r="CK31" i="4"/>
  <c r="BX31" i="4"/>
  <c r="BF18" i="5"/>
  <c r="BE18" i="5"/>
  <c r="BS22" i="5"/>
  <c r="BT22" i="5" s="1"/>
  <c r="BR22" i="5"/>
  <c r="CL26" i="5"/>
  <c r="BX26" i="5"/>
  <c r="CK26" i="5"/>
  <c r="CL37" i="5"/>
  <c r="CK37" i="5"/>
  <c r="BI9" i="6"/>
  <c r="BL5" i="11"/>
  <c r="BQ5" i="11"/>
  <c r="BR5" i="11" s="1"/>
  <c r="BQ9" i="11"/>
  <c r="BR9" i="11" s="1"/>
  <c r="BC10" i="11"/>
  <c r="BA10" i="11"/>
  <c r="BB10" i="11"/>
  <c r="BD10" i="11"/>
  <c r="BC15" i="11"/>
  <c r="BA15" i="11"/>
  <c r="BD15" i="11"/>
  <c r="BD29" i="11"/>
  <c r="CI35" i="11"/>
  <c r="CJ35" i="11"/>
  <c r="AB48" i="14"/>
  <c r="AB49" i="14"/>
  <c r="T48" i="15"/>
  <c r="T49" i="15"/>
  <c r="C39" i="12"/>
  <c r="R45" i="16"/>
  <c r="R53" i="16" s="1"/>
  <c r="R55" i="16" s="1"/>
  <c r="R56" i="16" s="1"/>
  <c r="R44" i="16"/>
  <c r="W43" i="19"/>
  <c r="W44" i="19"/>
  <c r="BD36" i="3"/>
  <c r="BF36" i="3"/>
  <c r="BE36" i="3"/>
  <c r="BX18" i="4"/>
  <c r="CK18" i="4"/>
  <c r="CL18" i="4"/>
  <c r="CK19" i="4"/>
  <c r="CL19" i="4"/>
  <c r="BE25" i="4"/>
  <c r="BD25" i="4"/>
  <c r="BF25" i="4"/>
  <c r="BC25" i="4"/>
  <c r="BN29" i="4"/>
  <c r="BX33" i="4"/>
  <c r="BS36" i="4"/>
  <c r="BT36" i="4" s="1"/>
  <c r="BF37" i="4"/>
  <c r="BS38" i="4"/>
  <c r="BT38" i="4" s="1"/>
  <c r="BF46" i="4"/>
  <c r="BE46" i="4"/>
  <c r="BD46" i="4"/>
  <c r="BC46" i="4"/>
  <c r="BP19" i="5"/>
  <c r="CK23" i="5"/>
  <c r="CL23" i="5"/>
  <c r="BC24" i="5"/>
  <c r="BX32" i="5"/>
  <c r="BF36" i="5"/>
  <c r="BC37" i="5"/>
  <c r="BX37" i="5"/>
  <c r="BX39" i="5"/>
  <c r="BB7" i="6"/>
  <c r="BC9" i="6"/>
  <c r="BB9" i="6"/>
  <c r="BA9" i="6"/>
  <c r="AZ11" i="6"/>
  <c r="BB42" i="6"/>
  <c r="AZ42" i="6"/>
  <c r="BC42" i="6"/>
  <c r="BA42" i="6"/>
  <c r="BI44" i="6"/>
  <c r="BD10" i="7"/>
  <c r="BC10" i="7"/>
  <c r="BA10" i="7"/>
  <c r="BB10" i="7"/>
  <c r="BA10" i="10"/>
  <c r="BI10" i="10"/>
  <c r="CI3" i="11"/>
  <c r="CJ3" i="11"/>
  <c r="BL9" i="11"/>
  <c r="BA20" i="11"/>
  <c r="BB20" i="11"/>
  <c r="BD20" i="11"/>
  <c r="BC20" i="11"/>
  <c r="BV35" i="11"/>
  <c r="BA38" i="11"/>
  <c r="CI38" i="11"/>
  <c r="CJ38" i="11"/>
  <c r="BV38" i="11"/>
  <c r="F118" i="13"/>
  <c r="F120" i="13"/>
  <c r="AC49" i="14"/>
  <c r="AC48" i="14"/>
  <c r="W49" i="15"/>
  <c r="W48" i="15"/>
  <c r="AB44" i="18"/>
  <c r="AB43" i="18"/>
  <c r="F44" i="20"/>
  <c r="F43" i="20"/>
  <c r="BC18" i="3"/>
  <c r="BD42" i="3"/>
  <c r="BC42" i="3"/>
  <c r="BK13" i="4"/>
  <c r="BD21" i="4"/>
  <c r="BC21" i="4"/>
  <c r="BE21" i="4"/>
  <c r="BE28" i="2"/>
  <c r="BD28" i="2"/>
  <c r="BC28" i="2"/>
  <c r="BS30" i="2"/>
  <c r="BT30" i="2" s="1"/>
  <c r="BF34" i="2"/>
  <c r="BN39" i="2"/>
  <c r="BK40" i="2"/>
  <c r="BX13" i="3"/>
  <c r="BE14" i="3"/>
  <c r="BX22" i="3"/>
  <c r="BE23" i="3"/>
  <c r="BC25" i="3"/>
  <c r="BE25" i="3"/>
  <c r="BD25" i="3"/>
  <c r="BS30" i="3"/>
  <c r="BT30" i="3" s="1"/>
  <c r="BF35" i="3"/>
  <c r="BD35" i="3"/>
  <c r="BD37" i="3"/>
  <c r="BC37" i="3"/>
  <c r="BW48" i="4"/>
  <c r="BW49" i="4" s="1"/>
  <c r="CL17" i="4"/>
  <c r="CK17" i="4"/>
  <c r="BX19" i="4"/>
  <c r="BF34" i="4"/>
  <c r="BC34" i="4"/>
  <c r="BN38" i="4"/>
  <c r="BE44" i="4"/>
  <c r="BD44" i="4"/>
  <c r="BF44" i="4"/>
  <c r="BC44" i="4"/>
  <c r="BE45" i="4"/>
  <c r="BD45" i="4"/>
  <c r="BF45" i="4"/>
  <c r="BC45" i="4"/>
  <c r="BC13" i="5"/>
  <c r="BX23" i="5"/>
  <c r="BD25" i="5"/>
  <c r="BC25" i="5"/>
  <c r="BF25" i="5"/>
  <c r="BE25" i="5"/>
  <c r="BK26" i="5"/>
  <c r="BS30" i="5"/>
  <c r="BT30" i="5" s="1"/>
  <c r="BF33" i="5"/>
  <c r="BC8" i="6"/>
  <c r="BH10" i="6"/>
  <c r="CD10" i="6"/>
  <c r="BV28" i="6"/>
  <c r="CF28" i="6"/>
  <c r="CE28" i="6"/>
  <c r="BC38" i="6"/>
  <c r="AZ38" i="6"/>
  <c r="BB44" i="6"/>
  <c r="BH44" i="6"/>
  <c r="BC8" i="7"/>
  <c r="BD8" i="7"/>
  <c r="BB8" i="7"/>
  <c r="BU13" i="8"/>
  <c r="BD19" i="10"/>
  <c r="BC19" i="10"/>
  <c r="BA19" i="10"/>
  <c r="CG1" i="11"/>
  <c r="BI1" i="11" s="1"/>
  <c r="BH1" i="11"/>
  <c r="BC2" i="11"/>
  <c r="BC3" i="11"/>
  <c r="BV3" i="11"/>
  <c r="BC7" i="11"/>
  <c r="BA7" i="11"/>
  <c r="BC22" i="11"/>
  <c r="BA22" i="11"/>
  <c r="BD22" i="11"/>
  <c r="BB22" i="11"/>
  <c r="BI23" i="11"/>
  <c r="BQ26" i="11"/>
  <c r="BR26" i="11" s="1"/>
  <c r="BP26" i="11"/>
  <c r="BH29" i="11"/>
  <c r="C49" i="14"/>
  <c r="C48" i="14"/>
  <c r="AK51" i="16"/>
  <c r="X48" i="17"/>
  <c r="X49" i="17"/>
  <c r="AC44" i="18"/>
  <c r="AC43" i="18"/>
  <c r="Y43" i="19"/>
  <c r="Y44" i="19"/>
  <c r="BD37" i="2"/>
  <c r="BC37" i="2"/>
  <c r="BK12" i="3"/>
  <c r="BN30" i="2"/>
  <c r="BS41" i="2"/>
  <c r="BT41" i="2" s="1"/>
  <c r="BD20" i="3"/>
  <c r="BD28" i="3"/>
  <c r="BC28" i="3"/>
  <c r="BE29" i="3"/>
  <c r="BF29" i="3"/>
  <c r="BF46" i="3" s="1"/>
  <c r="BC33" i="3"/>
  <c r="BF41" i="3"/>
  <c r="BD41" i="3"/>
  <c r="BE41" i="3"/>
  <c r="BF17" i="4"/>
  <c r="BK18" i="4"/>
  <c r="CL21" i="4"/>
  <c r="CK21" i="4"/>
  <c r="CL22" i="4"/>
  <c r="CK22" i="4"/>
  <c r="BK31" i="4"/>
  <c r="BD35" i="4"/>
  <c r="BC40" i="4"/>
  <c r="BF40" i="4"/>
  <c r="BE40" i="4"/>
  <c r="BE41" i="4"/>
  <c r="BC41" i="4"/>
  <c r="BE47" i="4"/>
  <c r="BC21" i="5"/>
  <c r="BK21" i="5"/>
  <c r="CL22" i="5"/>
  <c r="CK22" i="5"/>
  <c r="BK43" i="5"/>
  <c r="BI10" i="6"/>
  <c r="AZ19" i="6"/>
  <c r="BC19" i="6"/>
  <c r="BB19" i="6"/>
  <c r="BA19" i="6"/>
  <c r="BB28" i="6"/>
  <c r="AZ28" i="6"/>
  <c r="BA28" i="6"/>
  <c r="BC28" i="6"/>
  <c r="BB34" i="6"/>
  <c r="BA34" i="6"/>
  <c r="AZ34" i="6"/>
  <c r="AZ44" i="6"/>
  <c r="BB11" i="9"/>
  <c r="BE14" i="9"/>
  <c r="BD14" i="9"/>
  <c r="BC14" i="9"/>
  <c r="BB15" i="9"/>
  <c r="BE15" i="9"/>
  <c r="BA21" i="10"/>
  <c r="BC21" i="10"/>
  <c r="BD11" i="11"/>
  <c r="BQ13" i="11"/>
  <c r="BR13" i="11" s="1"/>
  <c r="BC14" i="11"/>
  <c r="BA14" i="11"/>
  <c r="BB14" i="11"/>
  <c r="BD14" i="11"/>
  <c r="BB15" i="11"/>
  <c r="BC23" i="11"/>
  <c r="CJ37" i="11"/>
  <c r="CI37" i="11"/>
  <c r="BV37" i="11"/>
  <c r="AL42" i="19"/>
  <c r="B43" i="19"/>
  <c r="B44" i="19"/>
  <c r="Z44" i="19"/>
  <c r="Z43" i="19"/>
  <c r="AL41" i="19"/>
  <c r="BC33" i="5"/>
  <c r="BA39" i="6"/>
  <c r="BC39" i="6"/>
  <c r="BB39" i="6"/>
  <c r="BA16" i="10"/>
  <c r="BC1" i="11"/>
  <c r="BD1" i="11"/>
  <c r="BB1" i="11"/>
  <c r="BA1" i="11"/>
  <c r="F48" i="15"/>
  <c r="F49" i="15"/>
  <c r="AD44" i="18"/>
  <c r="BE18" i="3"/>
  <c r="BS18" i="3"/>
  <c r="BT18" i="3" s="1"/>
  <c r="BE38" i="3"/>
  <c r="BD38" i="3"/>
  <c r="BC38" i="3"/>
  <c r="BD23" i="4"/>
  <c r="BS23" i="5"/>
  <c r="BT23" i="5" s="1"/>
  <c r="BN23" i="5"/>
  <c r="CL29" i="5"/>
  <c r="CK29" i="5"/>
  <c r="AZ32" i="6"/>
  <c r="BU10" i="8"/>
  <c r="CI10" i="8"/>
  <c r="CH10" i="8"/>
  <c r="BC16" i="10"/>
  <c r="CI6" i="11"/>
  <c r="CJ6" i="11"/>
  <c r="BC31" i="11"/>
  <c r="BD31" i="11"/>
  <c r="BB31" i="11"/>
  <c r="BA31" i="11"/>
  <c r="BC33" i="11"/>
  <c r="BD33" i="11"/>
  <c r="CG37" i="11"/>
  <c r="BH37" i="11"/>
  <c r="D48" i="14"/>
  <c r="AF49" i="15"/>
  <c r="AF48" i="15"/>
  <c r="AD44" i="16"/>
  <c r="AD45" i="16" s="1"/>
  <c r="AD53" i="16" s="1"/>
  <c r="V44" i="16"/>
  <c r="V45" i="16"/>
  <c r="V53" i="16" s="1"/>
  <c r="V55" i="16" s="1"/>
  <c r="L49" i="17"/>
  <c r="L48" i="17"/>
  <c r="I43" i="19"/>
  <c r="I44" i="19"/>
  <c r="O43" i="20"/>
  <c r="O44" i="20"/>
  <c r="BN18" i="3"/>
  <c r="BC15" i="4"/>
  <c r="BX24" i="4"/>
  <c r="BS27" i="4"/>
  <c r="BT27" i="4" s="1"/>
  <c r="BF33" i="4"/>
  <c r="BS41" i="4"/>
  <c r="BT41" i="4" s="1"/>
  <c r="BF15" i="5"/>
  <c r="CK20" i="5"/>
  <c r="CK49" i="5" s="1"/>
  <c r="CL20" i="5"/>
  <c r="BN27" i="5"/>
  <c r="BX29" i="5"/>
  <c r="BE33" i="5"/>
  <c r="BV26" i="6"/>
  <c r="BC31" i="6"/>
  <c r="BA31" i="6"/>
  <c r="AZ36" i="6"/>
  <c r="BC36" i="6"/>
  <c r="BA36" i="6"/>
  <c r="BU9" i="7"/>
  <c r="BB8" i="9"/>
  <c r="BV8" i="9"/>
  <c r="CI8" i="9"/>
  <c r="BE9" i="9"/>
  <c r="BD9" i="9"/>
  <c r="BV6" i="11"/>
  <c r="BP8" i="11"/>
  <c r="CG12" i="11"/>
  <c r="BI12" i="11" s="1"/>
  <c r="BH12" i="11"/>
  <c r="BD13" i="11"/>
  <c r="BC13" i="11"/>
  <c r="BH16" i="11"/>
  <c r="CG16" i="11"/>
  <c r="BI16" i="11" s="1"/>
  <c r="BL19" i="11"/>
  <c r="BA27" i="11"/>
  <c r="BB27" i="11"/>
  <c r="BD27" i="11"/>
  <c r="BC27" i="11"/>
  <c r="BC30" i="11"/>
  <c r="BA30" i="11"/>
  <c r="BD30" i="11"/>
  <c r="BI37" i="11"/>
  <c r="M48" i="14"/>
  <c r="M49" i="14"/>
  <c r="AE44" i="16"/>
  <c r="AE45" i="16" s="1"/>
  <c r="AE53" i="16" s="1"/>
  <c r="M48" i="17"/>
  <c r="M49" i="17"/>
  <c r="Y49" i="17"/>
  <c r="Y48" i="17"/>
  <c r="B48" i="17"/>
  <c r="B49" i="17"/>
  <c r="Z44" i="18"/>
  <c r="Z43" i="18"/>
  <c r="F44" i="19"/>
  <c r="F43" i="19"/>
  <c r="AJ44" i="19"/>
  <c r="AJ43" i="19"/>
  <c r="AJ44" i="20"/>
  <c r="AJ43" i="20"/>
  <c r="BE19" i="5"/>
  <c r="BC19" i="5"/>
  <c r="BD36" i="5"/>
  <c r="BS42" i="5"/>
  <c r="BT42" i="5" s="1"/>
  <c r="BA11" i="6"/>
  <c r="BB25" i="6"/>
  <c r="AZ25" i="6"/>
  <c r="BQ23" i="11"/>
  <c r="BR23" i="11" s="1"/>
  <c r="BN23" i="11"/>
  <c r="C5" i="12"/>
  <c r="C41" i="12" s="1"/>
  <c r="B48" i="14"/>
  <c r="AK47" i="14"/>
  <c r="B49" i="14"/>
  <c r="Z48" i="14"/>
  <c r="Z49" i="14"/>
  <c r="X44" i="16"/>
  <c r="X45" i="16"/>
  <c r="X53" i="16" s="1"/>
  <c r="X55" i="16" s="1"/>
  <c r="V49" i="17"/>
  <c r="V48" i="17"/>
  <c r="D43" i="19"/>
  <c r="D44" i="19"/>
  <c r="BF22" i="4"/>
  <c r="BN42" i="5"/>
  <c r="BN44" i="5"/>
  <c r="CE40" i="6"/>
  <c r="BV40" i="6"/>
  <c r="BD13" i="8"/>
  <c r="BB13" i="8"/>
  <c r="BC13" i="8"/>
  <c r="BA13" i="8"/>
  <c r="BA13" i="10"/>
  <c r="BI19" i="10"/>
  <c r="BA5" i="11"/>
  <c r="BC5" i="11"/>
  <c r="BB5" i="11"/>
  <c r="BD16" i="11"/>
  <c r="BC16" i="11"/>
  <c r="J49" i="14"/>
  <c r="J48" i="14"/>
  <c r="AH45" i="16"/>
  <c r="AH53" i="16" s="1"/>
  <c r="AH55" i="16" s="1"/>
  <c r="AH44" i="16"/>
  <c r="AI43" i="19"/>
  <c r="AI44" i="19"/>
  <c r="AI44" i="20"/>
  <c r="AI43" i="20"/>
  <c r="BC11" i="3"/>
  <c r="BC46" i="3" s="1"/>
  <c r="BK21" i="3"/>
  <c r="BE33" i="3"/>
  <c r="BX41" i="3"/>
  <c r="CK41" i="3"/>
  <c r="BX13" i="4"/>
  <c r="CL13" i="4"/>
  <c r="CL48" i="4" s="1"/>
  <c r="CL49" i="4" s="1"/>
  <c r="CK13" i="4"/>
  <c r="BK25" i="4"/>
  <c r="BN27" i="4"/>
  <c r="BF35" i="4"/>
  <c r="BN41" i="4"/>
  <c r="BS42" i="4"/>
  <c r="BT42" i="4" s="1"/>
  <c r="BX47" i="4"/>
  <c r="BE11" i="5"/>
  <c r="BD11" i="5"/>
  <c r="BC11" i="5"/>
  <c r="CL13" i="5"/>
  <c r="CK13" i="5"/>
  <c r="BS18" i="5"/>
  <c r="BT18" i="5" s="1"/>
  <c r="BD19" i="5"/>
  <c r="BK19" i="5"/>
  <c r="BX20" i="5"/>
  <c r="BE22" i="5"/>
  <c r="BD22" i="5"/>
  <c r="BF34" i="5"/>
  <c r="BE34" i="5"/>
  <c r="BD34" i="5"/>
  <c r="BS36" i="5"/>
  <c r="BT36" i="5" s="1"/>
  <c r="BE42" i="5"/>
  <c r="BF42" i="5"/>
  <c r="BD45" i="5"/>
  <c r="BC45" i="5"/>
  <c r="CE9" i="6"/>
  <c r="CF9" i="6"/>
  <c r="BC22" i="6"/>
  <c r="BA22" i="6"/>
  <c r="AZ22" i="6"/>
  <c r="CD25" i="6"/>
  <c r="BI25" i="6" s="1"/>
  <c r="BH25" i="6"/>
  <c r="BD9" i="7"/>
  <c r="BC9" i="7"/>
  <c r="BA9" i="7"/>
  <c r="BU11" i="7"/>
  <c r="BU13" i="7"/>
  <c r="CH13" i="7"/>
  <c r="BC12" i="8"/>
  <c r="BB12" i="8"/>
  <c r="BB9" i="10"/>
  <c r="BC9" i="10"/>
  <c r="BA9" i="10"/>
  <c r="BI13" i="10"/>
  <c r="BB22" i="10"/>
  <c r="BD22" i="10"/>
  <c r="BC22" i="10"/>
  <c r="BC4" i="11"/>
  <c r="BD4" i="11"/>
  <c r="BB4" i="11"/>
  <c r="BA4" i="11"/>
  <c r="BC9" i="11"/>
  <c r="BA9" i="11"/>
  <c r="BD9" i="11"/>
  <c r="CI11" i="11"/>
  <c r="CJ11" i="11"/>
  <c r="BI13" i="11"/>
  <c r="CJ25" i="11"/>
  <c r="CI25" i="11"/>
  <c r="BA34" i="11"/>
  <c r="BD34" i="11"/>
  <c r="BC34" i="11"/>
  <c r="BB34" i="11"/>
  <c r="BD35" i="11"/>
  <c r="BB35" i="11"/>
  <c r="E49" i="14"/>
  <c r="E48" i="14"/>
  <c r="O48" i="14"/>
  <c r="O49" i="14"/>
  <c r="BS34" i="3"/>
  <c r="BT34" i="3" s="1"/>
  <c r="BE34" i="4"/>
  <c r="BD36" i="4"/>
  <c r="BE42" i="4"/>
  <c r="BD42" i="4"/>
  <c r="BF16" i="5"/>
  <c r="BC16" i="5"/>
  <c r="BC17" i="5"/>
  <c r="BC20" i="5"/>
  <c r="BD20" i="5"/>
  <c r="CL25" i="5"/>
  <c r="CK25" i="5"/>
  <c r="BW49" i="5"/>
  <c r="BW50" i="5" s="1"/>
  <c r="BB8" i="6"/>
  <c r="BA8" i="6"/>
  <c r="AZ8" i="6"/>
  <c r="CE10" i="6"/>
  <c r="CF10" i="6"/>
  <c r="BI24" i="6"/>
  <c r="CF33" i="6"/>
  <c r="CE33" i="6"/>
  <c r="BB8" i="8"/>
  <c r="BC9" i="8"/>
  <c r="BA9" i="8"/>
  <c r="BD9" i="8"/>
  <c r="BJ8" i="9"/>
  <c r="BC12" i="9"/>
  <c r="BB12" i="9"/>
  <c r="CH22" i="10"/>
  <c r="BU22" i="10"/>
  <c r="BQ4" i="11"/>
  <c r="BR4" i="11" s="1"/>
  <c r="BQ10" i="11"/>
  <c r="BR10" i="11" s="1"/>
  <c r="BI14" i="11"/>
  <c r="BA18" i="11"/>
  <c r="BQ22" i="11"/>
  <c r="BR22" i="11" s="1"/>
  <c r="BI30" i="11"/>
  <c r="BD36" i="11"/>
  <c r="BA36" i="11"/>
  <c r="BV36" i="11"/>
  <c r="CJ36" i="11"/>
  <c r="CI36" i="11"/>
  <c r="AK42" i="16"/>
  <c r="O53" i="16"/>
  <c r="AA53" i="16"/>
  <c r="AA44" i="16"/>
  <c r="P44" i="19"/>
  <c r="P43" i="19"/>
  <c r="L44" i="20"/>
  <c r="L43" i="20"/>
  <c r="X44" i="20"/>
  <c r="X43" i="20"/>
  <c r="R44" i="20"/>
  <c r="R43" i="20"/>
  <c r="BC26" i="3"/>
  <c r="BE34" i="3"/>
  <c r="BN34" i="3"/>
  <c r="BK37" i="4"/>
  <c r="CL40" i="4"/>
  <c r="CK40" i="4"/>
  <c r="BC43" i="4"/>
  <c r="BX11" i="5"/>
  <c r="BX25" i="5"/>
  <c r="BF38" i="5"/>
  <c r="BE38" i="5"/>
  <c r="BX43" i="5"/>
  <c r="CL43" i="5"/>
  <c r="CK43" i="5"/>
  <c r="BV10" i="6"/>
  <c r="BA13" i="6"/>
  <c r="AZ13" i="6"/>
  <c r="AZ29" i="6"/>
  <c r="CE32" i="6"/>
  <c r="CF32" i="6"/>
  <c r="BV33" i="6"/>
  <c r="BA43" i="6"/>
  <c r="BC43" i="6"/>
  <c r="BB43" i="6"/>
  <c r="BI10" i="7"/>
  <c r="BD11" i="10"/>
  <c r="BB11" i="10"/>
  <c r="BL4" i="11"/>
  <c r="BL10" i="11"/>
  <c r="BV17" i="11"/>
  <c r="BD18" i="11"/>
  <c r="BC18" i="11"/>
  <c r="BA21" i="11"/>
  <c r="BL22" i="11"/>
  <c r="BL27" i="11"/>
  <c r="BQ31" i="11"/>
  <c r="BR31" i="11" s="1"/>
  <c r="BC36" i="11"/>
  <c r="P49" i="14"/>
  <c r="P48" i="14"/>
  <c r="D45" i="16"/>
  <c r="D53" i="16" s="1"/>
  <c r="D55" i="16" s="1"/>
  <c r="D44" i="16"/>
  <c r="P45" i="16"/>
  <c r="P53" i="16" s="1"/>
  <c r="P44" i="16"/>
  <c r="AB45" i="16"/>
  <c r="AB53" i="16" s="1"/>
  <c r="AB56" i="16" s="1"/>
  <c r="AB44" i="16"/>
  <c r="G44" i="16"/>
  <c r="G45" i="16"/>
  <c r="G53" i="16" s="1"/>
  <c r="G56" i="16" s="1"/>
  <c r="AG45" i="16"/>
  <c r="AG53" i="16" s="1"/>
  <c r="AG44" i="16"/>
  <c r="J44" i="18"/>
  <c r="J43" i="18"/>
  <c r="BI38" i="6"/>
  <c r="BI39" i="6"/>
  <c r="BD15" i="7"/>
  <c r="BC15" i="7"/>
  <c r="BJ13" i="9"/>
  <c r="CI9" i="10"/>
  <c r="BU9" i="10"/>
  <c r="BQ7" i="11"/>
  <c r="BR7" i="11" s="1"/>
  <c r="BA23" i="11"/>
  <c r="BQ25" i="11"/>
  <c r="BR25" i="11" s="1"/>
  <c r="BL25" i="11"/>
  <c r="BA32" i="11"/>
  <c r="BQ37" i="11"/>
  <c r="BR37" i="11" s="1"/>
  <c r="Y49" i="14"/>
  <c r="M49" i="15"/>
  <c r="M48" i="15"/>
  <c r="Y49" i="15"/>
  <c r="Y48" i="15"/>
  <c r="AI43" i="18"/>
  <c r="AI44" i="18"/>
  <c r="V43" i="19"/>
  <c r="V44" i="19"/>
  <c r="S43" i="19"/>
  <c r="S44" i="19"/>
  <c r="CD49" i="4"/>
  <c r="BE36" i="5"/>
  <c r="BX44" i="5"/>
  <c r="BV14" i="6"/>
  <c r="BU15" i="7"/>
  <c r="BJ12" i="9"/>
  <c r="BA15" i="10"/>
  <c r="BC15" i="10"/>
  <c r="BB16" i="10"/>
  <c r="BC17" i="10"/>
  <c r="CJ1" i="11"/>
  <c r="CI1" i="11"/>
  <c r="BA11" i="11"/>
  <c r="BQ12" i="11"/>
  <c r="BR12" i="11" s="1"/>
  <c r="BB24" i="11"/>
  <c r="BD24" i="11"/>
  <c r="BA24" i="11"/>
  <c r="BC25" i="11"/>
  <c r="BV30" i="11"/>
  <c r="BN36" i="11"/>
  <c r="BL37" i="11"/>
  <c r="I246" i="13"/>
  <c r="I247" i="13" s="1"/>
  <c r="AK46" i="14"/>
  <c r="I48" i="15"/>
  <c r="I49" i="15"/>
  <c r="AI49" i="17"/>
  <c r="AI48" i="17"/>
  <c r="AJ48" i="17"/>
  <c r="Q43" i="18"/>
  <c r="Q44" i="18"/>
  <c r="AD44" i="19"/>
  <c r="U43" i="19"/>
  <c r="U44" i="19"/>
  <c r="BF12" i="5"/>
  <c r="BF35" i="5"/>
  <c r="BD37" i="5"/>
  <c r="BI15" i="6"/>
  <c r="BI21" i="6"/>
  <c r="BV45" i="6"/>
  <c r="CF45" i="6"/>
  <c r="BI12" i="7"/>
  <c r="BI15" i="7"/>
  <c r="BC8" i="8"/>
  <c r="BA8" i="8"/>
  <c r="BD8" i="8"/>
  <c r="BD11" i="8"/>
  <c r="BC11" i="8"/>
  <c r="BA11" i="8"/>
  <c r="BJ11" i="9"/>
  <c r="CH13" i="10"/>
  <c r="CI13" i="10"/>
  <c r="BA18" i="10"/>
  <c r="BD2" i="11"/>
  <c r="BA2" i="11"/>
  <c r="BD7" i="11"/>
  <c r="BB7" i="11"/>
  <c r="CI9" i="11"/>
  <c r="BV9" i="11"/>
  <c r="BL12" i="11"/>
  <c r="CI34" i="11"/>
  <c r="CJ34" i="11"/>
  <c r="O49" i="15"/>
  <c r="O48" i="15"/>
  <c r="AA49" i="15"/>
  <c r="AA48" i="15"/>
  <c r="AH48" i="15"/>
  <c r="AH49" i="15"/>
  <c r="M44" i="18"/>
  <c r="M43" i="18"/>
  <c r="Y44" i="18"/>
  <c r="Y43" i="18"/>
  <c r="AK42" i="18"/>
  <c r="B44" i="18"/>
  <c r="B43" i="18"/>
  <c r="AE44" i="19"/>
  <c r="L44" i="19"/>
  <c r="L43" i="19"/>
  <c r="K43" i="19"/>
  <c r="AD43" i="20"/>
  <c r="AD44" i="20" s="1"/>
  <c r="AK41" i="18"/>
  <c r="BI34" i="6"/>
  <c r="BD12" i="7"/>
  <c r="BI9" i="8"/>
  <c r="BD37" i="11"/>
  <c r="BB37" i="11"/>
  <c r="S45" i="16"/>
  <c r="S53" i="16" s="1"/>
  <c r="S55" i="16" s="1"/>
  <c r="S44" i="16"/>
  <c r="AJ56" i="16"/>
  <c r="AJ55" i="16"/>
  <c r="S48" i="17"/>
  <c r="G43" i="20"/>
  <c r="G44" i="20"/>
  <c r="BC45" i="6"/>
  <c r="BA45" i="6"/>
  <c r="BD11" i="7"/>
  <c r="BQ30" i="11"/>
  <c r="BR30" i="11" s="1"/>
  <c r="BQ35" i="11"/>
  <c r="BR35" i="11" s="1"/>
  <c r="L49" i="14"/>
  <c r="L48" i="14"/>
  <c r="AJ49" i="14"/>
  <c r="J49" i="15"/>
  <c r="J48" i="15"/>
  <c r="BQ38" i="11"/>
  <c r="BR38" i="11" s="1"/>
  <c r="G49" i="17"/>
  <c r="BD38" i="11"/>
  <c r="BC38" i="11"/>
  <c r="AB49" i="15"/>
  <c r="AB48" i="15"/>
  <c r="T49" i="17"/>
  <c r="AE43" i="20"/>
  <c r="AE44" i="20" s="1"/>
  <c r="K44" i="20"/>
  <c r="K43" i="20"/>
  <c r="AK43" i="20"/>
  <c r="K49" i="14"/>
  <c r="K48" i="14"/>
  <c r="W49" i="14"/>
  <c r="W48" i="14"/>
  <c r="AI49" i="14"/>
  <c r="AI48" i="14"/>
  <c r="M43" i="20"/>
  <c r="BH46" i="6" l="1"/>
  <c r="CF46" i="6"/>
  <c r="BQ18" i="6"/>
  <c r="CE46" i="6"/>
  <c r="AD56" i="16"/>
  <c r="AD55" i="16"/>
  <c r="C43" i="12"/>
  <c r="C42" i="12"/>
  <c r="CK48" i="4"/>
  <c r="CK49" i="4" s="1"/>
  <c r="F121" i="13"/>
  <c r="F122" i="13"/>
  <c r="B43" i="20"/>
  <c r="AN43" i="20" s="1"/>
  <c r="B44" i="20"/>
  <c r="AN44" i="20" s="1"/>
  <c r="AN42" i="20"/>
  <c r="AK49" i="17"/>
  <c r="AK43" i="18"/>
  <c r="AK44" i="16"/>
  <c r="BD49" i="5"/>
  <c r="E56" i="16"/>
  <c r="E55" i="16"/>
  <c r="BE46" i="2"/>
  <c r="AK44" i="18"/>
  <c r="AK49" i="14"/>
  <c r="BE49" i="5"/>
  <c r="BD46" i="2"/>
  <c r="C56" i="16"/>
  <c r="C55" i="16"/>
  <c r="BC46" i="2"/>
  <c r="AL43" i="19"/>
  <c r="AG56" i="16"/>
  <c r="AG55" i="16"/>
  <c r="AL44" i="19"/>
  <c r="BF49" i="5"/>
  <c r="C48" i="17"/>
  <c r="AK48" i="17" s="1"/>
  <c r="C49" i="17"/>
  <c r="AK47" i="17"/>
  <c r="P55" i="16"/>
  <c r="P56" i="16"/>
  <c r="AA56" i="16"/>
  <c r="AA55" i="16"/>
  <c r="B53" i="16"/>
  <c r="AK45" i="16"/>
  <c r="BC49" i="5"/>
  <c r="M55" i="16"/>
  <c r="M56" i="16" s="1"/>
  <c r="BF46" i="2"/>
  <c r="O56" i="16"/>
  <c r="O55" i="16"/>
  <c r="AK48" i="14"/>
  <c r="B55" i="16" l="1"/>
  <c r="AK55" i="16" s="1"/>
  <c r="AK53" i="16"/>
  <c r="B56" i="16"/>
  <c r="AK56" i="16" s="1"/>
</calcChain>
</file>

<file path=xl/sharedStrings.xml><?xml version="1.0" encoding="utf-8"?>
<sst xmlns="http://schemas.openxmlformats.org/spreadsheetml/2006/main" count="2749" uniqueCount="382">
  <si>
    <t xml:space="preserve"> </t>
  </si>
  <si>
    <t>VITERBO FOODS OPC - CRISPY KING</t>
  </si>
  <si>
    <t>SALES COMPARISON</t>
  </si>
  <si>
    <t>CRISPY KING FRANCHISE PERFORMANCE REPORT</t>
  </si>
  <si>
    <t>AYUNGON 2</t>
  </si>
  <si>
    <t>GROSS SALES</t>
  </si>
  <si>
    <t>COST OF GOOGS</t>
  </si>
  <si>
    <t>OPEX</t>
  </si>
  <si>
    <t>NET INCOME</t>
  </si>
  <si>
    <t>AYUNGON 1</t>
  </si>
  <si>
    <t>MONTH 2026 - AREA/REGION</t>
  </si>
  <si>
    <t>BACONG 1</t>
  </si>
  <si>
    <t>CONSOLIDATED REPORT FOR THE MONTH OF FEBRUARY 2026</t>
  </si>
  <si>
    <t>CONSOLIDATED REPORT FOR THE MONTH OF JANUARY 2026</t>
  </si>
  <si>
    <t>BACONG 2</t>
  </si>
  <si>
    <t>BAGACAY</t>
  </si>
  <si>
    <t xml:space="preserve">DO NOT EDIT! </t>
  </si>
  <si>
    <t>DO NOT EDIT!</t>
  </si>
  <si>
    <t xml:space="preserve"> !</t>
  </si>
  <si>
    <t xml:space="preserve">CAUTION! AUTO-FORMULA! DO NOT EDIT! </t>
  </si>
  <si>
    <t>BAYAWAN</t>
  </si>
  <si>
    <t xml:space="preserve"> DO NOT EDIT! </t>
  </si>
  <si>
    <t>GROSS RANK</t>
  </si>
  <si>
    <t>MAN POWER</t>
  </si>
  <si>
    <t>BRANCH</t>
  </si>
  <si>
    <t>OWNER</t>
  </si>
  <si>
    <t>SALES SUPERVISOR</t>
  </si>
  <si>
    <t>QUANTITY SOLD</t>
  </si>
  <si>
    <t>S-CUT</t>
  </si>
  <si>
    <t>J-CUT</t>
  </si>
  <si>
    <t>RICE</t>
  </si>
  <si>
    <t>NECK(PCS)</t>
  </si>
  <si>
    <t>LUMPIA</t>
  </si>
  <si>
    <t>NGOHIONG</t>
  </si>
  <si>
    <t>BOLA2X</t>
  </si>
  <si>
    <t>C-FILLET</t>
  </si>
  <si>
    <t>SIOMAI</t>
  </si>
  <si>
    <t>ATSARA (15)</t>
  </si>
  <si>
    <t>ATSARA (12)</t>
  </si>
  <si>
    <t>BINDOY 1</t>
  </si>
  <si>
    <t>TOTAL OTHER PRODUCT</t>
  </si>
  <si>
    <t>OTHER DRINKS SOLD</t>
  </si>
  <si>
    <t>TOTAL QTY SOLD S.DRINKSPCS)</t>
  </si>
  <si>
    <t>CHICKEN VS RICE (50%)</t>
  </si>
  <si>
    <t>CHICKEN VS OTHER PRODUCTS (20%)</t>
  </si>
  <si>
    <t>RICE VS DRINKS (40%)</t>
  </si>
  <si>
    <t>TOTAL AMOUNT  FOR LPG %</t>
  </si>
  <si>
    <t>TOTAL AMOUNT  FOR BREADING%</t>
  </si>
  <si>
    <t>TOTAL AMOUNT  FOR OIL %</t>
  </si>
  <si>
    <t>TOTAL AMOUNT  FOR SAUCE %</t>
  </si>
  <si>
    <t>TOTAL GROSS SALES</t>
  </si>
  <si>
    <t>COST OF GOODS SOLD</t>
  </si>
  <si>
    <t>COGS (%)</t>
  </si>
  <si>
    <t xml:space="preserve">TOTAL AMOUNT USAGES </t>
  </si>
  <si>
    <t>USAGES (%)</t>
  </si>
  <si>
    <t>SALARY</t>
  </si>
  <si>
    <t>SALARY (%)</t>
  </si>
  <si>
    <t>OVERTIME</t>
  </si>
  <si>
    <t>OVERTIME (%)</t>
  </si>
  <si>
    <t>RENT</t>
  </si>
  <si>
    <t>RENT  (%)</t>
  </si>
  <si>
    <t>BINDOY 2</t>
  </si>
  <si>
    <t>OPERATIONAL EXPENSES</t>
  </si>
  <si>
    <t>OPERATION (%)</t>
  </si>
  <si>
    <t>TOTAL OPEX</t>
  </si>
  <si>
    <t>OPEX (%)</t>
  </si>
  <si>
    <t>NET (%)</t>
  </si>
  <si>
    <t>NON - SALES ITEM</t>
  </si>
  <si>
    <t>20% ROYALTY SHARE</t>
  </si>
  <si>
    <t>CHICKEN 40(PCS)</t>
  </si>
  <si>
    <t>UNIT PRICE</t>
  </si>
  <si>
    <t>TOTAL AMOUNT</t>
  </si>
  <si>
    <t>QNTY</t>
  </si>
  <si>
    <t>J -CUT 60 (PCS)</t>
  </si>
  <si>
    <t>RICE(PCS)</t>
  </si>
  <si>
    <t>LUMPIA(PCS)</t>
  </si>
  <si>
    <t>NGOHIONG(PCS)</t>
  </si>
  <si>
    <t>BOLA2X(PCS)</t>
  </si>
  <si>
    <t>CADIZ 3</t>
  </si>
  <si>
    <t>C. FILLET(PCS)</t>
  </si>
  <si>
    <t>SIOMAI(PCS)</t>
  </si>
  <si>
    <t>80% SHARE</t>
  </si>
  <si>
    <t>ATSARA( 15 )</t>
  </si>
  <si>
    <t>ATSARA( 12 )</t>
  </si>
  <si>
    <t>1 LITER</t>
  </si>
  <si>
    <t xml:space="preserve">PCS *4  </t>
  </si>
  <si>
    <t>TOTAL PCS</t>
  </si>
  <si>
    <t>1.5 LITER</t>
  </si>
  <si>
    <t xml:space="preserve">PCS * 6 </t>
  </si>
  <si>
    <t xml:space="preserve"> TOTAL AMOUNT</t>
  </si>
  <si>
    <t>LPG</t>
  </si>
  <si>
    <t>BREADING</t>
  </si>
  <si>
    <t>OIL</t>
  </si>
  <si>
    <t>SAUCE</t>
  </si>
  <si>
    <t>DARO</t>
  </si>
  <si>
    <t>GUIHULNGAN</t>
  </si>
  <si>
    <t>JIMALALUD</t>
  </si>
  <si>
    <t>JUNOB</t>
  </si>
  <si>
    <t xml:space="preserve">LOCSIN </t>
  </si>
  <si>
    <t>LARENA</t>
  </si>
  <si>
    <t>LOCSIN</t>
  </si>
  <si>
    <t>MABINAY 1</t>
  </si>
  <si>
    <t>MABINAY 2</t>
  </si>
  <si>
    <t>SAGAY1</t>
  </si>
  <si>
    <t>NOPH</t>
  </si>
  <si>
    <t xml:space="preserve">BACONG2 </t>
  </si>
  <si>
    <t>,9</t>
  </si>
  <si>
    <t xml:space="preserve">TANJAY1 </t>
  </si>
  <si>
    <t xml:space="preserve">BAGACAY </t>
  </si>
  <si>
    <t>CONSOLIDATED REPORT FOR THE MONTH OF APRIL 2026</t>
  </si>
  <si>
    <t>BINDOY1</t>
  </si>
  <si>
    <t xml:space="preserve">BAYAWAN </t>
  </si>
  <si>
    <t xml:space="preserve">MANJUYOD </t>
  </si>
  <si>
    <t>10% ROYALTY SHARE</t>
  </si>
  <si>
    <t>90% SHARE</t>
  </si>
  <si>
    <t xml:space="preserve">ZAMBO </t>
  </si>
  <si>
    <t>BINDOY2</t>
  </si>
  <si>
    <t>MABINAY1</t>
  </si>
  <si>
    <t xml:space="preserve">DARO </t>
  </si>
  <si>
    <t>AYUNGON 3</t>
  </si>
  <si>
    <t>AYUNGON 4</t>
  </si>
  <si>
    <t>AYUNGON 5</t>
  </si>
  <si>
    <t>AYUNGON 6</t>
  </si>
  <si>
    <t>AYUNGON 7</t>
  </si>
  <si>
    <t>AYUNGON 8</t>
  </si>
  <si>
    <t>AYUNGON 9</t>
  </si>
  <si>
    <t>AYUNGON 10</t>
  </si>
  <si>
    <t>AYUNGON 11</t>
  </si>
  <si>
    <t>AYUNGON 12</t>
  </si>
  <si>
    <t>AYUNGON 13</t>
  </si>
  <si>
    <t>AYUNGON 14</t>
  </si>
  <si>
    <t>AYUNGON 15</t>
  </si>
  <si>
    <t>AYUNGON 16</t>
  </si>
  <si>
    <t>AYUNGON 17</t>
  </si>
  <si>
    <t>AYUNGON 18</t>
  </si>
  <si>
    <t>AYUNGON 19</t>
  </si>
  <si>
    <t>AYUNGON 20</t>
  </si>
  <si>
    <t>AYUNGON 21</t>
  </si>
  <si>
    <t>AYUNGON 22</t>
  </si>
  <si>
    <t>AYUNGON 23</t>
  </si>
  <si>
    <t>AYUNGON 24</t>
  </si>
  <si>
    <t>AYUNGON 25</t>
  </si>
  <si>
    <t>AYUNGON 26</t>
  </si>
  <si>
    <t>AYUNGON 27</t>
  </si>
  <si>
    <t>AYUNGON 28</t>
  </si>
  <si>
    <t>AYUNGON 29</t>
  </si>
  <si>
    <t>AYUNGON 30</t>
  </si>
  <si>
    <t>AYUNGON 31</t>
  </si>
  <si>
    <t>AYUNGON 32</t>
  </si>
  <si>
    <t>AYUNGON 33</t>
  </si>
  <si>
    <t>AYUNGON 34</t>
  </si>
  <si>
    <t>AYUNGON 35</t>
  </si>
  <si>
    <t>AYUNGON 36</t>
  </si>
  <si>
    <t>AYUNGON 37</t>
  </si>
  <si>
    <t>AYUNGON 38</t>
  </si>
  <si>
    <t>AYUNGON 39</t>
  </si>
  <si>
    <t>AYUNGON 40</t>
  </si>
  <si>
    <t>AYUNGON 41</t>
  </si>
  <si>
    <t>AYUNGON 42</t>
  </si>
  <si>
    <t>AYUNGON 43</t>
  </si>
  <si>
    <t>AYUNGON 44</t>
  </si>
  <si>
    <t>AYUNGON 45</t>
  </si>
  <si>
    <t>AYUNGON 46</t>
  </si>
  <si>
    <t>AYUNGON 47</t>
  </si>
  <si>
    <t>AYUNGON 48</t>
  </si>
  <si>
    <t>AYUNGON 49</t>
  </si>
  <si>
    <t>AYUNGON 50</t>
  </si>
  <si>
    <t>AYUNGON 51</t>
  </si>
  <si>
    <t>AYUNGON 52</t>
  </si>
  <si>
    <t>AYUNGON 53</t>
  </si>
  <si>
    <t>AYUNGON 54</t>
  </si>
  <si>
    <t>AYUNGON 55</t>
  </si>
  <si>
    <t>AYUNGON 56</t>
  </si>
  <si>
    <t>AYUNGON 57</t>
  </si>
  <si>
    <t>AYUNGON 58</t>
  </si>
  <si>
    <t>AYUNGON 59</t>
  </si>
  <si>
    <t>AYUNGON 60</t>
  </si>
  <si>
    <t>AYUNGON 61</t>
  </si>
  <si>
    <t>AYUNGON 62</t>
  </si>
  <si>
    <t>AYUNGON 63</t>
  </si>
  <si>
    <t>AYUNGON 64</t>
  </si>
  <si>
    <t>AYUNGON 65</t>
  </si>
  <si>
    <t>AYUNGON 66</t>
  </si>
  <si>
    <t>AYUNGON 67</t>
  </si>
  <si>
    <t>AYUNGON 68</t>
  </si>
  <si>
    <t>AYUNGON 69</t>
  </si>
  <si>
    <t>AYUNGON 70</t>
  </si>
  <si>
    <t>AYUNGON 71</t>
  </si>
  <si>
    <t>AYUNGON 72</t>
  </si>
  <si>
    <t>AYUNGON 73</t>
  </si>
  <si>
    <t>AYUNGON 74</t>
  </si>
  <si>
    <t>AYUNGON 75</t>
  </si>
  <si>
    <t>AYUNGON 76</t>
  </si>
  <si>
    <t>AYUNGON 77</t>
  </si>
  <si>
    <t>AYUNGON 78</t>
  </si>
  <si>
    <t>AYUNGON 79</t>
  </si>
  <si>
    <t>AYUNGON 80</t>
  </si>
  <si>
    <t>AYUNGON 81</t>
  </si>
  <si>
    <t>AYUNGON 82</t>
  </si>
  <si>
    <t>AYUNGON 83</t>
  </si>
  <si>
    <t>AYUNGON 84</t>
  </si>
  <si>
    <t>AYUNGON 85</t>
  </si>
  <si>
    <t>AYUNGON 86</t>
  </si>
  <si>
    <t>AYUNGON 87</t>
  </si>
  <si>
    <t>AYUNGON 88</t>
  </si>
  <si>
    <t>AYUNGON 89</t>
  </si>
  <si>
    <t xml:space="preserve">PAMPLONA </t>
  </si>
  <si>
    <t xml:space="preserve">GUIHULNGAN </t>
  </si>
  <si>
    <t xml:space="preserve">JIMALALUD </t>
  </si>
  <si>
    <t>STA.ROSA</t>
  </si>
  <si>
    <t>SAN CARLOS2</t>
  </si>
  <si>
    <t>SAN CARLOS1</t>
  </si>
  <si>
    <t xml:space="preserve">TAYASAN </t>
  </si>
  <si>
    <t>MABINAY2</t>
  </si>
  <si>
    <t>SAN CARLOS7</t>
  </si>
  <si>
    <t xml:space="preserve">QUEZON </t>
  </si>
  <si>
    <t>SAN CARLOS5</t>
  </si>
  <si>
    <t>SAGAY2</t>
  </si>
  <si>
    <t xml:space="preserve">SANTANDER </t>
  </si>
  <si>
    <t>DALAGUETE</t>
  </si>
  <si>
    <t xml:space="preserve">STA.AGUEDA </t>
  </si>
  <si>
    <t>,2</t>
  </si>
  <si>
    <t xml:space="preserve">TANJAY2 </t>
  </si>
  <si>
    <t xml:space="preserve">TINAGO </t>
  </si>
  <si>
    <t>TOTAL MANPOWER</t>
  </si>
  <si>
    <t>TOTAL NUMBER OF PARTNER STORES</t>
  </si>
  <si>
    <t>TOTAL QUANTITY SOLD</t>
  </si>
  <si>
    <t xml:space="preserve">TOTAL AMOUNT LPG </t>
  </si>
  <si>
    <t xml:space="preserve">TOTAL AMOUNT BREADING MIX </t>
  </si>
  <si>
    <t xml:space="preserve">TOTAL AMOUNT OIL </t>
  </si>
  <si>
    <t xml:space="preserve">TOTAL AMOUNT SAUCE </t>
  </si>
  <si>
    <t>TOTAL GROSS</t>
  </si>
  <si>
    <t>TOTAL COGS</t>
  </si>
  <si>
    <t>TOTAL NET</t>
  </si>
  <si>
    <t>CHICKEN PCS.</t>
  </si>
  <si>
    <t>CHICKEN 50 (PCS)</t>
  </si>
  <si>
    <t>RICE PCS.</t>
  </si>
  <si>
    <t>LUMPIA PCS.</t>
  </si>
  <si>
    <t>NGOHIONG PCS.</t>
  </si>
  <si>
    <t>BOLA2X PCS.</t>
  </si>
  <si>
    <t>C. FILLET PCS.</t>
  </si>
  <si>
    <t>SIOMAI PCS.</t>
  </si>
  <si>
    <t>OTHER PRODUCTS(PCS)</t>
  </si>
  <si>
    <t>PCS *6</t>
  </si>
  <si>
    <t>TOTAL EMPLOYEES</t>
  </si>
  <si>
    <t>DALAGUTE</t>
  </si>
  <si>
    <t>LILO-AN</t>
  </si>
  <si>
    <t>BATINGUEL</t>
  </si>
  <si>
    <t>MAY 2026</t>
  </si>
  <si>
    <t>CONSOLIDATED REPORT FOR THE MONTH OFJULY 2026</t>
  </si>
  <si>
    <t>MONTH OF JULY</t>
  </si>
  <si>
    <t>ATSARA (10)</t>
  </si>
  <si>
    <t>P</t>
  </si>
  <si>
    <t>CANLA-ON</t>
  </si>
  <si>
    <t>TAYASAN</t>
  </si>
  <si>
    <t>MANJUYOD</t>
  </si>
  <si>
    <t>QUEZON</t>
  </si>
  <si>
    <t>SAGAY 1</t>
  </si>
  <si>
    <t>SAGAY 2</t>
  </si>
  <si>
    <t>SAN CARLOS 1</t>
  </si>
  <si>
    <t>SAN CARLOS 2</t>
  </si>
  <si>
    <t>SAN CARLOS 5</t>
  </si>
  <si>
    <t>SAN CARLOS 7</t>
  </si>
  <si>
    <t>canla-on</t>
  </si>
  <si>
    <t>ACCOUNTS NAME</t>
  </si>
  <si>
    <t>COST OF GOOD's SOLD</t>
  </si>
  <si>
    <t>GROSS PROFIT</t>
  </si>
  <si>
    <t>OPERATING EXPENSES</t>
  </si>
  <si>
    <t>GRAVY</t>
  </si>
  <si>
    <t>HOLIDAY</t>
  </si>
  <si>
    <t>TL ALLOWANCE</t>
  </si>
  <si>
    <t>OFFICE SUPPLIES</t>
  </si>
  <si>
    <t>13TH MONTH</t>
  </si>
  <si>
    <t>PAG-IBIG</t>
  </si>
  <si>
    <t>SSS</t>
  </si>
  <si>
    <t>PHILHEALTH</t>
  </si>
  <si>
    <t>SIOMAI SAUCE</t>
  </si>
  <si>
    <t>TRANSPO</t>
  </si>
  <si>
    <t>CHARGE DEPOSIT</t>
  </si>
  <si>
    <t>RENTAL</t>
  </si>
  <si>
    <t>LIGHT</t>
  </si>
  <si>
    <t>WATER</t>
  </si>
  <si>
    <t>BIR / TAXES</t>
  </si>
  <si>
    <t>SUPOT / ROLL BAG / T-BAG</t>
  </si>
  <si>
    <t>COMMUNICATION</t>
  </si>
  <si>
    <t>SENIOR DISC.</t>
  </si>
  <si>
    <t>DETERGENT</t>
  </si>
  <si>
    <t>SERVICE WATER</t>
  </si>
  <si>
    <t>KITCHEN</t>
  </si>
  <si>
    <t>PATIS / SUKA</t>
  </si>
  <si>
    <t>MAINTENANCE</t>
  </si>
  <si>
    <t>OTHERS</t>
  </si>
  <si>
    <t>ADMIN COST</t>
  </si>
  <si>
    <t>TRANSPO (SUPERVISORS REPLENISHMENT)</t>
  </si>
  <si>
    <t>BO</t>
  </si>
  <si>
    <t>TOTAL OPERATING EXPENSES</t>
  </si>
  <si>
    <t>80 % ROYALTY SHARE</t>
  </si>
  <si>
    <t>20 % ROYALTY SHARE</t>
  </si>
  <si>
    <t xml:space="preserve">   </t>
  </si>
  <si>
    <t>COLON ST., BAGACAY, DUMAGUETE</t>
  </si>
  <si>
    <t>JUNE 2025 CONSOLIDATED REPORTS ALL BRANCHES</t>
  </si>
  <si>
    <t>BRANCHES</t>
  </si>
  <si>
    <t>STA ROSA</t>
  </si>
  <si>
    <t>ZAMBO</t>
  </si>
  <si>
    <t>TINAGO</t>
  </si>
  <si>
    <t>SAN MIGUEL1</t>
  </si>
  <si>
    <t>SAN MIGUEL2</t>
  </si>
  <si>
    <t>PAMPLONA</t>
  </si>
  <si>
    <t>STA AGUEDA</t>
  </si>
  <si>
    <t>TANJAY 1</t>
  </si>
  <si>
    <t>TANJAY 2</t>
  </si>
  <si>
    <t>SAN TANDER</t>
  </si>
  <si>
    <t>GRAND TOTAL</t>
  </si>
  <si>
    <t>GROSS</t>
  </si>
  <si>
    <t>COGS</t>
  </si>
  <si>
    <t>OFFICE SUPPLIES (STORE)</t>
  </si>
  <si>
    <t>X-MAS PROV.</t>
  </si>
  <si>
    <t>SUPPOT/ ROLL BAG / T-BAG</t>
  </si>
  <si>
    <t>SENIOR DISCOUNT</t>
  </si>
  <si>
    <t>KITCHEN WARES</t>
  </si>
  <si>
    <t>MAINTENANCE &amp; LABOR</t>
  </si>
  <si>
    <t>SUPERVISORS REPLENISHMENT</t>
  </si>
  <si>
    <t>B.O.</t>
  </si>
  <si>
    <t>TOTAL EXPENSES</t>
  </si>
  <si>
    <t>APRIL</t>
  </si>
  <si>
    <t>20% SHARE</t>
  </si>
  <si>
    <t>FELDRID BALDADO</t>
  </si>
  <si>
    <t>EDGAR MONTIJO</t>
  </si>
  <si>
    <t>HARRISON VITERBO</t>
  </si>
  <si>
    <t>PREPARED BY:</t>
  </si>
  <si>
    <t>O.P MANAGER</t>
  </si>
  <si>
    <t>PRESIDENT/OWNER</t>
  </si>
  <si>
    <t>SANTANDER</t>
  </si>
  <si>
    <t>JANUARY 2026 CONSOLIDATED REPORTS ALL BRANCHES</t>
  </si>
  <si>
    <t>CAPEX</t>
  </si>
  <si>
    <t>CAPEX (Charge to Harry With drawal</t>
  </si>
  <si>
    <t>CAPEX (Charge to Partner)</t>
  </si>
  <si>
    <t>CAPEX (SERVICE WATER)</t>
  </si>
  <si>
    <t>TOTAL CAPEX</t>
  </si>
  <si>
    <t>PARTNERS - NET SHAREABLE</t>
  </si>
  <si>
    <t>HARRY'S SHARE</t>
  </si>
  <si>
    <t>December 2025 CONSOLIDATED REPORTS ALL BRANCHES</t>
  </si>
  <si>
    <t>PARTNER'S SHARE</t>
  </si>
  <si>
    <t>FEBRUARY 2026 CONSOLIDATED REPORTS ALL BRANCHES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</si>
  <si>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</si>
  <si>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</si>
  <si>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</si>
  <si>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</si>
  <si>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</si>
  <si>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</si>
  <si>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</si>
  <si>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</si>
  <si>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</si>
  <si>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</si>
  <si>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</si>
  <si>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</si>
  <si>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</si>
  <si>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</si>
  <si>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</si>
  <si>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</si>
  <si>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</si>
  <si>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</si>
  <si>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</si>
  <si>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</si>
  <si>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</si>
  <si>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</si>
  <si>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</si>
  <si>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</si>
  <si>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</si>
  <si>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</si>
  <si>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</si>
  <si>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</si>
  <si>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</si>
  <si>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</si>
  <si>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</si>
  <si>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</si>
  <si>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</si>
  <si>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</si>
  <si>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</si>
  <si>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757,75</t>
  </si>
  <si>
    <t>859,65</t>
  </si>
  <si>
    <t>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</si>
</sst>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mmmm\ yyyy"/>
    <numFmt numFmtId="165" formatCode="_-* #,##0.00_-;\-* #,##0.00_-;_-* &quot;-&quot;??.0_-;_-@"/>
    <numFmt numFmtId="166" formatCode="_-* #,##0_-;\-* #,##0_-;_-* &quot;-&quot;??_-;_-@"/>
    <numFmt numFmtId="167" formatCode="_-&quot;₱&quot;* #,##0.00_-;\-&quot;₱&quot;* #,##0.00_-;_-&quot;₱&quot;* &quot;-&quot;??_-;_-@"/>
    <numFmt numFmtId="168" formatCode="_-* #,##0.00_-;\-* #,##0.00_-;_-* &quot;-&quot;??_-;_-@"/>
    <numFmt numFmtId="169" formatCode="_-[$₱-3409]* #,##0.00_-;\-[$₱-3409]* #,##0.00_-;_-[$₱-3409]* &quot;-&quot;??_-;_-@"/>
    <numFmt numFmtId="170" formatCode="&quot;₱&quot;#,##0.00"/>
    <numFmt numFmtId="171" formatCode="_-* #,##0_-;\-* #,##0_-;_-* &quot;-&quot;_-;_-@"/>
  </numFmts>
  <fonts count="5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FF0000"/>
      <name val="Times New Roman"/>
    </font>
    <font>
      <sz val="11"/>
      <name val="Calibri"/>
    </font>
    <font>
      <b/>
      <sz val="12"/>
      <color theme="1"/>
      <name val="Times New Roman"/>
    </font>
    <font>
      <sz val="50"/>
      <color theme="1"/>
      <name val="Calibri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color rgb="FFFF0000"/>
      <name val="Times New Roman"/>
    </font>
    <font>
      <sz val="11"/>
      <color theme="1"/>
      <name val="Calibri"/>
    </font>
    <font>
      <sz val="10"/>
      <color rgb="FFFF0000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sz val="12"/>
      <color rgb="FFFF0000"/>
      <name val="Times New Roman"/>
    </font>
    <font>
      <sz val="9"/>
      <color theme="1"/>
      <name val="Calibri"/>
    </font>
    <font>
      <b/>
      <sz val="11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  <font>
      <sz val="10"/>
      <color rgb="FF000000"/>
      <name val="Times New Roman"/>
    </font>
    <font>
      <sz val="11"/>
      <color rgb="FF9C0006"/>
      <name val="Times New Roman"/>
    </font>
    <font>
      <sz val="9"/>
      <color theme="1"/>
      <name val="Times New Roman"/>
    </font>
    <font>
      <b/>
      <sz val="11"/>
      <color rgb="FF000000"/>
      <name val="Times New Roman"/>
    </font>
    <font>
      <b/>
      <sz val="9"/>
      <color theme="1"/>
      <name val="Times New Roman"/>
    </font>
    <font>
      <sz val="11"/>
      <color theme="1"/>
      <name val="Calibri"/>
      <scheme val="minor"/>
    </font>
    <font>
      <i/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Arial"/>
    </font>
    <font>
      <b/>
      <sz val="12"/>
      <color theme="1"/>
      <name val="Calibri"/>
    </font>
    <font>
      <b/>
      <sz val="11"/>
      <color theme="1"/>
      <name val="Calibri"/>
    </font>
    <font>
      <b/>
      <i/>
      <sz val="11"/>
      <color theme="1"/>
      <name val="Calibri"/>
    </font>
    <font>
      <sz val="11"/>
      <color rgb="FFFF0000"/>
      <name val="Calibri"/>
    </font>
    <font>
      <sz val="11"/>
      <color theme="1"/>
      <name val="Arial"/>
    </font>
    <font>
      <sz val="12"/>
      <color theme="1"/>
      <name val="Calibri"/>
    </font>
    <font>
      <b/>
      <sz val="11"/>
      <color rgb="FFFF0000"/>
      <name val="Calibri"/>
    </font>
    <font>
      <sz val="10"/>
      <color theme="1"/>
      <name val="Calibri"/>
    </font>
    <font>
      <b/>
      <sz val="11"/>
      <color theme="1"/>
      <name val="Arial"/>
    </font>
    <font>
      <sz val="11"/>
      <color rgb="FF000000"/>
      <name val="Calibri"/>
    </font>
    <font>
      <b/>
      <sz val="14"/>
      <color rgb="FFFF0000"/>
      <name val="Times New Roman"/>
      <family val="1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Calibri"/>
      <family val="2"/>
    </font>
    <font>
      <b/>
      <sz val="12"/>
      <color rgb="FFFF0000"/>
      <name val="Times New Roman"/>
      <family val="1"/>
    </font>
  </fonts>
  <fills count="4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BF9000"/>
        <bgColor rgb="FFBF9000"/>
      </patternFill>
    </fill>
    <fill>
      <patternFill patternType="solid">
        <fgColor rgb="FFFFD965"/>
        <bgColor rgb="FFFFD965"/>
      </patternFill>
    </fill>
    <fill>
      <patternFill patternType="solid">
        <fgColor rgb="FFFFFF99"/>
        <bgColor rgb="FFFFFF99"/>
      </patternFill>
    </fill>
    <fill>
      <patternFill patternType="solid">
        <fgColor rgb="FF548135"/>
        <bgColor rgb="FF548135"/>
      </patternFill>
    </fill>
    <fill>
      <patternFill patternType="solid">
        <fgColor rgb="FFFFF2CB"/>
        <bgColor rgb="FFFFF2CB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54813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B"/>
      </patternFill>
    </fill>
    <fill>
      <patternFill patternType="solid">
        <fgColor rgb="FFFFFF00"/>
        <bgColor rgb="FF9CC2E5"/>
      </patternFill>
    </fill>
    <fill>
      <patternFill patternType="solid">
        <fgColor rgb="FFFFFF00"/>
        <bgColor rgb="FFBDD6EE"/>
      </patternFill>
    </fill>
    <fill>
      <patternFill patternType="solid">
        <fgColor rgb="FFFFFF00"/>
        <bgColor rgb="FFC5E0B3"/>
      </patternFill>
    </fill>
    <fill>
      <patternFill patternType="solid">
        <fgColor rgb="FFFFFF00"/>
        <bgColor rgb="FFF4B083"/>
      </patternFill>
    </fill>
    <fill>
      <patternFill patternType="solid">
        <fgColor rgb="FFFFFF00"/>
        <bgColor rgb="FFF7CAAC"/>
      </patternFill>
    </fill>
    <fill>
      <patternFill patternType="solid">
        <fgColor rgb="FFFFFF00"/>
        <bgColor rgb="FFA8D08D"/>
      </patternFill>
    </fill>
    <fill>
      <patternFill patternType="solid">
        <fgColor rgb="FFFFFF00"/>
        <bgColor rgb="FFBF9000"/>
      </patternFill>
    </fill>
  </fills>
  <borders count="7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5" fillId="0" borderId="0" applyFont="0" applyFill="0" applyBorder="0" applyAlignment="0" applyProtection="0"/>
  </cellStyleXfs>
  <cellXfs count="58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4" xfId="0" applyFont="1" applyFill="1" applyBorder="1"/>
    <xf numFmtId="164" fontId="1" fillId="0" borderId="4" xfId="0" applyNumberFormat="1" applyFont="1" applyBorder="1"/>
    <xf numFmtId="164" fontId="1" fillId="0" borderId="0" xfId="0" applyNumberFormat="1" applyFont="1"/>
    <xf numFmtId="0" fontId="1" fillId="0" borderId="4" xfId="0" applyFont="1" applyBorder="1"/>
    <xf numFmtId="4" fontId="1" fillId="0" borderId="4" xfId="0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center" vertical="center"/>
    </xf>
    <xf numFmtId="0" fontId="5" fillId="0" borderId="0" xfId="0" applyFont="1"/>
    <xf numFmtId="49" fontId="4" fillId="2" borderId="11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49" fontId="6" fillId="4" borderId="14" xfId="0" applyNumberFormat="1" applyFont="1" applyFill="1" applyBorder="1" applyAlignment="1">
      <alignment horizontal="center" vertical="center"/>
    </xf>
    <xf numFmtId="0" fontId="7" fillId="4" borderId="14" xfId="0" applyFont="1" applyFill="1" applyBorder="1"/>
    <xf numFmtId="49" fontId="4" fillId="2" borderId="0" xfId="0" applyNumberFormat="1" applyFont="1" applyFill="1" applyAlignment="1">
      <alignment horizontal="center" vertical="center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7" xfId="0" applyNumberFormat="1" applyFont="1" applyFill="1" applyBorder="1" applyAlignment="1">
      <alignment vertical="center"/>
    </xf>
    <xf numFmtId="49" fontId="6" fillId="5" borderId="17" xfId="0" applyNumberFormat="1" applyFont="1" applyFill="1" applyBorder="1" applyAlignment="1">
      <alignment horizontal="center" vertical="center" wrapText="1"/>
    </xf>
    <xf numFmtId="49" fontId="6" fillId="4" borderId="19" xfId="0" applyNumberFormat="1" applyFont="1" applyFill="1" applyBorder="1" applyAlignment="1">
      <alignment vertical="center"/>
    </xf>
    <xf numFmtId="49" fontId="6" fillId="4" borderId="20" xfId="0" applyNumberFormat="1" applyFont="1" applyFill="1" applyBorder="1" applyAlignment="1">
      <alignment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6" fillId="9" borderId="4" xfId="0" applyFont="1" applyFill="1" applyBorder="1" applyAlignment="1">
      <alignment vertical="center" wrapText="1"/>
    </xf>
    <xf numFmtId="0" fontId="6" fillId="9" borderId="19" xfId="0" applyFont="1" applyFill="1" applyBorder="1" applyAlignment="1">
      <alignment vertical="center" wrapText="1"/>
    </xf>
    <xf numFmtId="0" fontId="9" fillId="0" borderId="0" xfId="0" applyFont="1" applyAlignment="1">
      <alignment wrapText="1"/>
    </xf>
    <xf numFmtId="0" fontId="6" fillId="9" borderId="25" xfId="0" applyFont="1" applyFill="1" applyBorder="1" applyAlignment="1">
      <alignment horizontal="center" vertical="center" wrapText="1"/>
    </xf>
    <xf numFmtId="0" fontId="6" fillId="16" borderId="25" xfId="0" applyFont="1" applyFill="1" applyBorder="1" applyAlignment="1">
      <alignment horizontal="center" vertical="center" wrapText="1"/>
    </xf>
    <xf numFmtId="0" fontId="8" fillId="11" borderId="26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horizontal="center" vertical="center" wrapText="1"/>
    </xf>
    <xf numFmtId="0" fontId="8" fillId="11" borderId="25" xfId="0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8" fillId="11" borderId="29" xfId="0" applyFont="1" applyFill="1" applyBorder="1" applyAlignment="1">
      <alignment vertical="center" wrapText="1"/>
    </xf>
    <xf numFmtId="0" fontId="6" fillId="17" borderId="25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6" fontId="7" fillId="0" borderId="4" xfId="0" applyNumberFormat="1" applyFont="1" applyBorder="1" applyAlignment="1">
      <alignment horizontal="right" vertical="center"/>
    </xf>
    <xf numFmtId="167" fontId="7" fillId="0" borderId="4" xfId="0" applyNumberFormat="1" applyFont="1" applyBorder="1" applyAlignment="1">
      <alignment vertical="center"/>
    </xf>
    <xf numFmtId="168" fontId="7" fillId="0" borderId="4" xfId="0" applyNumberFormat="1" applyFont="1" applyBorder="1" applyAlignment="1">
      <alignment horizontal="right" vertical="center"/>
    </xf>
    <xf numFmtId="169" fontId="7" fillId="0" borderId="4" xfId="0" applyNumberFormat="1" applyFont="1" applyBorder="1" applyAlignment="1">
      <alignment horizontal="right" vertical="center"/>
    </xf>
    <xf numFmtId="167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170" fontId="7" fillId="0" borderId="4" xfId="0" applyNumberFormat="1" applyFont="1" applyBorder="1" applyAlignment="1">
      <alignment horizontal="right" vertical="center"/>
    </xf>
    <xf numFmtId="171" fontId="7" fillId="0" borderId="4" xfId="0" applyNumberFormat="1" applyFont="1" applyBorder="1" applyAlignment="1">
      <alignment horizontal="right" vertical="center"/>
    </xf>
    <xf numFmtId="168" fontId="7" fillId="0" borderId="4" xfId="0" applyNumberFormat="1" applyFont="1" applyBorder="1" applyAlignment="1">
      <alignment horizontal="center" vertical="center"/>
    </xf>
    <xf numFmtId="168" fontId="7" fillId="18" borderId="4" xfId="0" applyNumberFormat="1" applyFont="1" applyFill="1" applyBorder="1" applyAlignment="1">
      <alignment vertical="center"/>
    </xf>
    <xf numFmtId="168" fontId="7" fillId="19" borderId="4" xfId="0" applyNumberFormat="1" applyFont="1" applyFill="1" applyBorder="1" applyAlignment="1">
      <alignment vertical="center"/>
    </xf>
    <xf numFmtId="168" fontId="7" fillId="0" borderId="4" xfId="0" applyNumberFormat="1" applyFont="1" applyBorder="1" applyAlignment="1">
      <alignment vertical="center"/>
    </xf>
    <xf numFmtId="168" fontId="7" fillId="20" borderId="4" xfId="0" applyNumberFormat="1" applyFont="1" applyFill="1" applyBorder="1" applyAlignment="1">
      <alignment vertical="center"/>
    </xf>
    <xf numFmtId="166" fontId="7" fillId="0" borderId="4" xfId="0" applyNumberFormat="1" applyFont="1" applyBorder="1" applyAlignment="1">
      <alignment horizontal="center" vertical="center"/>
    </xf>
    <xf numFmtId="165" fontId="7" fillId="8" borderId="4" xfId="0" applyNumberFormat="1" applyFont="1" applyFill="1" applyBorder="1" applyAlignment="1">
      <alignment horizontal="center" vertical="center"/>
    </xf>
    <xf numFmtId="9" fontId="7" fillId="0" borderId="4" xfId="0" applyNumberFormat="1" applyFont="1" applyBorder="1" applyAlignment="1">
      <alignment horizontal="right" vertical="center"/>
    </xf>
    <xf numFmtId="2" fontId="7" fillId="21" borderId="4" xfId="0" applyNumberFormat="1" applyFont="1" applyFill="1" applyBorder="1" applyAlignment="1">
      <alignment horizontal="center" vertical="center"/>
    </xf>
    <xf numFmtId="168" fontId="7" fillId="21" borderId="4" xfId="0" applyNumberFormat="1" applyFont="1" applyFill="1" applyBorder="1" applyAlignment="1">
      <alignment horizontal="center" vertical="center"/>
    </xf>
    <xf numFmtId="10" fontId="7" fillId="21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68" fontId="7" fillId="2" borderId="4" xfId="0" applyNumberFormat="1" applyFont="1" applyFill="1" applyBorder="1" applyAlignment="1">
      <alignment horizontal="center" vertical="center"/>
    </xf>
    <xf numFmtId="165" fontId="7" fillId="21" borderId="4" xfId="0" applyNumberFormat="1" applyFont="1" applyFill="1" applyBorder="1" applyAlignment="1">
      <alignment horizontal="center" vertical="center"/>
    </xf>
    <xf numFmtId="168" fontId="7" fillId="22" borderId="4" xfId="0" applyNumberFormat="1" applyFont="1" applyFill="1" applyBorder="1" applyAlignment="1">
      <alignment vertical="center"/>
    </xf>
    <xf numFmtId="10" fontId="7" fillId="0" borderId="4" xfId="0" applyNumberFormat="1" applyFont="1" applyBorder="1" applyAlignment="1">
      <alignment horizontal="center" vertical="center"/>
    </xf>
    <xf numFmtId="168" fontId="7" fillId="19" borderId="0" xfId="0" applyNumberFormat="1" applyFont="1" applyFill="1" applyAlignment="1">
      <alignment vertical="center"/>
    </xf>
    <xf numFmtId="0" fontId="11" fillId="0" borderId="0" xfId="0" applyFont="1"/>
    <xf numFmtId="168" fontId="11" fillId="0" borderId="4" xfId="0" applyNumberFormat="1" applyFont="1" applyBorder="1" applyAlignment="1">
      <alignment horizontal="right" vertical="center"/>
    </xf>
    <xf numFmtId="166" fontId="11" fillId="0" borderId="4" xfId="0" applyNumberFormat="1" applyFont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0" fontId="7" fillId="8" borderId="34" xfId="0" applyFont="1" applyFill="1" applyBorder="1" applyAlignment="1">
      <alignment horizontal="center" vertical="center" wrapText="1"/>
    </xf>
    <xf numFmtId="0" fontId="7" fillId="12" borderId="38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/>
    </xf>
    <xf numFmtId="165" fontId="7" fillId="8" borderId="34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8" borderId="28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16" borderId="45" xfId="0" applyFont="1" applyFill="1" applyBorder="1" applyAlignment="1">
      <alignment horizontal="center" vertical="center" wrapText="1"/>
    </xf>
    <xf numFmtId="0" fontId="10" fillId="11" borderId="45" xfId="0" applyFont="1" applyFill="1" applyBorder="1" applyAlignment="1">
      <alignment horizontal="center" vertical="center" wrapText="1"/>
    </xf>
    <xf numFmtId="0" fontId="7" fillId="16" borderId="25" xfId="0" applyFont="1" applyFill="1" applyBorder="1" applyAlignment="1">
      <alignment horizontal="center" vertical="center" wrapText="1"/>
    </xf>
    <xf numFmtId="0" fontId="10" fillId="11" borderId="25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 wrapText="1"/>
    </xf>
    <xf numFmtId="0" fontId="10" fillId="11" borderId="28" xfId="0" applyFont="1" applyFill="1" applyBorder="1" applyAlignment="1">
      <alignment horizontal="center" vertical="center" wrapText="1"/>
    </xf>
    <xf numFmtId="0" fontId="7" fillId="16" borderId="28" xfId="0" applyFont="1" applyFill="1" applyBorder="1" applyAlignment="1">
      <alignment horizontal="center" vertical="center" wrapText="1"/>
    </xf>
    <xf numFmtId="0" fontId="10" fillId="11" borderId="45" xfId="0" applyFont="1" applyFill="1" applyBorder="1" applyAlignment="1">
      <alignment vertical="center" wrapText="1"/>
    </xf>
    <xf numFmtId="0" fontId="7" fillId="8" borderId="48" xfId="0" applyFont="1" applyFill="1" applyBorder="1" applyAlignment="1">
      <alignment horizontal="center" vertical="center" wrapText="1"/>
    </xf>
    <xf numFmtId="0" fontId="7" fillId="8" borderId="49" xfId="0" applyFont="1" applyFill="1" applyBorder="1" applyAlignment="1">
      <alignment horizontal="center" vertical="center" wrapText="1"/>
    </xf>
    <xf numFmtId="165" fontId="7" fillId="8" borderId="28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166" fontId="7" fillId="0" borderId="55" xfId="0" applyNumberFormat="1" applyFont="1" applyBorder="1" applyAlignment="1">
      <alignment horizontal="right" vertical="center"/>
    </xf>
    <xf numFmtId="167" fontId="7" fillId="0" borderId="55" xfId="0" applyNumberFormat="1" applyFont="1" applyBorder="1" applyAlignment="1">
      <alignment horizontal="right" vertical="center"/>
    </xf>
    <xf numFmtId="169" fontId="7" fillId="0" borderId="55" xfId="0" applyNumberFormat="1" applyFont="1" applyBorder="1" applyAlignment="1">
      <alignment horizontal="right" vertical="center"/>
    </xf>
    <xf numFmtId="166" fontId="7" fillId="0" borderId="56" xfId="0" applyNumberFormat="1" applyFont="1" applyBorder="1" applyAlignment="1">
      <alignment horizontal="right" vertical="center"/>
    </xf>
    <xf numFmtId="167" fontId="7" fillId="0" borderId="56" xfId="0" applyNumberFormat="1" applyFont="1" applyBorder="1" applyAlignment="1">
      <alignment horizontal="right" vertical="center"/>
    </xf>
    <xf numFmtId="170" fontId="7" fillId="0" borderId="56" xfId="0" applyNumberFormat="1" applyFont="1" applyBorder="1" applyAlignment="1">
      <alignment horizontal="right" vertical="center"/>
    </xf>
    <xf numFmtId="171" fontId="7" fillId="0" borderId="56" xfId="0" applyNumberFormat="1" applyFont="1" applyBorder="1" applyAlignment="1">
      <alignment horizontal="right" vertical="center"/>
    </xf>
    <xf numFmtId="169" fontId="7" fillId="0" borderId="3" xfId="0" applyNumberFormat="1" applyFont="1" applyBorder="1" applyAlignment="1">
      <alignment horizontal="right" vertical="center"/>
    </xf>
    <xf numFmtId="168" fontId="7" fillId="0" borderId="56" xfId="0" applyNumberFormat="1" applyFont="1" applyBorder="1" applyAlignment="1">
      <alignment horizontal="center" vertical="center"/>
    </xf>
    <xf numFmtId="168" fontId="7" fillId="0" borderId="56" xfId="0" applyNumberFormat="1" applyFont="1" applyBorder="1" applyAlignment="1">
      <alignment horizontal="right" vertical="center"/>
    </xf>
    <xf numFmtId="168" fontId="7" fillId="18" borderId="57" xfId="0" applyNumberFormat="1" applyFont="1" applyFill="1" applyBorder="1" applyAlignment="1">
      <alignment vertical="center"/>
    </xf>
    <xf numFmtId="168" fontId="7" fillId="19" borderId="57" xfId="0" applyNumberFormat="1" applyFont="1" applyFill="1" applyBorder="1" applyAlignment="1">
      <alignment vertical="center"/>
    </xf>
    <xf numFmtId="168" fontId="7" fillId="0" borderId="51" xfId="0" applyNumberFormat="1" applyFont="1" applyBorder="1" applyAlignment="1">
      <alignment vertical="center"/>
    </xf>
    <xf numFmtId="168" fontId="7" fillId="0" borderId="54" xfId="0" applyNumberFormat="1" applyFont="1" applyBorder="1" applyAlignment="1">
      <alignment vertical="center"/>
    </xf>
    <xf numFmtId="168" fontId="7" fillId="0" borderId="58" xfId="0" applyNumberFormat="1" applyFont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168" fontId="7" fillId="20" borderId="59" xfId="0" applyNumberFormat="1" applyFont="1" applyFill="1" applyBorder="1" applyAlignment="1">
      <alignment vertical="center"/>
    </xf>
    <xf numFmtId="165" fontId="7" fillId="0" borderId="53" xfId="0" applyNumberFormat="1" applyFont="1" applyBorder="1" applyAlignment="1">
      <alignment horizontal="center" vertical="center"/>
    </xf>
    <xf numFmtId="168" fontId="7" fillId="22" borderId="59" xfId="0" applyNumberFormat="1" applyFont="1" applyFill="1" applyBorder="1" applyAlignment="1">
      <alignment vertical="center"/>
    </xf>
    <xf numFmtId="168" fontId="7" fillId="0" borderId="55" xfId="0" applyNumberFormat="1" applyFont="1" applyBorder="1" applyAlignment="1">
      <alignment vertical="center"/>
    </xf>
    <xf numFmtId="168" fontId="7" fillId="19" borderId="6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171" fontId="11" fillId="0" borderId="0" xfId="0" applyNumberFormat="1" applyFont="1" applyAlignment="1">
      <alignment horizontal="right" vertical="center"/>
    </xf>
    <xf numFmtId="166" fontId="11" fillId="0" borderId="32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center" vertical="center"/>
    </xf>
    <xf numFmtId="166" fontId="7" fillId="0" borderId="54" xfId="0" applyNumberFormat="1" applyFont="1" applyBorder="1" applyAlignment="1">
      <alignment vertical="center"/>
    </xf>
    <xf numFmtId="168" fontId="13" fillId="22" borderId="59" xfId="0" applyNumberFormat="1" applyFont="1" applyFill="1" applyBorder="1" applyAlignment="1">
      <alignment vertical="center"/>
    </xf>
    <xf numFmtId="9" fontId="13" fillId="0" borderId="61" xfId="0" applyNumberFormat="1" applyFont="1" applyBorder="1" applyAlignment="1">
      <alignment vertical="center"/>
    </xf>
    <xf numFmtId="168" fontId="12" fillId="0" borderId="0" xfId="0" applyNumberFormat="1" applyFont="1" applyAlignment="1">
      <alignment vertical="center"/>
    </xf>
    <xf numFmtId="165" fontId="1" fillId="0" borderId="0" xfId="0" applyNumberFormat="1" applyFont="1"/>
    <xf numFmtId="0" fontId="9" fillId="0" borderId="0" xfId="0" applyFont="1"/>
    <xf numFmtId="0" fontId="14" fillId="0" borderId="0" xfId="0" applyFont="1"/>
    <xf numFmtId="168" fontId="14" fillId="0" borderId="0" xfId="0" applyNumberFormat="1" applyFont="1"/>
    <xf numFmtId="165" fontId="14" fillId="0" borderId="0" xfId="0" applyNumberFormat="1" applyFont="1"/>
    <xf numFmtId="10" fontId="1" fillId="0" borderId="0" xfId="0" applyNumberFormat="1" applyFont="1"/>
    <xf numFmtId="10" fontId="9" fillId="0" borderId="0" xfId="0" applyNumberFormat="1" applyFont="1"/>
    <xf numFmtId="168" fontId="11" fillId="0" borderId="5" xfId="0" applyNumberFormat="1" applyFont="1" applyBorder="1" applyAlignment="1">
      <alignment horizontal="right" vertical="center"/>
    </xf>
    <xf numFmtId="166" fontId="11" fillId="0" borderId="5" xfId="0" applyNumberFormat="1" applyFont="1" applyBorder="1" applyAlignment="1">
      <alignment horizontal="right" vertical="center"/>
    </xf>
    <xf numFmtId="0" fontId="15" fillId="0" borderId="4" xfId="0" applyFont="1" applyBorder="1"/>
    <xf numFmtId="0" fontId="2" fillId="23" borderId="1" xfId="0" applyFont="1" applyFill="1" applyBorder="1"/>
    <xf numFmtId="0" fontId="9" fillId="23" borderId="2" xfId="0" applyFont="1" applyFill="1" applyBorder="1"/>
    <xf numFmtId="0" fontId="2" fillId="23" borderId="2" xfId="0" applyFont="1" applyFill="1" applyBorder="1" applyAlignment="1">
      <alignment horizontal="center"/>
    </xf>
    <xf numFmtId="0" fontId="9" fillId="23" borderId="7" xfId="0" applyFont="1" applyFill="1" applyBorder="1"/>
    <xf numFmtId="0" fontId="9" fillId="23" borderId="0" xfId="0" applyFont="1" applyFill="1"/>
    <xf numFmtId="0" fontId="9" fillId="23" borderId="8" xfId="0" applyFont="1" applyFill="1" applyBorder="1"/>
    <xf numFmtId="0" fontId="9" fillId="23" borderId="9" xfId="0" applyFont="1" applyFill="1" applyBorder="1"/>
    <xf numFmtId="166" fontId="7" fillId="0" borderId="4" xfId="0" applyNumberFormat="1" applyFont="1" applyBorder="1" applyAlignment="1">
      <alignment horizontal="left" vertical="center"/>
    </xf>
    <xf numFmtId="0" fontId="9" fillId="23" borderId="10" xfId="0" applyFont="1" applyFill="1" applyBorder="1"/>
    <xf numFmtId="49" fontId="4" fillId="23" borderId="1" xfId="0" applyNumberFormat="1" applyFont="1" applyFill="1" applyBorder="1"/>
    <xf numFmtId="49" fontId="9" fillId="23" borderId="2" xfId="0" applyNumberFormat="1" applyFont="1" applyFill="1" applyBorder="1"/>
    <xf numFmtId="49" fontId="4" fillId="23" borderId="2" xfId="0" applyNumberFormat="1" applyFont="1" applyFill="1" applyBorder="1"/>
    <xf numFmtId="49" fontId="9" fillId="23" borderId="7" xfId="0" applyNumberFormat="1" applyFont="1" applyFill="1" applyBorder="1"/>
    <xf numFmtId="49" fontId="9" fillId="23" borderId="0" xfId="0" applyNumberFormat="1" applyFont="1" applyFill="1"/>
    <xf numFmtId="49" fontId="9" fillId="23" borderId="11" xfId="0" applyNumberFormat="1" applyFont="1" applyFill="1" applyBorder="1"/>
    <xf numFmtId="49" fontId="9" fillId="23" borderId="12" xfId="0" applyNumberFormat="1" applyFont="1" applyFill="1" applyBorder="1"/>
    <xf numFmtId="49" fontId="9" fillId="23" borderId="13" xfId="0" applyNumberFormat="1" applyFont="1" applyFill="1" applyBorder="1"/>
    <xf numFmtId="49" fontId="9" fillId="4" borderId="14" xfId="0" applyNumberFormat="1" applyFont="1" applyFill="1" applyBorder="1"/>
    <xf numFmtId="0" fontId="9" fillId="4" borderId="14" xfId="0" applyFont="1" applyFill="1" applyBorder="1"/>
    <xf numFmtId="49" fontId="9" fillId="4" borderId="17" xfId="0" applyNumberFormat="1" applyFont="1" applyFill="1" applyBorder="1"/>
    <xf numFmtId="49" fontId="9" fillId="5" borderId="62" xfId="0" applyNumberFormat="1" applyFont="1" applyFill="1" applyBorder="1"/>
    <xf numFmtId="168" fontId="17" fillId="0" borderId="4" xfId="0" applyNumberFormat="1" applyFont="1" applyBorder="1" applyAlignment="1">
      <alignment horizontal="right"/>
    </xf>
    <xf numFmtId="49" fontId="16" fillId="5" borderId="17" xfId="0" applyNumberFormat="1" applyFont="1" applyFill="1" applyBorder="1" applyAlignment="1">
      <alignment horizontal="center" wrapText="1"/>
    </xf>
    <xf numFmtId="49" fontId="9" fillId="4" borderId="19" xfId="0" applyNumberFormat="1" applyFont="1" applyFill="1" applyBorder="1"/>
    <xf numFmtId="49" fontId="9" fillId="4" borderId="20" xfId="0" applyNumberFormat="1" applyFont="1" applyFill="1" applyBorder="1"/>
    <xf numFmtId="49" fontId="9" fillId="5" borderId="14" xfId="0" applyNumberFormat="1" applyFont="1" applyFill="1" applyBorder="1"/>
    <xf numFmtId="49" fontId="9" fillId="5" borderId="0" xfId="0" applyNumberFormat="1" applyFont="1" applyFill="1"/>
    <xf numFmtId="0" fontId="9" fillId="9" borderId="4" xfId="0" applyFont="1" applyFill="1" applyBorder="1"/>
    <xf numFmtId="0" fontId="9" fillId="9" borderId="19" xfId="0" applyFont="1" applyFill="1" applyBorder="1"/>
    <xf numFmtId="0" fontId="9" fillId="15" borderId="0" xfId="0" applyFont="1" applyFill="1"/>
    <xf numFmtId="0" fontId="16" fillId="9" borderId="25" xfId="0" applyFont="1" applyFill="1" applyBorder="1" applyAlignment="1">
      <alignment horizontal="center" wrapText="1"/>
    </xf>
    <xf numFmtId="0" fontId="16" fillId="16" borderId="25" xfId="0" applyFont="1" applyFill="1" applyBorder="1" applyAlignment="1">
      <alignment horizontal="center" wrapText="1"/>
    </xf>
    <xf numFmtId="0" fontId="18" fillId="11" borderId="26" xfId="0" applyFont="1" applyFill="1" applyBorder="1" applyAlignment="1">
      <alignment horizontal="center" wrapText="1"/>
    </xf>
    <xf numFmtId="0" fontId="16" fillId="9" borderId="4" xfId="0" applyFont="1" applyFill="1" applyBorder="1" applyAlignment="1">
      <alignment horizontal="center" wrapText="1"/>
    </xf>
    <xf numFmtId="0" fontId="16" fillId="16" borderId="4" xfId="0" applyFont="1" applyFill="1" applyBorder="1" applyAlignment="1">
      <alignment horizontal="center" wrapText="1"/>
    </xf>
    <xf numFmtId="0" fontId="18" fillId="11" borderId="4" xfId="0" applyFont="1" applyFill="1" applyBorder="1" applyAlignment="1">
      <alignment horizontal="center" wrapText="1"/>
    </xf>
    <xf numFmtId="0" fontId="16" fillId="9" borderId="27" xfId="0" applyFont="1" applyFill="1" applyBorder="1" applyAlignment="1">
      <alignment horizontal="center" wrapText="1"/>
    </xf>
    <xf numFmtId="0" fontId="18" fillId="11" borderId="25" xfId="0" applyFont="1" applyFill="1" applyBorder="1" applyAlignment="1">
      <alignment horizontal="center" wrapText="1"/>
    </xf>
    <xf numFmtId="0" fontId="16" fillId="9" borderId="28" xfId="0" applyFont="1" applyFill="1" applyBorder="1" applyAlignment="1">
      <alignment horizontal="center" wrapText="1"/>
    </xf>
    <xf numFmtId="0" fontId="18" fillId="11" borderId="29" xfId="0" applyFont="1" applyFill="1" applyBorder="1" applyAlignment="1">
      <alignment wrapText="1"/>
    </xf>
    <xf numFmtId="0" fontId="16" fillId="17" borderId="25" xfId="0" applyFont="1" applyFill="1" applyBorder="1" applyAlignment="1">
      <alignment horizontal="center" wrapText="1"/>
    </xf>
    <xf numFmtId="0" fontId="16" fillId="17" borderId="4" xfId="0" applyFont="1" applyFill="1" applyBorder="1" applyAlignment="1">
      <alignment horizontal="center" wrapText="1"/>
    </xf>
    <xf numFmtId="0" fontId="16" fillId="8" borderId="25" xfId="0" applyFont="1" applyFill="1" applyBorder="1" applyAlignment="1">
      <alignment horizontal="center" wrapText="1"/>
    </xf>
    <xf numFmtId="0" fontId="19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4" xfId="0" applyFont="1" applyBorder="1"/>
    <xf numFmtId="0" fontId="9" fillId="0" borderId="4" xfId="0" applyFont="1" applyBorder="1"/>
    <xf numFmtId="166" fontId="9" fillId="0" borderId="4" xfId="0" applyNumberFormat="1" applyFont="1" applyBorder="1"/>
    <xf numFmtId="167" fontId="17" fillId="0" borderId="4" xfId="0" applyNumberFormat="1" applyFont="1" applyBorder="1" applyAlignment="1">
      <alignment horizontal="right"/>
    </xf>
    <xf numFmtId="166" fontId="17" fillId="0" borderId="4" xfId="0" applyNumberFormat="1" applyFont="1" applyBorder="1" applyAlignment="1">
      <alignment horizontal="right"/>
    </xf>
    <xf numFmtId="169" fontId="17" fillId="0" borderId="4" xfId="0" applyNumberFormat="1" applyFont="1" applyBorder="1" applyAlignment="1">
      <alignment horizontal="right"/>
    </xf>
    <xf numFmtId="170" fontId="17" fillId="0" borderId="4" xfId="0" applyNumberFormat="1" applyFont="1" applyBorder="1" applyAlignment="1">
      <alignment horizontal="right"/>
    </xf>
    <xf numFmtId="9" fontId="20" fillId="23" borderId="4" xfId="0" applyNumberFormat="1" applyFont="1" applyFill="1" applyBorder="1" applyAlignment="1">
      <alignment horizontal="right" vertical="center"/>
    </xf>
    <xf numFmtId="168" fontId="9" fillId="0" borderId="4" xfId="0" applyNumberFormat="1" applyFont="1" applyBorder="1"/>
    <xf numFmtId="9" fontId="21" fillId="24" borderId="4" xfId="0" applyNumberFormat="1" applyFont="1" applyFill="1" applyBorder="1" applyAlignment="1">
      <alignment horizontal="right"/>
    </xf>
    <xf numFmtId="9" fontId="17" fillId="0" borderId="4" xfId="0" applyNumberFormat="1" applyFont="1" applyBorder="1" applyAlignment="1">
      <alignment horizontal="right"/>
    </xf>
    <xf numFmtId="168" fontId="17" fillId="18" borderId="4" xfId="0" applyNumberFormat="1" applyFont="1" applyFill="1" applyBorder="1" applyAlignment="1">
      <alignment horizontal="right"/>
    </xf>
    <xf numFmtId="168" fontId="17" fillId="19" borderId="4" xfId="0" applyNumberFormat="1" applyFont="1" applyFill="1" applyBorder="1" applyAlignment="1">
      <alignment horizontal="right"/>
    </xf>
    <xf numFmtId="2" fontId="17" fillId="21" borderId="4" xfId="0" applyNumberFormat="1" applyFont="1" applyFill="1" applyBorder="1" applyAlignment="1">
      <alignment horizontal="center"/>
    </xf>
    <xf numFmtId="168" fontId="9" fillId="21" borderId="4" xfId="0" applyNumberFormat="1" applyFont="1" applyFill="1" applyBorder="1"/>
    <xf numFmtId="10" fontId="17" fillId="21" borderId="4" xfId="0" applyNumberFormat="1" applyFont="1" applyFill="1" applyBorder="1" applyAlignment="1">
      <alignment horizontal="center"/>
    </xf>
    <xf numFmtId="168" fontId="17" fillId="0" borderId="4" xfId="0" applyNumberFormat="1" applyFont="1" applyBorder="1" applyAlignment="1">
      <alignment horizontal="center"/>
    </xf>
    <xf numFmtId="168" fontId="17" fillId="20" borderId="4" xfId="0" applyNumberFormat="1" applyFont="1" applyFill="1" applyBorder="1" applyAlignment="1">
      <alignment horizontal="right"/>
    </xf>
    <xf numFmtId="165" fontId="16" fillId="25" borderId="4" xfId="0" applyNumberFormat="1" applyFont="1" applyFill="1" applyBorder="1" applyAlignment="1">
      <alignment horizontal="center"/>
    </xf>
    <xf numFmtId="168" fontId="16" fillId="26" borderId="4" xfId="0" applyNumberFormat="1" applyFont="1" applyFill="1" applyBorder="1" applyAlignment="1">
      <alignment horizontal="right"/>
    </xf>
    <xf numFmtId="2" fontId="16" fillId="25" borderId="4" xfId="0" applyNumberFormat="1" applyFont="1" applyFill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8" fontId="16" fillId="19" borderId="4" xfId="0" applyNumberFormat="1" applyFont="1" applyFill="1" applyBorder="1" applyAlignment="1">
      <alignment horizontal="right"/>
    </xf>
    <xf numFmtId="168" fontId="9" fillId="19" borderId="0" xfId="0" applyNumberFormat="1" applyFont="1" applyFill="1"/>
    <xf numFmtId="0" fontId="17" fillId="23" borderId="4" xfId="0" applyFont="1" applyFill="1" applyBorder="1" applyAlignment="1">
      <alignment horizontal="center"/>
    </xf>
    <xf numFmtId="165" fontId="18" fillId="25" borderId="4" xfId="0" applyNumberFormat="1" applyFont="1" applyFill="1" applyBorder="1" applyAlignment="1">
      <alignment horizontal="center"/>
    </xf>
    <xf numFmtId="10" fontId="18" fillId="0" borderId="4" xfId="0" applyNumberFormat="1" applyFont="1" applyBorder="1" applyAlignment="1">
      <alignment horizontal="center"/>
    </xf>
    <xf numFmtId="166" fontId="17" fillId="0" borderId="4" xfId="0" applyNumberFormat="1" applyFont="1" applyBorder="1"/>
    <xf numFmtId="0" fontId="11" fillId="0" borderId="4" xfId="0" applyFont="1" applyBorder="1" applyAlignment="1">
      <alignment horizontal="center"/>
    </xf>
    <xf numFmtId="0" fontId="7" fillId="0" borderId="4" xfId="0" applyFont="1" applyBorder="1"/>
    <xf numFmtId="0" fontId="11" fillId="0" borderId="4" xfId="0" applyFont="1" applyBorder="1"/>
    <xf numFmtId="3" fontId="11" fillId="0" borderId="4" xfId="0" applyNumberFormat="1" applyFont="1" applyBorder="1"/>
    <xf numFmtId="0" fontId="12" fillId="0" borderId="4" xfId="0" applyFont="1" applyBorder="1"/>
    <xf numFmtId="0" fontId="22" fillId="0" borderId="4" xfId="0" applyFont="1" applyBorder="1"/>
    <xf numFmtId="49" fontId="15" fillId="0" borderId="0" xfId="0" applyNumberFormat="1" applyFont="1" applyAlignment="1">
      <alignment horizontal="center"/>
    </xf>
    <xf numFmtId="0" fontId="9" fillId="3" borderId="4" xfId="0" applyFont="1" applyFill="1" applyBorder="1"/>
    <xf numFmtId="164" fontId="9" fillId="0" borderId="0" xfId="0" applyNumberFormat="1" applyFont="1" applyAlignment="1">
      <alignment horizontal="right"/>
    </xf>
    <xf numFmtId="164" fontId="9" fillId="0" borderId="4" xfId="0" applyNumberFormat="1" applyFont="1" applyBorder="1" applyAlignment="1">
      <alignment horizontal="right"/>
    </xf>
    <xf numFmtId="164" fontId="9" fillId="0" borderId="23" xfId="0" applyNumberFormat="1" applyFont="1" applyBorder="1" applyAlignment="1">
      <alignment horizontal="right"/>
    </xf>
    <xf numFmtId="0" fontId="9" fillId="0" borderId="6" xfId="0" applyFont="1" applyBorder="1"/>
    <xf numFmtId="4" fontId="9" fillId="0" borderId="0" xfId="0" applyNumberFormat="1" applyFont="1" applyAlignment="1">
      <alignment horizontal="right"/>
    </xf>
    <xf numFmtId="168" fontId="17" fillId="23" borderId="0" xfId="0" applyNumberFormat="1" applyFont="1" applyFill="1" applyAlignment="1">
      <alignment horizontal="right"/>
    </xf>
    <xf numFmtId="4" fontId="9" fillId="0" borderId="6" xfId="0" applyNumberFormat="1" applyFont="1" applyBorder="1" applyAlignment="1">
      <alignment horizontal="right"/>
    </xf>
    <xf numFmtId="168" fontId="17" fillId="23" borderId="63" xfId="0" applyNumberFormat="1" applyFont="1" applyFill="1" applyBorder="1" applyAlignment="1">
      <alignment horizontal="right"/>
    </xf>
    <xf numFmtId="4" fontId="9" fillId="0" borderId="63" xfId="0" applyNumberFormat="1" applyFont="1" applyBorder="1" applyAlignment="1">
      <alignment horizontal="right"/>
    </xf>
    <xf numFmtId="4" fontId="9" fillId="0" borderId="6" xfId="0" applyNumberFormat="1" applyFont="1" applyBorder="1"/>
    <xf numFmtId="0" fontId="9" fillId="3" borderId="4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168" fontId="17" fillId="23" borderId="6" xfId="0" applyNumberFormat="1" applyFont="1" applyFill="1" applyBorder="1" applyAlignment="1">
      <alignment horizontal="right"/>
    </xf>
    <xf numFmtId="168" fontId="18" fillId="26" borderId="4" xfId="0" applyNumberFormat="1" applyFont="1" applyFill="1" applyBorder="1" applyAlignment="1">
      <alignment horizontal="right"/>
    </xf>
    <xf numFmtId="2" fontId="18" fillId="25" borderId="4" xfId="0" applyNumberFormat="1" applyFont="1" applyFill="1" applyBorder="1" applyAlignment="1">
      <alignment horizontal="center"/>
    </xf>
    <xf numFmtId="168" fontId="18" fillId="19" borderId="4" xfId="0" applyNumberFormat="1" applyFont="1" applyFill="1" applyBorder="1" applyAlignment="1">
      <alignment horizontal="right"/>
    </xf>
    <xf numFmtId="49" fontId="16" fillId="5" borderId="0" xfId="0" applyNumberFormat="1" applyFont="1" applyFill="1" applyAlignment="1">
      <alignment horizontal="center"/>
    </xf>
    <xf numFmtId="167" fontId="11" fillId="0" borderId="4" xfId="0" applyNumberFormat="1" applyFont="1" applyBorder="1" applyAlignment="1">
      <alignment horizontal="right"/>
    </xf>
    <xf numFmtId="10" fontId="23" fillId="23" borderId="4" xfId="0" applyNumberFormat="1" applyFont="1" applyFill="1" applyBorder="1" applyAlignment="1">
      <alignment horizontal="center"/>
    </xf>
    <xf numFmtId="167" fontId="9" fillId="0" borderId="4" xfId="0" applyNumberFormat="1" applyFont="1" applyBorder="1"/>
    <xf numFmtId="3" fontId="6" fillId="0" borderId="4" xfId="0" applyNumberFormat="1" applyFont="1" applyBorder="1" applyAlignment="1">
      <alignment horizontal="right"/>
    </xf>
    <xf numFmtId="169" fontId="7" fillId="0" borderId="4" xfId="0" applyNumberFormat="1" applyFont="1" applyBorder="1" applyAlignment="1">
      <alignment horizontal="right"/>
    </xf>
    <xf numFmtId="168" fontId="6" fillId="0" borderId="4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3" fontId="11" fillId="0" borderId="4" xfId="0" applyNumberFormat="1" applyFont="1" applyBorder="1" applyAlignment="1">
      <alignment horizontal="right"/>
    </xf>
    <xf numFmtId="170" fontId="17" fillId="0" borderId="3" xfId="0" applyNumberFormat="1" applyFont="1" applyBorder="1" applyAlignment="1">
      <alignment horizontal="right"/>
    </xf>
    <xf numFmtId="168" fontId="17" fillId="0" borderId="3" xfId="0" applyNumberFormat="1" applyFont="1" applyBorder="1" applyAlignment="1">
      <alignment horizontal="right"/>
    </xf>
    <xf numFmtId="3" fontId="9" fillId="0" borderId="4" xfId="0" applyNumberFormat="1" applyFont="1" applyBorder="1"/>
    <xf numFmtId="10" fontId="9" fillId="0" borderId="4" xfId="0" applyNumberFormat="1" applyFont="1" applyBorder="1"/>
    <xf numFmtId="168" fontId="11" fillId="0" borderId="4" xfId="0" applyNumberFormat="1" applyFont="1" applyBorder="1" applyAlignment="1">
      <alignment horizontal="right"/>
    </xf>
    <xf numFmtId="2" fontId="9" fillId="0" borderId="4" xfId="0" applyNumberFormat="1" applyFont="1" applyBorder="1"/>
    <xf numFmtId="168" fontId="12" fillId="0" borderId="4" xfId="0" applyNumberFormat="1" applyFont="1" applyBorder="1" applyAlignment="1">
      <alignment horizontal="right"/>
    </xf>
    <xf numFmtId="168" fontId="24" fillId="0" borderId="4" xfId="0" applyNumberFormat="1" applyFont="1" applyBorder="1" applyAlignment="1">
      <alignment horizontal="right"/>
    </xf>
    <xf numFmtId="0" fontId="15" fillId="0" borderId="0" xfId="0" applyFont="1"/>
    <xf numFmtId="0" fontId="1" fillId="2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4" fontId="9" fillId="0" borderId="4" xfId="0" applyNumberFormat="1" applyFont="1" applyBorder="1" applyAlignment="1">
      <alignment horizontal="right"/>
    </xf>
    <xf numFmtId="0" fontId="25" fillId="23" borderId="0" xfId="0" applyFont="1" applyFill="1"/>
    <xf numFmtId="0" fontId="1" fillId="23" borderId="0" xfId="0" applyFont="1" applyFill="1"/>
    <xf numFmtId="167" fontId="11" fillId="0" borderId="4" xfId="0" applyNumberFormat="1" applyFont="1" applyBorder="1" applyAlignment="1">
      <alignment horizontal="right" vertical="center"/>
    </xf>
    <xf numFmtId="164" fontId="15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4" fontId="15" fillId="0" borderId="4" xfId="0" applyNumberFormat="1" applyFont="1" applyBorder="1"/>
    <xf numFmtId="9" fontId="17" fillId="23" borderId="4" xfId="0" applyNumberFormat="1" applyFont="1" applyFill="1" applyBorder="1" applyAlignment="1">
      <alignment horizontal="right"/>
    </xf>
    <xf numFmtId="170" fontId="7" fillId="0" borderId="3" xfId="0" applyNumberFormat="1" applyFont="1" applyBorder="1" applyAlignment="1">
      <alignment horizontal="right" vertical="center"/>
    </xf>
    <xf numFmtId="168" fontId="7" fillId="0" borderId="3" xfId="0" applyNumberFormat="1" applyFont="1" applyBorder="1" applyAlignment="1">
      <alignment horizontal="right" vertical="center"/>
    </xf>
    <xf numFmtId="166" fontId="7" fillId="0" borderId="3" xfId="0" applyNumberFormat="1" applyFont="1" applyBorder="1" applyAlignment="1">
      <alignment horizontal="right" vertical="center"/>
    </xf>
    <xf numFmtId="0" fontId="26" fillId="0" borderId="0" xfId="0" applyFont="1"/>
    <xf numFmtId="0" fontId="27" fillId="0" borderId="4" xfId="0" applyFont="1" applyBorder="1"/>
    <xf numFmtId="4" fontId="26" fillId="0" borderId="4" xfId="0" applyNumberFormat="1" applyFont="1" applyBorder="1"/>
    <xf numFmtId="0" fontId="26" fillId="0" borderId="4" xfId="0" applyFont="1" applyBorder="1"/>
    <xf numFmtId="0" fontId="26" fillId="0" borderId="4" xfId="0" applyFont="1" applyBorder="1" applyAlignment="1">
      <alignment wrapText="1"/>
    </xf>
    <xf numFmtId="4" fontId="1" fillId="0" borderId="4" xfId="0" applyNumberFormat="1" applyFont="1" applyBorder="1" applyAlignment="1">
      <alignment horizontal="center"/>
    </xf>
    <xf numFmtId="0" fontId="28" fillId="0" borderId="0" xfId="0" applyFont="1" applyAlignment="1">
      <alignment wrapText="1"/>
    </xf>
    <xf numFmtId="0" fontId="29" fillId="0" borderId="0" xfId="0" applyFont="1"/>
    <xf numFmtId="0" fontId="28" fillId="0" borderId="0" xfId="0" applyFont="1"/>
    <xf numFmtId="4" fontId="9" fillId="0" borderId="0" xfId="0" applyNumberFormat="1" applyFont="1"/>
    <xf numFmtId="4" fontId="30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27" borderId="0" xfId="0" applyNumberFormat="1" applyFont="1" applyFill="1" applyAlignment="1">
      <alignment horizontal="center"/>
    </xf>
    <xf numFmtId="4" fontId="30" fillId="16" borderId="4" xfId="0" applyNumberFormat="1" applyFont="1" applyFill="1" applyBorder="1" applyAlignment="1">
      <alignment horizontal="center" wrapText="1"/>
    </xf>
    <xf numFmtId="4" fontId="30" fillId="3" borderId="4" xfId="0" applyNumberFormat="1" applyFont="1" applyFill="1" applyBorder="1" applyAlignment="1">
      <alignment horizontal="center" wrapText="1"/>
    </xf>
    <xf numFmtId="4" fontId="30" fillId="5" borderId="4" xfId="0" applyNumberFormat="1" applyFont="1" applyFill="1" applyBorder="1" applyAlignment="1">
      <alignment horizontal="center" wrapText="1"/>
    </xf>
    <xf numFmtId="4" fontId="9" fillId="0" borderId="4" xfId="0" applyNumberFormat="1" applyFont="1" applyBorder="1"/>
    <xf numFmtId="4" fontId="30" fillId="28" borderId="4" xfId="0" applyNumberFormat="1" applyFont="1" applyFill="1" applyBorder="1" applyAlignment="1">
      <alignment horizontal="center" wrapText="1"/>
    </xf>
    <xf numFmtId="4" fontId="31" fillId="29" borderId="4" xfId="0" applyNumberFormat="1" applyFont="1" applyFill="1" applyBorder="1" applyAlignment="1">
      <alignment horizontal="center" wrapText="1"/>
    </xf>
    <xf numFmtId="4" fontId="31" fillId="28" borderId="4" xfId="0" applyNumberFormat="1" applyFont="1" applyFill="1" applyBorder="1" applyAlignment="1">
      <alignment horizontal="center" wrapText="1"/>
    </xf>
    <xf numFmtId="4" fontId="30" fillId="29" borderId="4" xfId="0" applyNumberFormat="1" applyFont="1" applyFill="1" applyBorder="1" applyAlignment="1">
      <alignment horizontal="center" wrapText="1"/>
    </xf>
    <xf numFmtId="4" fontId="30" fillId="29" borderId="4" xfId="0" applyNumberFormat="1" applyFont="1" applyFill="1" applyBorder="1" applyAlignment="1">
      <alignment horizontal="right"/>
    </xf>
    <xf numFmtId="4" fontId="30" fillId="28" borderId="4" xfId="0" applyNumberFormat="1" applyFont="1" applyFill="1" applyBorder="1" applyAlignment="1">
      <alignment horizontal="right"/>
    </xf>
    <xf numFmtId="4" fontId="30" fillId="13" borderId="4" xfId="0" applyNumberFormat="1" applyFont="1" applyFill="1" applyBorder="1" applyAlignment="1">
      <alignment horizontal="center" wrapText="1"/>
    </xf>
    <xf numFmtId="4" fontId="30" fillId="0" borderId="4" xfId="0" applyNumberFormat="1" applyFont="1" applyBorder="1" applyAlignment="1">
      <alignment horizontal="center" wrapText="1"/>
    </xf>
    <xf numFmtId="4" fontId="9" fillId="0" borderId="4" xfId="0" applyNumberFormat="1" applyFont="1" applyBorder="1" applyAlignment="1">
      <alignment horizontal="center" wrapText="1"/>
    </xf>
    <xf numFmtId="4" fontId="27" fillId="0" borderId="4" xfId="0" applyNumberFormat="1" applyFont="1" applyBorder="1" applyAlignment="1">
      <alignment horizontal="center" wrapText="1"/>
    </xf>
    <xf numFmtId="4" fontId="9" fillId="23" borderId="4" xfId="0" applyNumberFormat="1" applyFont="1" applyFill="1" applyBorder="1" applyAlignment="1">
      <alignment horizontal="center" wrapText="1"/>
    </xf>
    <xf numFmtId="4" fontId="9" fillId="23" borderId="4" xfId="0" applyNumberFormat="1" applyFont="1" applyFill="1" applyBorder="1" applyAlignment="1">
      <alignment horizontal="right"/>
    </xf>
    <xf numFmtId="4" fontId="30" fillId="30" borderId="4" xfId="0" applyNumberFormat="1" applyFont="1" applyFill="1" applyBorder="1" applyAlignment="1">
      <alignment horizontal="center" wrapText="1"/>
    </xf>
    <xf numFmtId="4" fontId="9" fillId="30" borderId="4" xfId="0" applyNumberFormat="1" applyFont="1" applyFill="1" applyBorder="1"/>
    <xf numFmtId="4" fontId="9" fillId="13" borderId="4" xfId="0" applyNumberFormat="1" applyFont="1" applyFill="1" applyBorder="1"/>
    <xf numFmtId="4" fontId="32" fillId="0" borderId="4" xfId="0" applyNumberFormat="1" applyFont="1" applyBorder="1"/>
    <xf numFmtId="4" fontId="30" fillId="31" borderId="4" xfId="0" applyNumberFormat="1" applyFont="1" applyFill="1" applyBorder="1" applyAlignment="1">
      <alignment horizontal="center" wrapText="1"/>
    </xf>
    <xf numFmtId="4" fontId="9" fillId="31" borderId="4" xfId="0" applyNumberFormat="1" applyFont="1" applyFill="1" applyBorder="1" applyAlignment="1">
      <alignment horizontal="center" wrapText="1"/>
    </xf>
    <xf numFmtId="4" fontId="32" fillId="0" borderId="0" xfId="0" applyNumberFormat="1" applyFont="1"/>
    <xf numFmtId="4" fontId="9" fillId="31" borderId="4" xfId="0" applyNumberFormat="1" applyFont="1" applyFill="1" applyBorder="1" applyAlignment="1">
      <alignment horizontal="right"/>
    </xf>
    <xf numFmtId="4" fontId="30" fillId="23" borderId="4" xfId="0" applyNumberFormat="1" applyFont="1" applyFill="1" applyBorder="1" applyAlignment="1">
      <alignment horizontal="center" wrapText="1"/>
    </xf>
    <xf numFmtId="4" fontId="33" fillId="0" borderId="4" xfId="0" applyNumberFormat="1" applyFont="1" applyBorder="1" applyAlignment="1">
      <alignment horizontal="center" wrapText="1"/>
    </xf>
    <xf numFmtId="4" fontId="9" fillId="23" borderId="4" xfId="0" applyNumberFormat="1" applyFont="1" applyFill="1" applyBorder="1"/>
    <xf numFmtId="4" fontId="9" fillId="31" borderId="4" xfId="0" applyNumberFormat="1" applyFont="1" applyFill="1" applyBorder="1"/>
    <xf numFmtId="4" fontId="28" fillId="0" borderId="4" xfId="0" applyNumberFormat="1" applyFont="1" applyBorder="1" applyAlignment="1">
      <alignment horizontal="center" wrapText="1"/>
    </xf>
    <xf numFmtId="4" fontId="28" fillId="31" borderId="4" xfId="0" applyNumberFormat="1" applyFont="1" applyFill="1" applyBorder="1" applyAlignment="1">
      <alignment horizontal="center" wrapText="1"/>
    </xf>
    <xf numFmtId="4" fontId="9" fillId="31" borderId="4" xfId="0" applyNumberFormat="1" applyFont="1" applyFill="1" applyBorder="1" applyAlignment="1">
      <alignment horizontal="center"/>
    </xf>
    <xf numFmtId="4" fontId="28" fillId="23" borderId="4" xfId="0" applyNumberFormat="1" applyFont="1" applyFill="1" applyBorder="1" applyAlignment="1">
      <alignment horizontal="center" wrapText="1"/>
    </xf>
    <xf numFmtId="4" fontId="9" fillId="23" borderId="4" xfId="0" applyNumberFormat="1" applyFont="1" applyFill="1" applyBorder="1" applyAlignment="1">
      <alignment horizontal="center"/>
    </xf>
    <xf numFmtId="4" fontId="34" fillId="0" borderId="4" xfId="0" applyNumberFormat="1" applyFont="1" applyBorder="1" applyAlignment="1">
      <alignment horizontal="center" wrapText="1"/>
    </xf>
    <xf numFmtId="4" fontId="33" fillId="23" borderId="4" xfId="0" applyNumberFormat="1" applyFont="1" applyFill="1" applyBorder="1" applyAlignment="1">
      <alignment horizontal="center" wrapText="1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33" fillId="31" borderId="4" xfId="0" applyNumberFormat="1" applyFont="1" applyFill="1" applyBorder="1" applyAlignment="1">
      <alignment horizontal="center" wrapText="1"/>
    </xf>
    <xf numFmtId="4" fontId="9" fillId="29" borderId="4" xfId="0" applyNumberFormat="1" applyFont="1" applyFill="1" applyBorder="1" applyAlignment="1">
      <alignment horizontal="center"/>
    </xf>
    <xf numFmtId="4" fontId="9" fillId="29" borderId="4" xfId="0" applyNumberFormat="1" applyFont="1" applyFill="1" applyBorder="1" applyAlignment="1">
      <alignment horizontal="right"/>
    </xf>
    <xf numFmtId="4" fontId="9" fillId="29" borderId="4" xfId="0" applyNumberFormat="1" applyFont="1" applyFill="1" applyBorder="1" applyAlignment="1">
      <alignment horizontal="center" wrapText="1"/>
    </xf>
    <xf numFmtId="4" fontId="9" fillId="0" borderId="4" xfId="0" applyNumberFormat="1" applyFont="1" applyBorder="1" applyAlignment="1">
      <alignment horizontal="center"/>
    </xf>
    <xf numFmtId="4" fontId="9" fillId="29" borderId="4" xfId="0" applyNumberFormat="1" applyFont="1" applyFill="1" applyBorder="1"/>
    <xf numFmtId="4" fontId="35" fillId="0" borderId="4" xfId="0" applyNumberFormat="1" applyFont="1" applyBorder="1" applyAlignment="1">
      <alignment horizontal="center" wrapText="1"/>
    </xf>
    <xf numFmtId="168" fontId="7" fillId="23" borderId="4" xfId="0" applyNumberFormat="1" applyFont="1" applyFill="1" applyBorder="1" applyAlignment="1">
      <alignment vertical="center"/>
    </xf>
    <xf numFmtId="4" fontId="33" fillId="0" borderId="0" xfId="0" applyNumberFormat="1" applyFont="1" applyAlignment="1">
      <alignment horizontal="center"/>
    </xf>
    <xf numFmtId="4" fontId="9" fillId="23" borderId="28" xfId="0" applyNumberFormat="1" applyFont="1" applyFill="1" applyBorder="1"/>
    <xf numFmtId="4" fontId="36" fillId="0" borderId="0" xfId="0" applyNumberFormat="1" applyFont="1"/>
    <xf numFmtId="0" fontId="9" fillId="0" borderId="66" xfId="0" applyFont="1" applyBorder="1"/>
    <xf numFmtId="4" fontId="9" fillId="0" borderId="66" xfId="0" applyNumberFormat="1" applyFont="1" applyBorder="1"/>
    <xf numFmtId="0" fontId="9" fillId="0" borderId="67" xfId="0" applyFont="1" applyBorder="1"/>
    <xf numFmtId="4" fontId="9" fillId="0" borderId="67" xfId="0" applyNumberFormat="1" applyFont="1" applyBorder="1"/>
    <xf numFmtId="0" fontId="37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4" fontId="30" fillId="29" borderId="4" xfId="0" applyNumberFormat="1" applyFont="1" applyFill="1" applyBorder="1" applyAlignment="1">
      <alignment horizontal="center"/>
    </xf>
    <xf numFmtId="4" fontId="30" fillId="28" borderId="4" xfId="0" applyNumberFormat="1" applyFont="1" applyFill="1" applyBorder="1" applyAlignment="1">
      <alignment horizontal="center"/>
    </xf>
    <xf numFmtId="4" fontId="9" fillId="30" borderId="4" xfId="0" applyNumberFormat="1" applyFont="1" applyFill="1" applyBorder="1" applyAlignment="1">
      <alignment horizontal="center"/>
    </xf>
    <xf numFmtId="4" fontId="9" fillId="13" borderId="4" xfId="0" applyNumberFormat="1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4" fontId="30" fillId="32" borderId="4" xfId="0" applyNumberFormat="1" applyFont="1" applyFill="1" applyBorder="1" applyAlignment="1">
      <alignment horizontal="center" wrapText="1"/>
    </xf>
    <xf numFmtId="4" fontId="9" fillId="32" borderId="4" xfId="0" applyNumberFormat="1" applyFont="1" applyFill="1" applyBorder="1" applyAlignment="1">
      <alignment horizontal="center"/>
    </xf>
    <xf numFmtId="4" fontId="9" fillId="23" borderId="0" xfId="0" applyNumberFormat="1" applyFont="1" applyFill="1"/>
    <xf numFmtId="4" fontId="9" fillId="13" borderId="0" xfId="0" applyNumberFormat="1" applyFont="1" applyFill="1"/>
    <xf numFmtId="4" fontId="9" fillId="23" borderId="0" xfId="0" applyNumberFormat="1" applyFont="1" applyFill="1" applyAlignment="1">
      <alignment horizontal="center"/>
    </xf>
    <xf numFmtId="0" fontId="9" fillId="0" borderId="0" xfId="0" applyFont="1" applyAlignment="1">
      <alignment horizontal="right"/>
    </xf>
    <xf numFmtId="4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4" fontId="30" fillId="16" borderId="4" xfId="0" applyNumberFormat="1" applyFont="1" applyFill="1" applyBorder="1" applyAlignment="1">
      <alignment horizontal="left" wrapText="1"/>
    </xf>
    <xf numFmtId="4" fontId="9" fillId="0" borderId="4" xfId="0" applyNumberFormat="1" applyFont="1" applyBorder="1" applyAlignment="1">
      <alignment horizontal="left"/>
    </xf>
    <xf numFmtId="4" fontId="30" fillId="28" borderId="4" xfId="0" applyNumberFormat="1" applyFont="1" applyFill="1" applyBorder="1" applyAlignment="1">
      <alignment horizontal="left" wrapText="1"/>
    </xf>
    <xf numFmtId="4" fontId="30" fillId="0" borderId="4" xfId="0" applyNumberFormat="1" applyFont="1" applyBorder="1" applyAlignment="1">
      <alignment horizontal="left" wrapText="1"/>
    </xf>
    <xf numFmtId="4" fontId="30" fillId="30" borderId="4" xfId="0" applyNumberFormat="1" applyFont="1" applyFill="1" applyBorder="1" applyAlignment="1">
      <alignment horizontal="left" wrapText="1"/>
    </xf>
    <xf numFmtId="4" fontId="30" fillId="31" borderId="4" xfId="0" applyNumberFormat="1" applyFont="1" applyFill="1" applyBorder="1" applyAlignment="1">
      <alignment horizontal="left" wrapText="1"/>
    </xf>
    <xf numFmtId="4" fontId="30" fillId="23" borderId="4" xfId="0" applyNumberFormat="1" applyFont="1" applyFill="1" applyBorder="1" applyAlignment="1">
      <alignment horizontal="left" wrapText="1"/>
    </xf>
    <xf numFmtId="4" fontId="28" fillId="23" borderId="4" xfId="0" applyNumberFormat="1" applyFont="1" applyFill="1" applyBorder="1" applyAlignment="1">
      <alignment horizontal="left" wrapText="1"/>
    </xf>
    <xf numFmtId="4" fontId="28" fillId="31" borderId="4" xfId="0" applyNumberFormat="1" applyFont="1" applyFill="1" applyBorder="1" applyAlignment="1">
      <alignment horizontal="left" wrapText="1"/>
    </xf>
    <xf numFmtId="4" fontId="28" fillId="0" borderId="4" xfId="0" applyNumberFormat="1" applyFont="1" applyBorder="1" applyAlignment="1">
      <alignment horizontal="left" wrapText="1"/>
    </xf>
    <xf numFmtId="4" fontId="35" fillId="0" borderId="4" xfId="0" applyNumberFormat="1" applyFont="1" applyBorder="1" applyAlignment="1">
      <alignment horizontal="left" wrapText="1"/>
    </xf>
    <xf numFmtId="4" fontId="9" fillId="23" borderId="0" xfId="0" applyNumberFormat="1" applyFont="1" applyFill="1" applyAlignment="1">
      <alignment horizontal="left"/>
    </xf>
    <xf numFmtId="0" fontId="9" fillId="0" borderId="0" xfId="0" applyFont="1" applyAlignment="1">
      <alignment horizontal="left"/>
    </xf>
    <xf numFmtId="0" fontId="9" fillId="0" borderId="66" xfId="0" applyFont="1" applyBorder="1" applyAlignment="1">
      <alignment horizontal="left"/>
    </xf>
    <xf numFmtId="0" fontId="9" fillId="0" borderId="67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6" fillId="14" borderId="3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10" fontId="6" fillId="13" borderId="3" xfId="0" applyNumberFormat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44" xfId="0" applyFont="1" applyBorder="1"/>
    <xf numFmtId="0" fontId="0" fillId="0" borderId="0" xfId="0"/>
    <xf numFmtId="0" fontId="7" fillId="8" borderId="33" xfId="0" applyFont="1" applyFill="1" applyBorder="1" applyAlignment="1">
      <alignment horizontal="center" vertical="center" wrapText="1"/>
    </xf>
    <xf numFmtId="0" fontId="7" fillId="12" borderId="35" xfId="0" applyFont="1" applyFill="1" applyBorder="1" applyAlignment="1">
      <alignment horizontal="center" vertical="center"/>
    </xf>
    <xf numFmtId="0" fontId="3" fillId="0" borderId="36" xfId="0" applyFont="1" applyBorder="1"/>
    <xf numFmtId="0" fontId="3" fillId="0" borderId="37" xfId="0" applyFont="1" applyBorder="1"/>
    <xf numFmtId="0" fontId="7" fillId="12" borderId="33" xfId="0" applyFont="1" applyFill="1" applyBorder="1" applyAlignment="1">
      <alignment horizontal="center" vertical="center"/>
    </xf>
    <xf numFmtId="0" fontId="7" fillId="12" borderId="33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/>
    </xf>
    <xf numFmtId="0" fontId="3" fillId="0" borderId="52" xfId="0" applyFont="1" applyBorder="1"/>
    <xf numFmtId="0" fontId="7" fillId="7" borderId="33" xfId="0" applyFont="1" applyFill="1" applyBorder="1" applyAlignment="1">
      <alignment horizontal="center" vertical="center"/>
    </xf>
    <xf numFmtId="0" fontId="7" fillId="15" borderId="43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7" fillId="11" borderId="39" xfId="0" applyFont="1" applyFill="1" applyBorder="1" applyAlignment="1">
      <alignment horizontal="center" vertical="center"/>
    </xf>
    <xf numFmtId="0" fontId="3" fillId="0" borderId="46" xfId="0" applyFont="1" applyBorder="1"/>
    <xf numFmtId="0" fontId="7" fillId="15" borderId="40" xfId="0" applyFont="1" applyFill="1" applyBorder="1" applyAlignment="1">
      <alignment horizontal="center" vertical="center"/>
    </xf>
    <xf numFmtId="0" fontId="3" fillId="0" borderId="47" xfId="0" applyFont="1" applyBorder="1"/>
    <xf numFmtId="0" fontId="7" fillId="8" borderId="40" xfId="0" applyFont="1" applyFill="1" applyBorder="1" applyAlignment="1">
      <alignment horizontal="center" vertical="center"/>
    </xf>
    <xf numFmtId="0" fontId="7" fillId="14" borderId="39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23" xfId="0" applyFont="1" applyBorder="1"/>
    <xf numFmtId="165" fontId="6" fillId="14" borderId="3" xfId="0" applyNumberFormat="1" applyFont="1" applyFill="1" applyBorder="1" applyAlignment="1">
      <alignment horizontal="center" vertical="center" wrapText="1"/>
    </xf>
    <xf numFmtId="49" fontId="6" fillId="5" borderId="18" xfId="0" applyNumberFormat="1" applyFont="1" applyFill="1" applyBorder="1" applyAlignment="1">
      <alignment horizontal="center" vertical="center"/>
    </xf>
    <xf numFmtId="165" fontId="6" fillId="5" borderId="18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5" borderId="18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6" fillId="9" borderId="15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6" fillId="12" borderId="24" xfId="0" applyFont="1" applyFill="1" applyBorder="1" applyAlignment="1">
      <alignment horizontal="center" vertical="center" wrapText="1"/>
    </xf>
    <xf numFmtId="0" fontId="3" fillId="0" borderId="30" xfId="0" applyFont="1" applyBorder="1"/>
    <xf numFmtId="0" fontId="6" fillId="12" borderId="3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16" fillId="14" borderId="3" xfId="0" applyFont="1" applyFill="1" applyBorder="1" applyAlignment="1">
      <alignment horizontal="center" wrapText="1"/>
    </xf>
    <xf numFmtId="0" fontId="16" fillId="13" borderId="3" xfId="0" applyFont="1" applyFill="1" applyBorder="1" applyAlignment="1">
      <alignment horizontal="center" wrapText="1"/>
    </xf>
    <xf numFmtId="10" fontId="16" fillId="13" borderId="3" xfId="0" applyNumberFormat="1" applyFont="1" applyFill="1" applyBorder="1" applyAlignment="1">
      <alignment horizontal="center" wrapText="1"/>
    </xf>
    <xf numFmtId="0" fontId="16" fillId="15" borderId="3" xfId="0" applyFont="1" applyFill="1" applyBorder="1" applyAlignment="1">
      <alignment horizontal="center" wrapText="1"/>
    </xf>
    <xf numFmtId="165" fontId="16" fillId="14" borderId="3" xfId="0" applyNumberFormat="1" applyFont="1" applyFill="1" applyBorder="1" applyAlignment="1">
      <alignment horizontal="center" wrapText="1"/>
    </xf>
    <xf numFmtId="0" fontId="16" fillId="8" borderId="3" xfId="0" applyFont="1" applyFill="1" applyBorder="1" applyAlignment="1">
      <alignment horizontal="center" wrapText="1"/>
    </xf>
    <xf numFmtId="0" fontId="16" fillId="8" borderId="15" xfId="0" applyFont="1" applyFill="1" applyBorder="1" applyAlignment="1">
      <alignment horizontal="center" wrapText="1"/>
    </xf>
    <xf numFmtId="49" fontId="16" fillId="5" borderId="18" xfId="0" applyNumberFormat="1" applyFont="1" applyFill="1" applyBorder="1" applyAlignment="1">
      <alignment horizontal="center"/>
    </xf>
    <xf numFmtId="165" fontId="16" fillId="5" borderId="18" xfId="0" applyNumberFormat="1" applyFont="1" applyFill="1" applyBorder="1" applyAlignment="1">
      <alignment horizontal="center"/>
    </xf>
    <xf numFmtId="49" fontId="16" fillId="5" borderId="15" xfId="0" applyNumberFormat="1" applyFont="1" applyFill="1" applyBorder="1" applyAlignment="1">
      <alignment horizontal="center"/>
    </xf>
    <xf numFmtId="49" fontId="16" fillId="5" borderId="18" xfId="0" applyNumberFormat="1" applyFont="1" applyFill="1" applyBorder="1" applyAlignment="1">
      <alignment horizontal="center" wrapText="1"/>
    </xf>
    <xf numFmtId="0" fontId="16" fillId="6" borderId="3" xfId="0" applyFont="1" applyFill="1" applyBorder="1" applyAlignment="1">
      <alignment horizontal="center" wrapText="1"/>
    </xf>
    <xf numFmtId="0" fontId="16" fillId="7" borderId="3" xfId="0" applyFont="1" applyFill="1" applyBorder="1" applyAlignment="1">
      <alignment horizontal="center" wrapText="1"/>
    </xf>
    <xf numFmtId="0" fontId="16" fillId="9" borderId="21" xfId="0" applyFont="1" applyFill="1" applyBorder="1" applyAlignment="1">
      <alignment horizontal="center" wrapText="1"/>
    </xf>
    <xf numFmtId="0" fontId="16" fillId="9" borderId="15" xfId="0" applyFont="1" applyFill="1" applyBorder="1" applyAlignment="1">
      <alignment horizontal="center" wrapText="1"/>
    </xf>
    <xf numFmtId="0" fontId="18" fillId="10" borderId="3" xfId="0" applyFont="1" applyFill="1" applyBorder="1" applyAlignment="1">
      <alignment horizontal="center" wrapText="1"/>
    </xf>
    <xf numFmtId="0" fontId="18" fillId="11" borderId="3" xfId="0" applyFont="1" applyFill="1" applyBorder="1" applyAlignment="1">
      <alignment horizontal="center" wrapText="1"/>
    </xf>
    <xf numFmtId="0" fontId="16" fillId="12" borderId="24" xfId="0" applyFont="1" applyFill="1" applyBorder="1" applyAlignment="1">
      <alignment horizontal="center" wrapText="1"/>
    </xf>
    <xf numFmtId="0" fontId="16" fillId="12" borderId="3" xfId="0" applyFont="1" applyFill="1" applyBorder="1" applyAlignment="1">
      <alignment horizontal="center" wrapText="1"/>
    </xf>
    <xf numFmtId="0" fontId="3" fillId="0" borderId="64" xfId="0" applyFont="1" applyBorder="1"/>
    <xf numFmtId="0" fontId="3" fillId="0" borderId="65" xfId="0" applyFont="1" applyBorder="1"/>
    <xf numFmtId="0" fontId="15" fillId="0" borderId="15" xfId="0" applyFont="1" applyBorder="1" applyAlignment="1">
      <alignment horizontal="center" vertical="center" wrapText="1"/>
    </xf>
    <xf numFmtId="0" fontId="15" fillId="0" borderId="15" xfId="0" applyFont="1" applyBorder="1"/>
    <xf numFmtId="0" fontId="39" fillId="2" borderId="1" xfId="0" applyFont="1" applyFill="1" applyBorder="1" applyAlignment="1">
      <alignment horizontal="left" vertical="center"/>
    </xf>
    <xf numFmtId="0" fontId="39" fillId="2" borderId="2" xfId="0" applyFont="1" applyFill="1" applyBorder="1" applyAlignment="1">
      <alignment horizontal="center" vertical="center"/>
    </xf>
    <xf numFmtId="0" fontId="40" fillId="0" borderId="4" xfId="0" applyFont="1" applyBorder="1"/>
    <xf numFmtId="0" fontId="39" fillId="2" borderId="47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1" fillId="0" borderId="0" xfId="0" applyFont="1"/>
    <xf numFmtId="0" fontId="39" fillId="2" borderId="8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0" fontId="39" fillId="2" borderId="10" xfId="0" applyFont="1" applyFill="1" applyBorder="1" applyAlignment="1">
      <alignment horizontal="center" vertical="center"/>
    </xf>
    <xf numFmtId="49" fontId="42" fillId="2" borderId="1" xfId="0" applyNumberFormat="1" applyFont="1" applyFill="1" applyBorder="1" applyAlignment="1">
      <alignment horizontal="left" vertical="center"/>
    </xf>
    <xf numFmtId="49" fontId="42" fillId="2" borderId="2" xfId="0" applyNumberFormat="1" applyFont="1" applyFill="1" applyBorder="1" applyAlignment="1">
      <alignment horizontal="center" vertical="center"/>
    </xf>
    <xf numFmtId="49" fontId="42" fillId="2" borderId="47" xfId="0" applyNumberFormat="1" applyFont="1" applyFill="1" applyBorder="1" applyAlignment="1">
      <alignment horizontal="center" vertical="center"/>
    </xf>
    <xf numFmtId="49" fontId="42" fillId="2" borderId="2" xfId="0" applyNumberFormat="1" applyFont="1" applyFill="1" applyBorder="1" applyAlignment="1">
      <alignment horizontal="left" vertical="center"/>
    </xf>
    <xf numFmtId="49" fontId="42" fillId="2" borderId="7" xfId="0" applyNumberFormat="1" applyFont="1" applyFill="1" applyBorder="1" applyAlignment="1">
      <alignment horizontal="center" vertical="center"/>
    </xf>
    <xf numFmtId="49" fontId="42" fillId="2" borderId="0" xfId="0" applyNumberFormat="1" applyFont="1" applyFill="1" applyAlignment="1">
      <alignment horizontal="center" vertical="center"/>
    </xf>
    <xf numFmtId="0" fontId="43" fillId="0" borderId="0" xfId="0" applyFont="1"/>
    <xf numFmtId="49" fontId="42" fillId="2" borderId="11" xfId="0" applyNumberFormat="1" applyFont="1" applyFill="1" applyBorder="1" applyAlignment="1">
      <alignment horizontal="center" vertical="center"/>
    </xf>
    <xf numFmtId="49" fontId="42" fillId="2" borderId="12" xfId="0" applyNumberFormat="1" applyFont="1" applyFill="1" applyBorder="1" applyAlignment="1">
      <alignment horizontal="center" vertical="center"/>
    </xf>
    <xf numFmtId="49" fontId="42" fillId="2" borderId="13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wrapText="1"/>
    </xf>
    <xf numFmtId="0" fontId="45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/>
    </xf>
    <xf numFmtId="166" fontId="44" fillId="0" borderId="4" xfId="0" applyNumberFormat="1" applyFont="1" applyBorder="1" applyAlignment="1">
      <alignment horizontal="right" vertical="center"/>
    </xf>
    <xf numFmtId="167" fontId="44" fillId="0" borderId="4" xfId="0" applyNumberFormat="1" applyFont="1" applyBorder="1" applyAlignment="1">
      <alignment vertical="center"/>
    </xf>
    <xf numFmtId="168" fontId="44" fillId="0" borderId="4" xfId="0" applyNumberFormat="1" applyFont="1" applyBorder="1" applyAlignment="1">
      <alignment horizontal="right" vertical="center"/>
    </xf>
    <xf numFmtId="166" fontId="44" fillId="0" borderId="4" xfId="0" applyNumberFormat="1" applyFont="1" applyBorder="1" applyAlignment="1">
      <alignment horizontal="left" vertical="center"/>
    </xf>
    <xf numFmtId="169" fontId="44" fillId="0" borderId="4" xfId="0" applyNumberFormat="1" applyFont="1" applyBorder="1" applyAlignment="1">
      <alignment horizontal="right" vertical="center"/>
    </xf>
    <xf numFmtId="167" fontId="44" fillId="0" borderId="4" xfId="0" applyNumberFormat="1" applyFont="1" applyBorder="1" applyAlignment="1">
      <alignment horizontal="right" vertical="center"/>
    </xf>
    <xf numFmtId="170" fontId="44" fillId="0" borderId="4" xfId="0" applyNumberFormat="1" applyFont="1" applyBorder="1" applyAlignment="1">
      <alignment horizontal="right" vertical="center"/>
    </xf>
    <xf numFmtId="168" fontId="44" fillId="0" borderId="4" xfId="0" applyNumberFormat="1" applyFont="1" applyBorder="1" applyAlignment="1">
      <alignment horizontal="center" vertical="center"/>
    </xf>
    <xf numFmtId="166" fontId="44" fillId="0" borderId="4" xfId="0" applyNumberFormat="1" applyFont="1" applyBorder="1" applyAlignment="1">
      <alignment horizontal="center" vertical="center"/>
    </xf>
    <xf numFmtId="168" fontId="44" fillId="19" borderId="4" xfId="0" applyNumberFormat="1" applyFont="1" applyFill="1" applyBorder="1" applyAlignment="1">
      <alignment vertical="center"/>
    </xf>
    <xf numFmtId="168" fontId="44" fillId="0" borderId="4" xfId="0" applyNumberFormat="1" applyFont="1" applyBorder="1" applyAlignment="1">
      <alignment horizontal="right"/>
    </xf>
    <xf numFmtId="10" fontId="44" fillId="0" borderId="4" xfId="0" applyNumberFormat="1" applyFont="1" applyBorder="1" applyAlignment="1">
      <alignment horizontal="center" vertical="center"/>
    </xf>
    <xf numFmtId="168" fontId="44" fillId="19" borderId="0" xfId="0" applyNumberFormat="1" applyFont="1" applyFill="1" applyAlignment="1">
      <alignment vertical="center"/>
    </xf>
    <xf numFmtId="166" fontId="44" fillId="0" borderId="4" xfId="0" applyNumberFormat="1" applyFont="1" applyBorder="1" applyAlignment="1">
      <alignment horizontal="right"/>
    </xf>
    <xf numFmtId="168" fontId="43" fillId="0" borderId="4" xfId="0" applyNumberFormat="1" applyFont="1" applyBorder="1"/>
    <xf numFmtId="0" fontId="44" fillId="0" borderId="4" xfId="0" applyFont="1" applyBorder="1"/>
    <xf numFmtId="3" fontId="44" fillId="0" borderId="4" xfId="0" applyNumberFormat="1" applyFont="1" applyBorder="1"/>
    <xf numFmtId="0" fontId="44" fillId="0" borderId="0" xfId="0" applyFont="1"/>
    <xf numFmtId="170" fontId="44" fillId="0" borderId="3" xfId="0" applyNumberFormat="1" applyFont="1" applyBorder="1" applyAlignment="1">
      <alignment horizontal="right" vertical="center"/>
    </xf>
    <xf numFmtId="168" fontId="44" fillId="0" borderId="3" xfId="0" applyNumberFormat="1" applyFont="1" applyBorder="1" applyAlignment="1">
      <alignment horizontal="right" vertical="center"/>
    </xf>
    <xf numFmtId="166" fontId="44" fillId="0" borderId="3" xfId="0" applyNumberFormat="1" applyFont="1" applyBorder="1" applyAlignment="1">
      <alignment horizontal="right" vertical="center"/>
    </xf>
    <xf numFmtId="0" fontId="42" fillId="0" borderId="0" xfId="0" applyFont="1" applyAlignment="1">
      <alignment horizontal="center" vertical="center" wrapText="1"/>
    </xf>
    <xf numFmtId="165" fontId="43" fillId="0" borderId="0" xfId="0" applyNumberFormat="1" applyFont="1"/>
    <xf numFmtId="0" fontId="47" fillId="16" borderId="25" xfId="0" applyFont="1" applyFill="1" applyBorder="1" applyAlignment="1">
      <alignment horizontal="center" vertical="center" wrapText="1"/>
    </xf>
    <xf numFmtId="0" fontId="47" fillId="16" borderId="4" xfId="0" applyFont="1" applyFill="1" applyBorder="1" applyAlignment="1">
      <alignment horizontal="center" vertical="center" wrapText="1"/>
    </xf>
    <xf numFmtId="0" fontId="47" fillId="33" borderId="3" xfId="0" applyFont="1" applyFill="1" applyBorder="1" applyAlignment="1">
      <alignment horizontal="center" vertical="center" wrapText="1"/>
    </xf>
    <xf numFmtId="0" fontId="47" fillId="34" borderId="21" xfId="0" applyFont="1" applyFill="1" applyBorder="1" applyAlignment="1">
      <alignment horizontal="center" vertical="center" wrapText="1"/>
    </xf>
    <xf numFmtId="0" fontId="48" fillId="35" borderId="22" xfId="0" applyFont="1" applyFill="1" applyBorder="1"/>
    <xf numFmtId="0" fontId="47" fillId="34" borderId="15" xfId="0" applyFont="1" applyFill="1" applyBorder="1" applyAlignment="1">
      <alignment horizontal="center" vertical="center" wrapText="1"/>
    </xf>
    <xf numFmtId="0" fontId="48" fillId="35" borderId="16" xfId="0" applyFont="1" applyFill="1" applyBorder="1"/>
    <xf numFmtId="0" fontId="48" fillId="35" borderId="23" xfId="0" applyFont="1" applyFill="1" applyBorder="1"/>
    <xf numFmtId="0" fontId="49" fillId="36" borderId="3" xfId="0" applyFont="1" applyFill="1" applyBorder="1" applyAlignment="1">
      <alignment horizontal="center" vertical="center" wrapText="1"/>
    </xf>
    <xf numFmtId="0" fontId="47" fillId="34" borderId="4" xfId="0" applyFont="1" applyFill="1" applyBorder="1" applyAlignment="1">
      <alignment vertical="center" wrapText="1"/>
    </xf>
    <xf numFmtId="0" fontId="49" fillId="37" borderId="3" xfId="0" applyFont="1" applyFill="1" applyBorder="1" applyAlignment="1">
      <alignment horizontal="center" vertical="center" wrapText="1"/>
    </xf>
    <xf numFmtId="0" fontId="47" fillId="34" borderId="19" xfId="0" applyFont="1" applyFill="1" applyBorder="1" applyAlignment="1">
      <alignment vertical="center" wrapText="1"/>
    </xf>
    <xf numFmtId="0" fontId="47" fillId="38" borderId="24" xfId="0" applyFont="1" applyFill="1" applyBorder="1" applyAlignment="1">
      <alignment horizontal="center" vertical="center" wrapText="1"/>
    </xf>
    <xf numFmtId="0" fontId="47" fillId="38" borderId="3" xfId="0" applyFont="1" applyFill="1" applyBorder="1" applyAlignment="1">
      <alignment horizontal="center" vertical="center" wrapText="1"/>
    </xf>
    <xf numFmtId="0" fontId="47" fillId="39" borderId="3" xfId="0" applyFont="1" applyFill="1" applyBorder="1" applyAlignment="1">
      <alignment horizontal="center" vertical="center" wrapText="1"/>
    </xf>
    <xf numFmtId="10" fontId="47" fillId="39" borderId="3" xfId="0" applyNumberFormat="1" applyFont="1" applyFill="1" applyBorder="1" applyAlignment="1">
      <alignment horizontal="center" vertical="center" wrapText="1"/>
    </xf>
    <xf numFmtId="0" fontId="47" fillId="40" borderId="3" xfId="0" applyFont="1" applyFill="1" applyBorder="1" applyAlignment="1">
      <alignment horizontal="center" vertical="center" wrapText="1"/>
    </xf>
    <xf numFmtId="0" fontId="47" fillId="40" borderId="21" xfId="0" applyFont="1" applyFill="1" applyBorder="1" applyAlignment="1">
      <alignment horizontal="center" vertical="center" wrapText="1"/>
    </xf>
    <xf numFmtId="0" fontId="47" fillId="40" borderId="24" xfId="0" applyFont="1" applyFill="1" applyBorder="1" applyAlignment="1">
      <alignment horizontal="center" vertical="center" wrapText="1"/>
    </xf>
    <xf numFmtId="165" fontId="47" fillId="40" borderId="3" xfId="0" applyNumberFormat="1" applyFont="1" applyFill="1" applyBorder="1" applyAlignment="1">
      <alignment horizontal="center" vertical="center" wrapText="1"/>
    </xf>
    <xf numFmtId="0" fontId="47" fillId="33" borderId="15" xfId="0" applyFont="1" applyFill="1" applyBorder="1" applyAlignment="1">
      <alignment horizontal="center" vertical="center" wrapText="1"/>
    </xf>
    <xf numFmtId="0" fontId="47" fillId="42" borderId="3" xfId="0" applyFont="1" applyFill="1" applyBorder="1" applyAlignment="1">
      <alignment horizontal="center" vertical="center" wrapText="1"/>
    </xf>
    <xf numFmtId="0" fontId="48" fillId="35" borderId="6" xfId="0" applyFont="1" applyFill="1" applyBorder="1"/>
    <xf numFmtId="0" fontId="47" fillId="34" borderId="25" xfId="0" applyFont="1" applyFill="1" applyBorder="1" applyAlignment="1">
      <alignment horizontal="center" vertical="center" wrapText="1"/>
    </xf>
    <xf numFmtId="0" fontId="49" fillId="37" borderId="26" xfId="0" applyFont="1" applyFill="1" applyBorder="1" applyAlignment="1">
      <alignment horizontal="center" vertical="center" wrapText="1"/>
    </xf>
    <xf numFmtId="0" fontId="47" fillId="34" borderId="4" xfId="0" applyFont="1" applyFill="1" applyBorder="1" applyAlignment="1">
      <alignment horizontal="center" vertical="center" wrapText="1"/>
    </xf>
    <xf numFmtId="0" fontId="49" fillId="37" borderId="4" xfId="0" applyFont="1" applyFill="1" applyBorder="1" applyAlignment="1">
      <alignment horizontal="center" vertical="center" wrapText="1"/>
    </xf>
    <xf numFmtId="0" fontId="47" fillId="34" borderId="27" xfId="0" applyFont="1" applyFill="1" applyBorder="1" applyAlignment="1">
      <alignment horizontal="center" vertical="center" wrapText="1"/>
    </xf>
    <xf numFmtId="0" fontId="49" fillId="37" borderId="25" xfId="0" applyFont="1" applyFill="1" applyBorder="1" applyAlignment="1">
      <alignment horizontal="center" vertical="center" wrapText="1"/>
    </xf>
    <xf numFmtId="0" fontId="47" fillId="34" borderId="28" xfId="0" applyFont="1" applyFill="1" applyBorder="1" applyAlignment="1">
      <alignment horizontal="center" vertical="center" wrapText="1"/>
    </xf>
    <xf numFmtId="0" fontId="49" fillId="37" borderId="29" xfId="0" applyFont="1" applyFill="1" applyBorder="1" applyAlignment="1">
      <alignment vertical="center" wrapText="1"/>
    </xf>
    <xf numFmtId="0" fontId="48" fillId="35" borderId="30" xfId="0" applyFont="1" applyFill="1" applyBorder="1"/>
    <xf numFmtId="0" fontId="47" fillId="40" borderId="25" xfId="0" applyFont="1" applyFill="1" applyBorder="1" applyAlignment="1">
      <alignment horizontal="center" vertical="center" wrapText="1"/>
    </xf>
    <xf numFmtId="0" fontId="48" fillId="35" borderId="26" xfId="0" applyFont="1" applyFill="1" applyBorder="1"/>
    <xf numFmtId="0" fontId="47" fillId="41" borderId="25" xfId="0" applyFont="1" applyFill="1" applyBorder="1" applyAlignment="1">
      <alignment horizontal="center" vertical="center" wrapText="1"/>
    </xf>
    <xf numFmtId="0" fontId="47" fillId="33" borderId="25" xfId="0" applyFont="1" applyFill="1" applyBorder="1" applyAlignment="1">
      <alignment horizontal="center" vertical="center" wrapText="1"/>
    </xf>
    <xf numFmtId="9" fontId="44" fillId="0" borderId="4" xfId="0" applyNumberFormat="1" applyFont="1" applyFill="1" applyBorder="1" applyAlignment="1">
      <alignment horizontal="right" vertical="center"/>
    </xf>
    <xf numFmtId="168" fontId="44" fillId="0" borderId="4" xfId="0" applyNumberFormat="1" applyFont="1" applyFill="1" applyBorder="1" applyAlignment="1">
      <alignment horizontal="right" vertical="center"/>
    </xf>
    <xf numFmtId="168" fontId="44" fillId="0" borderId="4" xfId="0" applyNumberFormat="1" applyFont="1" applyFill="1" applyBorder="1" applyAlignment="1">
      <alignment vertical="center"/>
    </xf>
    <xf numFmtId="2" fontId="44" fillId="0" borderId="4" xfId="0" applyNumberFormat="1" applyFont="1" applyFill="1" applyBorder="1" applyAlignment="1">
      <alignment horizontal="center" vertical="center"/>
    </xf>
    <xf numFmtId="168" fontId="44" fillId="0" borderId="4" xfId="0" applyNumberFormat="1" applyFont="1" applyFill="1" applyBorder="1" applyAlignment="1">
      <alignment horizontal="center" vertical="center"/>
    </xf>
    <xf numFmtId="10" fontId="44" fillId="0" borderId="4" xfId="0" applyNumberFormat="1" applyFont="1" applyFill="1" applyBorder="1" applyAlignment="1">
      <alignment horizontal="center" vertical="center"/>
    </xf>
    <xf numFmtId="43" fontId="44" fillId="0" borderId="4" xfId="1" applyFont="1" applyFill="1" applyBorder="1" applyAlignment="1">
      <alignment horizontal="center" vertical="center"/>
    </xf>
    <xf numFmtId="43" fontId="44" fillId="0" borderId="4" xfId="1" applyFont="1" applyFill="1" applyBorder="1" applyAlignment="1">
      <alignment vertical="center"/>
    </xf>
    <xf numFmtId="43" fontId="44" fillId="0" borderId="25" xfId="1" applyFont="1" applyFill="1" applyBorder="1" applyAlignment="1">
      <alignment horizontal="center" vertical="center"/>
    </xf>
    <xf numFmtId="165" fontId="44" fillId="0" borderId="4" xfId="0" applyNumberFormat="1" applyFont="1" applyFill="1" applyBorder="1" applyAlignment="1">
      <alignment horizontal="center" vertical="center"/>
    </xf>
    <xf numFmtId="9" fontId="46" fillId="0" borderId="4" xfId="0" applyNumberFormat="1" applyFont="1" applyFill="1" applyBorder="1" applyAlignment="1">
      <alignment horizontal="right" vertical="center"/>
    </xf>
    <xf numFmtId="43" fontId="44" fillId="0" borderId="4" xfId="1" applyFont="1" applyFill="1" applyBorder="1" applyAlignment="1">
      <alignment horizontal="center"/>
    </xf>
    <xf numFmtId="43" fontId="43" fillId="0" borderId="4" xfId="1" applyFont="1" applyFill="1" applyBorder="1"/>
    <xf numFmtId="43" fontId="44" fillId="0" borderId="4" xfId="1" applyFont="1" applyFill="1" applyBorder="1" applyAlignment="1">
      <alignment horizontal="right"/>
    </xf>
    <xf numFmtId="0" fontId="44" fillId="0" borderId="4" xfId="0" applyFont="1" applyFill="1" applyBorder="1"/>
    <xf numFmtId="43" fontId="44" fillId="0" borderId="4" xfId="1" applyFont="1" applyFill="1" applyBorder="1"/>
    <xf numFmtId="166" fontId="44" fillId="0" borderId="4" xfId="0" applyNumberFormat="1" applyFont="1" applyFill="1" applyBorder="1" applyAlignment="1">
      <alignment horizontal="right" vertical="center"/>
    </xf>
    <xf numFmtId="0" fontId="47" fillId="38" borderId="21" xfId="0" applyFont="1" applyFill="1" applyBorder="1" applyAlignment="1">
      <alignment horizontal="center" vertical="center" wrapText="1"/>
    </xf>
    <xf numFmtId="0" fontId="47" fillId="38" borderId="63" xfId="0" applyFont="1" applyFill="1" applyBorder="1" applyAlignment="1">
      <alignment horizontal="center" vertical="center" wrapText="1"/>
    </xf>
    <xf numFmtId="166" fontId="44" fillId="0" borderId="25" xfId="0" applyNumberFormat="1" applyFont="1" applyFill="1" applyBorder="1" applyAlignment="1">
      <alignment horizontal="right" vertical="center"/>
    </xf>
    <xf numFmtId="0" fontId="47" fillId="38" borderId="69" xfId="0" applyFont="1" applyFill="1" applyBorder="1" applyAlignment="1">
      <alignment horizontal="center" vertical="center" wrapText="1"/>
    </xf>
    <xf numFmtId="0" fontId="47" fillId="38" borderId="70" xfId="0" applyFont="1" applyFill="1" applyBorder="1" applyAlignment="1">
      <alignment horizontal="center" vertical="center" wrapText="1"/>
    </xf>
    <xf numFmtId="0" fontId="47" fillId="39" borderId="25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left" vertical="center"/>
    </xf>
    <xf numFmtId="167" fontId="44" fillId="0" borderId="3" xfId="0" applyNumberFormat="1" applyFont="1" applyBorder="1" applyAlignment="1">
      <alignment vertical="center"/>
    </xf>
    <xf numFmtId="169" fontId="44" fillId="0" borderId="3" xfId="0" applyNumberFormat="1" applyFont="1" applyBorder="1" applyAlignment="1">
      <alignment horizontal="right" vertical="center"/>
    </xf>
    <xf numFmtId="167" fontId="44" fillId="0" borderId="3" xfId="0" applyNumberFormat="1" applyFont="1" applyBorder="1" applyAlignment="1">
      <alignment horizontal="right" vertical="center"/>
    </xf>
    <xf numFmtId="168" fontId="44" fillId="0" borderId="3" xfId="0" applyNumberFormat="1" applyFont="1" applyBorder="1" applyAlignment="1">
      <alignment horizontal="center" vertical="center"/>
    </xf>
    <xf numFmtId="166" fontId="44" fillId="0" borderId="3" xfId="0" applyNumberFormat="1" applyFont="1" applyBorder="1" applyAlignment="1">
      <alignment horizontal="center" vertical="center"/>
    </xf>
    <xf numFmtId="9" fontId="44" fillId="0" borderId="3" xfId="0" applyNumberFormat="1" applyFont="1" applyFill="1" applyBorder="1" applyAlignment="1">
      <alignment horizontal="right" vertical="center"/>
    </xf>
    <xf numFmtId="168" fontId="44" fillId="0" borderId="3" xfId="0" applyNumberFormat="1" applyFont="1" applyFill="1" applyBorder="1" applyAlignment="1">
      <alignment horizontal="right" vertical="center"/>
    </xf>
    <xf numFmtId="166" fontId="44" fillId="0" borderId="3" xfId="0" applyNumberFormat="1" applyFont="1" applyFill="1" applyBorder="1" applyAlignment="1">
      <alignment horizontal="right" vertical="center"/>
    </xf>
    <xf numFmtId="168" fontId="44" fillId="0" borderId="3" xfId="0" applyNumberFormat="1" applyFont="1" applyFill="1" applyBorder="1" applyAlignment="1">
      <alignment vertical="center"/>
    </xf>
    <xf numFmtId="2" fontId="44" fillId="0" borderId="3" xfId="0" applyNumberFormat="1" applyFont="1" applyFill="1" applyBorder="1" applyAlignment="1">
      <alignment horizontal="center" vertical="center"/>
    </xf>
    <xf numFmtId="168" fontId="44" fillId="0" borderId="3" xfId="0" applyNumberFormat="1" applyFont="1" applyFill="1" applyBorder="1" applyAlignment="1">
      <alignment horizontal="center" vertical="center"/>
    </xf>
    <xf numFmtId="10" fontId="44" fillId="0" borderId="3" xfId="0" applyNumberFormat="1" applyFont="1" applyFill="1" applyBorder="1" applyAlignment="1">
      <alignment horizontal="center" vertical="center"/>
    </xf>
    <xf numFmtId="43" fontId="44" fillId="0" borderId="3" xfId="1" applyFont="1" applyFill="1" applyBorder="1" applyAlignment="1">
      <alignment horizontal="center"/>
    </xf>
    <xf numFmtId="43" fontId="43" fillId="0" borderId="3" xfId="1" applyFont="1" applyFill="1" applyBorder="1"/>
    <xf numFmtId="43" fontId="44" fillId="0" borderId="3" xfId="1" applyFont="1" applyFill="1" applyBorder="1" applyAlignment="1">
      <alignment horizontal="right"/>
    </xf>
    <xf numFmtId="165" fontId="44" fillId="0" borderId="3" xfId="0" applyNumberFormat="1" applyFont="1" applyFill="1" applyBorder="1" applyAlignment="1">
      <alignment horizontal="center" vertical="center"/>
    </xf>
    <xf numFmtId="168" fontId="44" fillId="0" borderId="3" xfId="0" applyNumberFormat="1" applyFont="1" applyBorder="1" applyAlignment="1">
      <alignment horizontal="right"/>
    </xf>
    <xf numFmtId="10" fontId="44" fillId="0" borderId="3" xfId="0" applyNumberFormat="1" applyFont="1" applyBorder="1" applyAlignment="1">
      <alignment horizontal="center" vertical="center"/>
    </xf>
    <xf numFmtId="0" fontId="42" fillId="0" borderId="68" xfId="0" applyFont="1" applyBorder="1" applyAlignment="1">
      <alignment horizontal="center" vertical="center" wrapText="1"/>
    </xf>
    <xf numFmtId="168" fontId="42" fillId="0" borderId="68" xfId="0" applyNumberFormat="1" applyFont="1" applyBorder="1" applyAlignment="1">
      <alignment horizontal="center" vertical="center" wrapText="1"/>
    </xf>
    <xf numFmtId="166" fontId="42" fillId="0" borderId="68" xfId="0" applyNumberFormat="1" applyFont="1" applyBorder="1" applyAlignment="1">
      <alignment horizontal="center" vertical="center" wrapText="1"/>
    </xf>
    <xf numFmtId="2" fontId="42" fillId="0" borderId="68" xfId="0" applyNumberFormat="1" applyFont="1" applyBorder="1" applyAlignment="1">
      <alignment horizontal="center" vertical="center" wrapText="1"/>
    </xf>
    <xf numFmtId="168" fontId="44" fillId="19" borderId="3" xfId="0" applyNumberFormat="1" applyFont="1" applyFill="1" applyBorder="1" applyAlignment="1">
      <alignment vertical="center"/>
    </xf>
    <xf numFmtId="168" fontId="44" fillId="19" borderId="47" xfId="0" applyNumberFormat="1" applyFont="1" applyFill="1" applyBorder="1" applyAlignment="1">
      <alignment vertical="center"/>
    </xf>
    <xf numFmtId="165" fontId="42" fillId="0" borderId="68" xfId="0" applyNumberFormat="1" applyFont="1" applyBorder="1" applyAlignment="1">
      <alignment horizontal="center" vertical="center" wrapText="1"/>
    </xf>
    <xf numFmtId="43" fontId="41" fillId="0" borderId="0" xfId="0" applyNumberFormat="1" applyFont="1"/>
    <xf numFmtId="10" fontId="42" fillId="0" borderId="68" xfId="0" applyNumberFormat="1" applyFont="1" applyFill="1" applyBorder="1" applyAlignment="1">
      <alignment horizontal="center" vertical="center"/>
    </xf>
    <xf numFmtId="0" fontId="47" fillId="40" borderId="63" xfId="0" applyFont="1" applyFill="1" applyBorder="1" applyAlignment="1">
      <alignment horizontal="center" vertical="center" wrapText="1"/>
    </xf>
    <xf numFmtId="0" fontId="47" fillId="41" borderId="69" xfId="0" applyFont="1" applyFill="1" applyBorder="1" applyAlignment="1">
      <alignment horizontal="center" vertical="center" wrapText="1"/>
    </xf>
    <xf numFmtId="0" fontId="47" fillId="41" borderId="70" xfId="0" applyFont="1" applyFill="1" applyBorder="1" applyAlignment="1">
      <alignment horizontal="center" vertical="center" wrapText="1"/>
    </xf>
    <xf numFmtId="0" fontId="42" fillId="43" borderId="3" xfId="0" applyFont="1" applyFill="1" applyBorder="1" applyAlignment="1">
      <alignment horizontal="center" vertical="center" wrapText="1"/>
    </xf>
    <xf numFmtId="0" fontId="42" fillId="43" borderId="2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78">
    <dxf>
      <font>
        <b/>
        <color rgb="FFFF0000"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14" formatCode="0.00%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4" formatCode="#,##0.00"/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0000"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numFmt numFmtId="2" formatCode="0.00"/>
      <fill>
        <patternFill patternType="solid">
          <fgColor rgb="FFD0CECE"/>
          <bgColor rgb="FFD0CECE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120"/>
  <sheetViews>
    <sheetView workbookViewId="0"/>
  </sheetViews>
  <sheetFormatPr defaultColWidth="14.453125" defaultRowHeight="15" customHeight="1" x14ac:dyDescent="0.35"/>
  <cols>
    <col min="1" max="1" width="4.453125" customWidth="1"/>
  </cols>
  <sheetData>
    <row r="1" spans="1:23" x14ac:dyDescent="0.3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23" x14ac:dyDescent="0.35">
      <c r="B2" s="1" t="s">
        <v>2</v>
      </c>
      <c r="C2" s="2"/>
      <c r="D2" s="2"/>
      <c r="E2" s="2"/>
      <c r="F2" s="2"/>
      <c r="G2" s="2"/>
      <c r="H2" s="2"/>
      <c r="I2" s="2"/>
      <c r="J2" s="2"/>
      <c r="K2" s="2"/>
    </row>
    <row r="3" spans="1:23" x14ac:dyDescent="0.35">
      <c r="C3" s="2"/>
      <c r="D3" s="2"/>
      <c r="E3" s="2"/>
      <c r="F3" s="2"/>
      <c r="G3" s="2"/>
      <c r="H3" s="2"/>
      <c r="I3" s="2"/>
      <c r="J3" s="2"/>
      <c r="K3" s="2"/>
    </row>
    <row r="4" spans="1:23" x14ac:dyDescent="0.35">
      <c r="A4" s="376">
        <v>1</v>
      </c>
      <c r="B4" s="5" t="s">
        <v>4</v>
      </c>
      <c r="C4" s="6">
        <v>46023</v>
      </c>
      <c r="D4" s="6">
        <v>46054</v>
      </c>
      <c r="E4" s="6">
        <v>46082</v>
      </c>
      <c r="F4" s="7"/>
      <c r="G4" s="7"/>
      <c r="H4" s="7"/>
      <c r="I4" s="7"/>
      <c r="J4" s="7"/>
      <c r="K4" s="7"/>
    </row>
    <row r="5" spans="1:23" x14ac:dyDescent="0.35">
      <c r="A5" s="377"/>
      <c r="B5" s="8" t="s">
        <v>5</v>
      </c>
      <c r="C5" s="9">
        <v>575689.5</v>
      </c>
      <c r="D5" s="9">
        <v>494977.5</v>
      </c>
      <c r="E5" s="9">
        <v>519613.5</v>
      </c>
      <c r="F5" s="2"/>
      <c r="G5" s="2"/>
      <c r="H5" s="2"/>
      <c r="I5" s="2"/>
      <c r="J5" s="2"/>
      <c r="K5" s="2"/>
    </row>
    <row r="6" spans="1:23" x14ac:dyDescent="0.35">
      <c r="A6" s="377"/>
      <c r="B6" s="8" t="s">
        <v>6</v>
      </c>
      <c r="C6" s="9">
        <v>385184.17</v>
      </c>
      <c r="D6" s="9">
        <v>331160.57</v>
      </c>
      <c r="E6" s="9">
        <v>347500.32</v>
      </c>
      <c r="F6" s="2"/>
      <c r="G6" s="2"/>
      <c r="H6" s="2"/>
      <c r="I6" s="2"/>
      <c r="J6" s="2"/>
      <c r="K6" s="2"/>
    </row>
    <row r="7" spans="1:23" x14ac:dyDescent="0.35">
      <c r="A7" s="377"/>
      <c r="B7" s="8" t="s">
        <v>7</v>
      </c>
      <c r="C7" s="9">
        <v>141054.70000000001</v>
      </c>
      <c r="D7" s="9">
        <v>135657.29</v>
      </c>
      <c r="E7" s="9">
        <v>126503.24</v>
      </c>
      <c r="F7" s="2"/>
      <c r="G7" s="2"/>
      <c r="H7" s="2"/>
      <c r="I7" s="2"/>
      <c r="J7" s="2"/>
      <c r="K7" s="2"/>
    </row>
    <row r="8" spans="1:23" x14ac:dyDescent="0.35">
      <c r="A8" s="378"/>
      <c r="B8" s="9" t="s">
        <v>8</v>
      </c>
      <c r="C8" s="9">
        <f t="shared" ref="C8:E8" si="0">C5-C6-C7</f>
        <v>49450.630000000005</v>
      </c>
      <c r="D8" s="9">
        <f t="shared" si="0"/>
        <v>28159.639999999985</v>
      </c>
      <c r="E8" s="9">
        <f t="shared" si="0"/>
        <v>45609.939999999988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5">
      <c r="C9" s="2"/>
      <c r="D9" s="2"/>
      <c r="E9" s="2"/>
      <c r="F9" s="2"/>
      <c r="G9" s="2"/>
      <c r="H9" s="2"/>
      <c r="I9" s="2"/>
      <c r="J9" s="2"/>
      <c r="K9" s="2"/>
    </row>
    <row r="10" spans="1:23" x14ac:dyDescent="0.35">
      <c r="C10" s="2"/>
      <c r="D10" s="2"/>
      <c r="E10" s="2"/>
      <c r="F10" s="2"/>
      <c r="G10" s="2"/>
      <c r="H10" s="2"/>
      <c r="I10" s="2"/>
      <c r="J10" s="2"/>
      <c r="K10" s="2"/>
    </row>
    <row r="11" spans="1:23" x14ac:dyDescent="0.35">
      <c r="A11" s="376">
        <v>2</v>
      </c>
      <c r="B11" s="5" t="s">
        <v>9</v>
      </c>
      <c r="C11" s="6">
        <v>46023</v>
      </c>
      <c r="D11" s="6">
        <v>46054</v>
      </c>
      <c r="E11" s="6">
        <v>46082</v>
      </c>
      <c r="F11" s="7"/>
      <c r="G11" s="7"/>
      <c r="H11" s="7"/>
      <c r="I11" s="7"/>
      <c r="J11" s="7"/>
      <c r="K11" s="7"/>
    </row>
    <row r="12" spans="1:23" x14ac:dyDescent="0.35">
      <c r="A12" s="377"/>
      <c r="B12" s="8" t="s">
        <v>5</v>
      </c>
      <c r="C12" s="9">
        <v>824216</v>
      </c>
      <c r="D12" s="9">
        <v>668379</v>
      </c>
      <c r="E12" s="9">
        <v>730344</v>
      </c>
      <c r="F12" s="2"/>
      <c r="G12" s="2"/>
      <c r="H12" s="2"/>
      <c r="I12" s="2"/>
      <c r="J12" s="2"/>
      <c r="K12" s="2"/>
    </row>
    <row r="13" spans="1:23" x14ac:dyDescent="0.35">
      <c r="A13" s="377"/>
      <c r="B13" s="8" t="s">
        <v>6</v>
      </c>
      <c r="C13" s="9">
        <v>552617.61</v>
      </c>
      <c r="D13" s="9">
        <v>448218.2</v>
      </c>
      <c r="E13" s="9">
        <v>489400.4</v>
      </c>
      <c r="F13" s="2"/>
      <c r="G13" s="2"/>
      <c r="H13" s="2"/>
      <c r="I13" s="2"/>
      <c r="J13" s="2"/>
      <c r="K13" s="2"/>
    </row>
    <row r="14" spans="1:23" x14ac:dyDescent="0.35">
      <c r="A14" s="377"/>
      <c r="B14" s="8" t="s">
        <v>7</v>
      </c>
      <c r="C14" s="9">
        <v>207819</v>
      </c>
      <c r="D14" s="9">
        <v>203708.17</v>
      </c>
      <c r="E14" s="9">
        <v>176377.34</v>
      </c>
      <c r="F14" s="2"/>
      <c r="G14" s="2"/>
      <c r="H14" s="2"/>
      <c r="I14" s="2"/>
      <c r="J14" s="2"/>
      <c r="K14" s="2"/>
    </row>
    <row r="15" spans="1:23" x14ac:dyDescent="0.35">
      <c r="A15" s="378"/>
      <c r="B15" s="9" t="s">
        <v>8</v>
      </c>
      <c r="C15" s="9">
        <f t="shared" ref="C15:E15" si="1">C12-C13-C14</f>
        <v>63779.390000000014</v>
      </c>
      <c r="D15" s="9">
        <f t="shared" si="1"/>
        <v>16452.629999999976</v>
      </c>
      <c r="E15" s="9">
        <f t="shared" si="1"/>
        <v>64566.25999999998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5">
      <c r="A18" s="376">
        <v>3</v>
      </c>
      <c r="B18" s="5" t="s">
        <v>11</v>
      </c>
      <c r="C18" s="6">
        <v>46023</v>
      </c>
      <c r="D18" s="6">
        <v>46054</v>
      </c>
      <c r="E18" s="6">
        <v>46082</v>
      </c>
      <c r="F18" s="7"/>
      <c r="G18" s="7"/>
      <c r="H18" s="7"/>
      <c r="I18" s="7"/>
      <c r="J18" s="7"/>
      <c r="K18" s="7"/>
    </row>
    <row r="19" spans="1:11" x14ac:dyDescent="0.35">
      <c r="A19" s="377"/>
      <c r="B19" s="8" t="s">
        <v>5</v>
      </c>
      <c r="C19" s="9">
        <v>610111</v>
      </c>
      <c r="D19" s="9">
        <v>545964.5</v>
      </c>
      <c r="E19" s="9">
        <v>612575</v>
      </c>
      <c r="F19" s="2"/>
      <c r="G19" s="2"/>
      <c r="H19" s="2"/>
      <c r="I19" s="2"/>
      <c r="J19" s="2"/>
      <c r="K19" s="2"/>
    </row>
    <row r="20" spans="1:11" x14ac:dyDescent="0.35">
      <c r="A20" s="377"/>
      <c r="B20" s="8" t="s">
        <v>6</v>
      </c>
      <c r="C20" s="9">
        <v>411472.29</v>
      </c>
      <c r="D20" s="9">
        <v>368801.04</v>
      </c>
      <c r="E20" s="9">
        <v>412999.13</v>
      </c>
      <c r="F20" s="2"/>
      <c r="G20" s="2"/>
      <c r="H20" s="2"/>
      <c r="I20" s="2"/>
      <c r="J20" s="2"/>
      <c r="K20" s="2"/>
    </row>
    <row r="21" spans="1:11" x14ac:dyDescent="0.35">
      <c r="A21" s="377"/>
      <c r="B21" s="8" t="s">
        <v>7</v>
      </c>
      <c r="C21" s="9">
        <v>156442.81</v>
      </c>
      <c r="D21" s="9">
        <v>167634.74</v>
      </c>
      <c r="E21" s="9">
        <v>143738.43</v>
      </c>
      <c r="F21" s="2"/>
      <c r="G21" s="2"/>
      <c r="H21" s="2"/>
      <c r="I21" s="2"/>
      <c r="J21" s="2"/>
      <c r="K21" s="2"/>
    </row>
    <row r="22" spans="1:11" x14ac:dyDescent="0.35">
      <c r="A22" s="378"/>
      <c r="B22" s="8" t="s">
        <v>8</v>
      </c>
      <c r="C22" s="9">
        <f t="shared" ref="C22:E22" si="2">C19-C20-C21</f>
        <v>42195.900000000023</v>
      </c>
      <c r="D22" s="9">
        <f t="shared" si="2"/>
        <v>9528.7200000000303</v>
      </c>
      <c r="E22" s="9">
        <f t="shared" si="2"/>
        <v>55837.440000000002</v>
      </c>
      <c r="F22" s="2"/>
      <c r="G22" s="2"/>
      <c r="H22" s="2"/>
      <c r="I22" s="2"/>
      <c r="J22" s="2"/>
      <c r="K22" s="2"/>
    </row>
    <row r="23" spans="1:11" x14ac:dyDescent="0.35"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35"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35">
      <c r="A25" s="376">
        <v>4</v>
      </c>
      <c r="B25" s="5" t="s">
        <v>14</v>
      </c>
      <c r="C25" s="6">
        <v>46023</v>
      </c>
      <c r="D25" s="6">
        <v>46054</v>
      </c>
      <c r="E25" s="6">
        <v>46082</v>
      </c>
      <c r="F25" s="7"/>
      <c r="G25" s="7"/>
      <c r="H25" s="7"/>
      <c r="I25" s="7"/>
      <c r="J25" s="7"/>
      <c r="K25" s="7"/>
    </row>
    <row r="26" spans="1:11" x14ac:dyDescent="0.35">
      <c r="A26" s="377"/>
      <c r="B26" s="8" t="s">
        <v>5</v>
      </c>
      <c r="C26" s="9">
        <v>304710.5</v>
      </c>
      <c r="D26" s="9">
        <v>288500</v>
      </c>
      <c r="E26" s="9">
        <v>321537</v>
      </c>
      <c r="F26" s="2"/>
      <c r="G26" s="2"/>
      <c r="H26" s="2"/>
      <c r="I26" s="2"/>
      <c r="J26" s="2"/>
      <c r="K26" s="2"/>
    </row>
    <row r="27" spans="1:11" x14ac:dyDescent="0.35">
      <c r="A27" s="377"/>
      <c r="B27" s="8" t="s">
        <v>6</v>
      </c>
      <c r="C27" s="9">
        <v>203245.08</v>
      </c>
      <c r="D27" s="9">
        <v>193568.3</v>
      </c>
      <c r="E27" s="9">
        <v>214530.92</v>
      </c>
      <c r="F27" s="2"/>
      <c r="G27" s="2"/>
      <c r="H27" s="2"/>
      <c r="I27" s="2"/>
      <c r="J27" s="2"/>
      <c r="K27" s="2"/>
    </row>
    <row r="28" spans="1:11" x14ac:dyDescent="0.35">
      <c r="A28" s="377"/>
      <c r="B28" s="8" t="s">
        <v>7</v>
      </c>
      <c r="C28" s="9">
        <v>93880.29</v>
      </c>
      <c r="D28" s="9">
        <v>99903.41</v>
      </c>
      <c r="E28" s="9">
        <v>89396.54</v>
      </c>
      <c r="F28" s="2"/>
      <c r="G28" s="2"/>
      <c r="H28" s="2"/>
      <c r="I28" s="2"/>
      <c r="J28" s="2"/>
      <c r="K28" s="2"/>
    </row>
    <row r="29" spans="1:11" x14ac:dyDescent="0.35">
      <c r="A29" s="378"/>
      <c r="B29" s="8" t="s">
        <v>8</v>
      </c>
      <c r="C29" s="9">
        <f t="shared" ref="C29:E29" si="3">C26-C27-C28</f>
        <v>7585.1300000000192</v>
      </c>
      <c r="D29" s="9">
        <f t="shared" si="3"/>
        <v>-4971.7099999999919</v>
      </c>
      <c r="E29" s="9">
        <f t="shared" si="3"/>
        <v>17609.539999999994</v>
      </c>
      <c r="F29" s="2"/>
      <c r="G29" s="2"/>
      <c r="H29" s="2"/>
      <c r="I29" s="2"/>
      <c r="J29" s="2"/>
      <c r="K29" s="2"/>
    </row>
    <row r="30" spans="1:11" x14ac:dyDescent="0.35"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35"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35">
      <c r="A32" s="376">
        <v>5</v>
      </c>
      <c r="B32" s="5" t="s">
        <v>15</v>
      </c>
      <c r="C32" s="6">
        <v>46023</v>
      </c>
      <c r="D32" s="6">
        <v>46054</v>
      </c>
      <c r="E32" s="6">
        <v>46082</v>
      </c>
      <c r="F32" s="7"/>
      <c r="G32" s="7"/>
      <c r="H32" s="7"/>
      <c r="I32" s="7"/>
      <c r="J32" s="7"/>
      <c r="K32" s="7"/>
    </row>
    <row r="33" spans="1:11" x14ac:dyDescent="0.35">
      <c r="A33" s="377"/>
      <c r="B33" s="8" t="s">
        <v>5</v>
      </c>
      <c r="C33" s="9">
        <v>550265</v>
      </c>
      <c r="D33" s="9">
        <v>505422</v>
      </c>
      <c r="E33" s="9">
        <v>569205</v>
      </c>
      <c r="F33" s="2"/>
      <c r="G33" s="2"/>
      <c r="H33" s="2"/>
      <c r="I33" s="2"/>
      <c r="J33" s="2"/>
      <c r="K33" s="2"/>
    </row>
    <row r="34" spans="1:11" x14ac:dyDescent="0.35">
      <c r="A34" s="377"/>
      <c r="B34" s="8" t="s">
        <v>6</v>
      </c>
      <c r="C34" s="9">
        <v>369484.17</v>
      </c>
      <c r="D34" s="9">
        <v>338901.17</v>
      </c>
      <c r="E34" s="9">
        <v>382404.08</v>
      </c>
      <c r="F34" s="2"/>
      <c r="G34" s="2"/>
      <c r="H34" s="2"/>
      <c r="I34" s="2"/>
      <c r="J34" s="2"/>
      <c r="K34" s="2"/>
    </row>
    <row r="35" spans="1:11" x14ac:dyDescent="0.35">
      <c r="A35" s="377"/>
      <c r="B35" s="8" t="s">
        <v>7</v>
      </c>
      <c r="C35" s="9">
        <v>176413.58</v>
      </c>
      <c r="D35" s="9">
        <v>161950.04</v>
      </c>
      <c r="E35" s="9">
        <v>159564.85</v>
      </c>
      <c r="F35" s="2"/>
      <c r="G35" s="2"/>
      <c r="H35" s="2"/>
      <c r="I35" s="2"/>
      <c r="J35" s="2"/>
      <c r="K35" s="2"/>
    </row>
    <row r="36" spans="1:11" x14ac:dyDescent="0.35">
      <c r="A36" s="378"/>
      <c r="B36" s="8" t="s">
        <v>8</v>
      </c>
      <c r="C36" s="9">
        <f t="shared" ref="C36:E36" si="4">C33-C34-C35</f>
        <v>4367.2500000000291</v>
      </c>
      <c r="D36" s="9">
        <f t="shared" si="4"/>
        <v>4570.7900000000081</v>
      </c>
      <c r="E36" s="9">
        <f t="shared" si="4"/>
        <v>27236.069999999978</v>
      </c>
      <c r="F36" s="2"/>
      <c r="G36" s="2"/>
      <c r="H36" s="2"/>
      <c r="I36" s="2"/>
      <c r="J36" s="2"/>
      <c r="K36" s="2"/>
    </row>
    <row r="37" spans="1:11" x14ac:dyDescent="0.35"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35"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35">
      <c r="A39" s="376">
        <v>6</v>
      </c>
      <c r="B39" s="5" t="s">
        <v>20</v>
      </c>
      <c r="C39" s="6">
        <v>46023</v>
      </c>
      <c r="D39" s="6">
        <v>46054</v>
      </c>
      <c r="E39" s="6">
        <v>46082</v>
      </c>
      <c r="F39" s="7"/>
      <c r="G39" s="7"/>
      <c r="H39" s="7"/>
      <c r="I39" s="7"/>
      <c r="J39" s="7"/>
      <c r="K39" s="7"/>
    </row>
    <row r="40" spans="1:11" x14ac:dyDescent="0.35">
      <c r="A40" s="377"/>
      <c r="B40" s="8" t="s">
        <v>5</v>
      </c>
      <c r="C40" s="9">
        <v>623237</v>
      </c>
      <c r="D40" s="9">
        <v>519687.5</v>
      </c>
      <c r="E40" s="9">
        <v>560768</v>
      </c>
      <c r="F40" s="2"/>
      <c r="G40" s="2"/>
      <c r="H40" s="2"/>
      <c r="I40" s="2"/>
      <c r="J40" s="2"/>
      <c r="K40" s="2"/>
    </row>
    <row r="41" spans="1:11" x14ac:dyDescent="0.35">
      <c r="A41" s="377"/>
      <c r="B41" s="8" t="s">
        <v>6</v>
      </c>
      <c r="C41" s="9">
        <v>419147.42</v>
      </c>
      <c r="D41" s="9">
        <v>349199.05</v>
      </c>
      <c r="E41" s="9">
        <v>376312.23</v>
      </c>
      <c r="F41" s="2"/>
      <c r="G41" s="2"/>
      <c r="H41" s="2"/>
      <c r="I41" s="2"/>
      <c r="J41" s="2"/>
      <c r="K41" s="2"/>
    </row>
    <row r="42" spans="1:11" x14ac:dyDescent="0.35">
      <c r="A42" s="377"/>
      <c r="B42" s="8" t="s">
        <v>7</v>
      </c>
      <c r="C42" s="9">
        <v>182544.55</v>
      </c>
      <c r="D42" s="9">
        <v>136610.82999999999</v>
      </c>
      <c r="E42" s="9">
        <v>150903.62</v>
      </c>
      <c r="F42" s="2"/>
      <c r="G42" s="2"/>
      <c r="H42" s="2"/>
      <c r="I42" s="2"/>
      <c r="J42" s="2"/>
      <c r="K42" s="2"/>
    </row>
    <row r="43" spans="1:11" x14ac:dyDescent="0.35">
      <c r="A43" s="378"/>
      <c r="B43" s="8" t="s">
        <v>8</v>
      </c>
      <c r="C43" s="9">
        <f t="shared" ref="C43:E43" si="5">C40-C41-C42</f>
        <v>21545.030000000028</v>
      </c>
      <c r="D43" s="9">
        <f t="shared" si="5"/>
        <v>33877.620000000024</v>
      </c>
      <c r="E43" s="9">
        <f t="shared" si="5"/>
        <v>33552.150000000023</v>
      </c>
      <c r="F43" s="2"/>
      <c r="G43" s="2"/>
      <c r="H43" s="2"/>
      <c r="I43" s="2"/>
      <c r="J43" s="2"/>
      <c r="K43" s="2"/>
    </row>
    <row r="44" spans="1:11" x14ac:dyDescent="0.35"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5"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5">
      <c r="A46" s="376">
        <v>7</v>
      </c>
      <c r="B46" s="5" t="s">
        <v>39</v>
      </c>
      <c r="C46" s="6">
        <v>46023</v>
      </c>
      <c r="D46" s="6">
        <v>46054</v>
      </c>
      <c r="E46" s="6">
        <v>46082</v>
      </c>
      <c r="F46" s="7"/>
      <c r="G46" s="7"/>
      <c r="H46" s="7"/>
      <c r="I46" s="7"/>
      <c r="J46" s="7"/>
      <c r="K46" s="7"/>
    </row>
    <row r="47" spans="1:11" x14ac:dyDescent="0.35">
      <c r="A47" s="377"/>
      <c r="B47" s="8" t="s">
        <v>5</v>
      </c>
      <c r="C47" s="9">
        <v>1092355</v>
      </c>
      <c r="D47" s="9">
        <v>949506.5</v>
      </c>
      <c r="E47" s="9">
        <v>1085109</v>
      </c>
      <c r="F47" s="2"/>
      <c r="G47" s="2"/>
      <c r="H47" s="2"/>
      <c r="I47" s="2"/>
      <c r="J47" s="2"/>
      <c r="K47" s="2"/>
    </row>
    <row r="48" spans="1:11" x14ac:dyDescent="0.35">
      <c r="A48" s="377"/>
      <c r="B48" s="8" t="s">
        <v>6</v>
      </c>
      <c r="C48" s="9">
        <v>740138.61</v>
      </c>
      <c r="D48" s="9">
        <v>643565.89</v>
      </c>
      <c r="E48" s="9">
        <v>734897.52</v>
      </c>
      <c r="F48" s="2"/>
      <c r="G48" s="2"/>
      <c r="H48" s="2"/>
      <c r="I48" s="2"/>
      <c r="J48" s="2"/>
      <c r="K48" s="2"/>
    </row>
    <row r="49" spans="1:11" x14ac:dyDescent="0.35">
      <c r="A49" s="377"/>
      <c r="B49" s="8" t="s">
        <v>7</v>
      </c>
      <c r="C49" s="9">
        <v>232540.1</v>
      </c>
      <c r="D49" s="9">
        <v>209121.08</v>
      </c>
      <c r="E49" s="9">
        <v>207575.54</v>
      </c>
      <c r="F49" s="2"/>
      <c r="G49" s="2"/>
      <c r="H49" s="2"/>
      <c r="I49" s="2"/>
      <c r="J49" s="2"/>
      <c r="K49" s="2"/>
    </row>
    <row r="50" spans="1:11" x14ac:dyDescent="0.35">
      <c r="A50" s="378"/>
      <c r="B50" s="8" t="s">
        <v>8</v>
      </c>
      <c r="C50" s="9">
        <f t="shared" ref="C50:E50" si="6">C47-C48-C49</f>
        <v>119676.29000000001</v>
      </c>
      <c r="D50" s="9">
        <f t="shared" si="6"/>
        <v>96819.53</v>
      </c>
      <c r="E50" s="9">
        <f t="shared" si="6"/>
        <v>142635.93999999997</v>
      </c>
      <c r="F50" s="2"/>
      <c r="G50" s="2"/>
      <c r="H50" s="2"/>
      <c r="I50" s="2"/>
      <c r="J50" s="2"/>
      <c r="K50" s="2"/>
    </row>
    <row r="51" spans="1:11" x14ac:dyDescent="0.35"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5"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5">
      <c r="A53" s="376">
        <v>8</v>
      </c>
      <c r="B53" s="5" t="s">
        <v>61</v>
      </c>
      <c r="C53" s="6">
        <v>46023</v>
      </c>
      <c r="D53" s="6">
        <v>46054</v>
      </c>
      <c r="E53" s="6">
        <v>46082</v>
      </c>
      <c r="F53" s="7"/>
      <c r="G53" s="7"/>
      <c r="H53" s="7"/>
      <c r="I53" s="7"/>
      <c r="J53" s="7"/>
      <c r="K53" s="7"/>
    </row>
    <row r="54" spans="1:11" x14ac:dyDescent="0.35">
      <c r="A54" s="377"/>
      <c r="B54" s="8" t="s">
        <v>5</v>
      </c>
      <c r="C54" s="9">
        <v>468779</v>
      </c>
      <c r="D54" s="9">
        <v>389125.5</v>
      </c>
      <c r="E54" s="9">
        <v>443250</v>
      </c>
      <c r="F54" s="2"/>
      <c r="G54" s="2"/>
      <c r="H54" s="2"/>
      <c r="I54" s="2"/>
      <c r="J54" s="2"/>
      <c r="K54" s="2"/>
    </row>
    <row r="55" spans="1:11" x14ac:dyDescent="0.35">
      <c r="A55" s="377"/>
      <c r="B55" s="8" t="s">
        <v>6</v>
      </c>
      <c r="C55" s="9">
        <v>316349.25</v>
      </c>
      <c r="D55" s="9">
        <v>263201.5</v>
      </c>
      <c r="E55" s="9">
        <v>301039.26</v>
      </c>
      <c r="F55" s="2"/>
      <c r="G55" s="2"/>
      <c r="H55" s="2"/>
      <c r="I55" s="2"/>
      <c r="J55" s="2"/>
      <c r="K55" s="2"/>
    </row>
    <row r="56" spans="1:11" x14ac:dyDescent="0.35">
      <c r="A56" s="377"/>
      <c r="B56" s="8" t="s">
        <v>7</v>
      </c>
      <c r="C56" s="9">
        <v>128365</v>
      </c>
      <c r="D56" s="9">
        <v>116265</v>
      </c>
      <c r="E56" s="9">
        <v>109885.68</v>
      </c>
      <c r="F56" s="2"/>
      <c r="G56" s="2"/>
      <c r="H56" s="2"/>
      <c r="I56" s="2"/>
      <c r="J56" s="2"/>
      <c r="K56" s="2"/>
    </row>
    <row r="57" spans="1:11" x14ac:dyDescent="0.35">
      <c r="A57" s="378"/>
      <c r="B57" s="8" t="s">
        <v>8</v>
      </c>
      <c r="C57" s="9">
        <f t="shared" ref="C57:E57" si="7">C54-C55-C56</f>
        <v>24064.75</v>
      </c>
      <c r="D57" s="9">
        <f t="shared" si="7"/>
        <v>9659</v>
      </c>
      <c r="E57" s="9">
        <f t="shared" si="7"/>
        <v>32325.059999999998</v>
      </c>
      <c r="F57" s="2"/>
      <c r="G57" s="2"/>
      <c r="H57" s="2"/>
      <c r="I57" s="2"/>
      <c r="J57" s="2"/>
      <c r="K57" s="2"/>
    </row>
    <row r="58" spans="1:11" x14ac:dyDescent="0.35"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35"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35">
      <c r="A60" s="376">
        <v>9</v>
      </c>
      <c r="B60" s="5" t="s">
        <v>78</v>
      </c>
      <c r="C60" s="6">
        <v>46023</v>
      </c>
      <c r="D60" s="6">
        <v>46054</v>
      </c>
      <c r="E60" s="6">
        <v>46082</v>
      </c>
      <c r="F60" s="7"/>
      <c r="G60" s="7"/>
      <c r="H60" s="7"/>
      <c r="I60" s="7"/>
      <c r="J60" s="7"/>
      <c r="K60" s="7"/>
    </row>
    <row r="61" spans="1:11" x14ac:dyDescent="0.35">
      <c r="A61" s="377"/>
      <c r="B61" s="8" t="s">
        <v>5</v>
      </c>
      <c r="C61" s="9">
        <v>641725</v>
      </c>
      <c r="D61" s="9">
        <v>417047</v>
      </c>
      <c r="E61" s="9">
        <v>447154</v>
      </c>
      <c r="F61" s="2"/>
      <c r="G61" s="2"/>
      <c r="H61" s="2"/>
      <c r="I61" s="2"/>
      <c r="J61" s="2"/>
      <c r="K61" s="2"/>
    </row>
    <row r="62" spans="1:11" x14ac:dyDescent="0.35">
      <c r="A62" s="377"/>
      <c r="B62" s="8" t="s">
        <v>6</v>
      </c>
      <c r="C62" s="9">
        <v>427735.27</v>
      </c>
      <c r="D62" s="9">
        <v>277927.56</v>
      </c>
      <c r="E62" s="9">
        <v>298492.17</v>
      </c>
      <c r="F62" s="2"/>
      <c r="G62" s="2"/>
      <c r="H62" s="2"/>
      <c r="I62" s="2"/>
      <c r="J62" s="2"/>
      <c r="K62" s="2"/>
    </row>
    <row r="63" spans="1:11" x14ac:dyDescent="0.35">
      <c r="A63" s="377"/>
      <c r="B63" s="8" t="s">
        <v>7</v>
      </c>
      <c r="C63" s="9">
        <v>175930.15</v>
      </c>
      <c r="D63" s="9">
        <v>135523.47</v>
      </c>
      <c r="E63" s="9">
        <v>130760</v>
      </c>
      <c r="F63" s="2"/>
      <c r="G63" s="2"/>
      <c r="H63" s="2"/>
      <c r="I63" s="2"/>
      <c r="J63" s="2"/>
      <c r="K63" s="2"/>
    </row>
    <row r="64" spans="1:11" x14ac:dyDescent="0.35">
      <c r="A64" s="378"/>
      <c r="B64" s="8" t="s">
        <v>8</v>
      </c>
      <c r="C64" s="9">
        <f t="shared" ref="C64:E64" si="8">C61-C62-C63</f>
        <v>38059.579999999987</v>
      </c>
      <c r="D64" s="9">
        <f t="shared" si="8"/>
        <v>3595.9700000000012</v>
      </c>
      <c r="E64" s="9">
        <f t="shared" si="8"/>
        <v>17901.830000000016</v>
      </c>
      <c r="F64" s="2"/>
      <c r="G64" s="2"/>
      <c r="H64" s="2"/>
      <c r="I64" s="2"/>
      <c r="J64" s="2"/>
      <c r="K64" s="2"/>
    </row>
    <row r="65" spans="1:11" x14ac:dyDescent="0.35"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35"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35">
      <c r="A67" s="376">
        <v>10</v>
      </c>
      <c r="B67" s="5" t="s">
        <v>94</v>
      </c>
      <c r="C67" s="6">
        <v>46023</v>
      </c>
      <c r="D67" s="6">
        <v>46054</v>
      </c>
      <c r="E67" s="6">
        <v>46082</v>
      </c>
      <c r="F67" s="7"/>
      <c r="G67" s="7"/>
      <c r="H67" s="7"/>
      <c r="I67" s="7"/>
      <c r="J67" s="7"/>
      <c r="K67" s="7"/>
    </row>
    <row r="68" spans="1:11" x14ac:dyDescent="0.35">
      <c r="A68" s="377"/>
      <c r="B68" s="8" t="s">
        <v>5</v>
      </c>
      <c r="C68" s="9">
        <v>927633.5</v>
      </c>
      <c r="D68" s="9">
        <v>857516</v>
      </c>
      <c r="E68" s="9">
        <v>880472.5</v>
      </c>
      <c r="F68" s="2"/>
      <c r="G68" s="2"/>
      <c r="H68" s="2"/>
      <c r="I68" s="2"/>
      <c r="J68" s="2"/>
      <c r="K68" s="2"/>
    </row>
    <row r="69" spans="1:11" x14ac:dyDescent="0.35">
      <c r="A69" s="377"/>
      <c r="B69" s="8" t="s">
        <v>6</v>
      </c>
      <c r="C69" s="9">
        <v>633026.54</v>
      </c>
      <c r="D69" s="9">
        <v>585143.92000000004</v>
      </c>
      <c r="E69" s="9">
        <v>600584.21</v>
      </c>
      <c r="F69" s="2"/>
      <c r="G69" s="2"/>
      <c r="H69" s="2"/>
      <c r="I69" s="2"/>
      <c r="J69" s="2"/>
      <c r="K69" s="2"/>
    </row>
    <row r="70" spans="1:11" x14ac:dyDescent="0.35">
      <c r="A70" s="377"/>
      <c r="B70" s="8" t="s">
        <v>7</v>
      </c>
      <c r="C70" s="9">
        <v>233539.1</v>
      </c>
      <c r="D70" s="9">
        <v>184402.95</v>
      </c>
      <c r="E70" s="9">
        <v>196438.25</v>
      </c>
      <c r="F70" s="2"/>
      <c r="G70" s="2"/>
      <c r="H70" s="2"/>
      <c r="I70" s="2"/>
      <c r="J70" s="2"/>
      <c r="K70" s="2"/>
    </row>
    <row r="71" spans="1:11" x14ac:dyDescent="0.35">
      <c r="A71" s="378"/>
      <c r="B71" s="8" t="s">
        <v>8</v>
      </c>
      <c r="C71" s="9">
        <f t="shared" ref="C71:E71" si="9">C68-C69-C70</f>
        <v>61067.859999999957</v>
      </c>
      <c r="D71" s="9">
        <f t="shared" si="9"/>
        <v>87969.129999999946</v>
      </c>
      <c r="E71" s="9">
        <f t="shared" si="9"/>
        <v>83450.040000000037</v>
      </c>
      <c r="F71" s="2"/>
      <c r="G71" s="2"/>
      <c r="H71" s="2"/>
      <c r="I71" s="2"/>
      <c r="J71" s="2"/>
      <c r="K71" s="2"/>
    </row>
    <row r="72" spans="1:11" x14ac:dyDescent="0.35"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5"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5">
      <c r="A74" s="376">
        <v>11</v>
      </c>
      <c r="B74" s="5" t="s">
        <v>95</v>
      </c>
      <c r="C74" s="6">
        <v>46023</v>
      </c>
      <c r="D74" s="6">
        <v>46054</v>
      </c>
      <c r="E74" s="6">
        <v>46082</v>
      </c>
      <c r="F74" s="7"/>
      <c r="G74" s="7"/>
      <c r="H74" s="7"/>
      <c r="I74" s="7"/>
      <c r="J74" s="7"/>
      <c r="K74" s="7"/>
    </row>
    <row r="75" spans="1:11" x14ac:dyDescent="0.35">
      <c r="A75" s="377"/>
      <c r="B75" s="8" t="s">
        <v>5</v>
      </c>
      <c r="C75" s="9">
        <v>635621.5</v>
      </c>
      <c r="D75" s="9">
        <v>518457</v>
      </c>
      <c r="E75" s="9">
        <v>611948</v>
      </c>
      <c r="F75" s="2"/>
      <c r="G75" s="2"/>
      <c r="H75" s="2"/>
      <c r="I75" s="2"/>
      <c r="J75" s="2"/>
      <c r="K75" s="2"/>
    </row>
    <row r="76" spans="1:11" x14ac:dyDescent="0.35">
      <c r="A76" s="377"/>
      <c r="B76" s="8" t="s">
        <v>6</v>
      </c>
      <c r="C76" s="9">
        <v>426238.17</v>
      </c>
      <c r="D76" s="9">
        <v>348023.98</v>
      </c>
      <c r="E76" s="9">
        <v>411984.75</v>
      </c>
      <c r="F76" s="2"/>
      <c r="G76" s="2"/>
      <c r="H76" s="2"/>
      <c r="I76" s="2"/>
      <c r="J76" s="2"/>
      <c r="K76" s="2"/>
    </row>
    <row r="77" spans="1:11" x14ac:dyDescent="0.35">
      <c r="A77" s="377"/>
      <c r="B77" s="8" t="s">
        <v>7</v>
      </c>
      <c r="C77" s="9">
        <v>199432.38</v>
      </c>
      <c r="D77" s="9">
        <v>146817.63</v>
      </c>
      <c r="E77" s="9">
        <v>179091.17</v>
      </c>
      <c r="F77" s="2"/>
      <c r="G77" s="2"/>
      <c r="H77" s="2"/>
      <c r="I77" s="2"/>
      <c r="J77" s="2"/>
      <c r="K77" s="2"/>
    </row>
    <row r="78" spans="1:11" x14ac:dyDescent="0.35">
      <c r="A78" s="378"/>
      <c r="B78" s="8" t="s">
        <v>8</v>
      </c>
      <c r="C78" s="9">
        <f t="shared" ref="C78:E78" si="10">C75-C76-C77</f>
        <v>9950.9500000000116</v>
      </c>
      <c r="D78" s="9">
        <f t="shared" si="10"/>
        <v>23615.390000000014</v>
      </c>
      <c r="E78" s="9">
        <f t="shared" si="10"/>
        <v>20872.079999999987</v>
      </c>
      <c r="F78" s="2"/>
      <c r="G78" s="2"/>
      <c r="H78" s="2"/>
      <c r="I78" s="2"/>
      <c r="J78" s="2"/>
      <c r="K78" s="2"/>
    </row>
    <row r="79" spans="1:11" x14ac:dyDescent="0.35"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5"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5">
      <c r="A81" s="376">
        <v>12</v>
      </c>
      <c r="B81" s="5" t="s">
        <v>96</v>
      </c>
      <c r="C81" s="6">
        <v>46023</v>
      </c>
      <c r="D81" s="6">
        <v>46054</v>
      </c>
      <c r="E81" s="6">
        <v>46082</v>
      </c>
      <c r="F81" s="7"/>
      <c r="G81" s="7"/>
      <c r="H81" s="7"/>
      <c r="I81" s="7"/>
      <c r="J81" s="7"/>
      <c r="K81" s="7"/>
    </row>
    <row r="82" spans="1:11" x14ac:dyDescent="0.35">
      <c r="A82" s="377"/>
      <c r="B82" s="8" t="s">
        <v>5</v>
      </c>
      <c r="C82" s="9">
        <v>655174.5</v>
      </c>
      <c r="D82" s="9">
        <v>441305</v>
      </c>
      <c r="E82" s="9">
        <v>471839.5</v>
      </c>
      <c r="F82" s="2"/>
      <c r="G82" s="2"/>
      <c r="H82" s="2"/>
      <c r="I82" s="2"/>
      <c r="J82" s="2"/>
      <c r="K82" s="2"/>
    </row>
    <row r="83" spans="1:11" x14ac:dyDescent="0.35">
      <c r="A83" s="377"/>
      <c r="B83" s="8" t="s">
        <v>6</v>
      </c>
      <c r="C83" s="9">
        <v>436893.86</v>
      </c>
      <c r="D83" s="9">
        <v>294338.75</v>
      </c>
      <c r="E83" s="9">
        <v>312389.28999999998</v>
      </c>
      <c r="F83" s="2"/>
      <c r="G83" s="2"/>
      <c r="H83" s="2"/>
      <c r="I83" s="2"/>
      <c r="J83" s="2"/>
      <c r="K83" s="2"/>
    </row>
    <row r="84" spans="1:11" x14ac:dyDescent="0.35">
      <c r="A84" s="377"/>
      <c r="B84" s="8" t="s">
        <v>7</v>
      </c>
      <c r="C84" s="9">
        <v>153013.24</v>
      </c>
      <c r="D84" s="9">
        <v>127769.13</v>
      </c>
      <c r="E84" s="9">
        <v>130929.22</v>
      </c>
      <c r="F84" s="2"/>
      <c r="G84" s="2"/>
      <c r="H84" s="2"/>
      <c r="I84" s="2"/>
      <c r="J84" s="2"/>
      <c r="K84" s="2"/>
    </row>
    <row r="85" spans="1:11" x14ac:dyDescent="0.35">
      <c r="A85" s="378"/>
      <c r="B85" s="8" t="s">
        <v>8</v>
      </c>
      <c r="C85" s="9">
        <f t="shared" ref="C85:E85" si="11">C82-C83-C84</f>
        <v>65267.400000000023</v>
      </c>
      <c r="D85" s="9">
        <f t="shared" si="11"/>
        <v>19197.119999999995</v>
      </c>
      <c r="E85" s="9">
        <f t="shared" si="11"/>
        <v>28520.99000000002</v>
      </c>
      <c r="F85" s="2"/>
      <c r="G85" s="2"/>
      <c r="H85" s="2"/>
      <c r="I85" s="2"/>
      <c r="J85" s="2"/>
      <c r="K85" s="2"/>
    </row>
    <row r="86" spans="1:11" x14ac:dyDescent="0.35"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5"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5">
      <c r="A88" s="376">
        <v>13</v>
      </c>
      <c r="B88" s="5" t="s">
        <v>97</v>
      </c>
      <c r="C88" s="6">
        <v>46023</v>
      </c>
      <c r="D88" s="6">
        <v>46054</v>
      </c>
      <c r="E88" s="6">
        <v>46082</v>
      </c>
      <c r="F88" s="7"/>
      <c r="G88" s="7"/>
      <c r="H88" s="7"/>
      <c r="I88" s="7"/>
      <c r="J88" s="7"/>
      <c r="K88" s="7"/>
    </row>
    <row r="89" spans="1:11" x14ac:dyDescent="0.35">
      <c r="A89" s="377"/>
      <c r="B89" s="8" t="s">
        <v>5</v>
      </c>
      <c r="C89" s="9">
        <v>510732</v>
      </c>
      <c r="D89" s="9">
        <v>459714</v>
      </c>
      <c r="E89" s="9">
        <v>476253.5</v>
      </c>
      <c r="F89" s="2"/>
      <c r="G89" s="2"/>
      <c r="H89" s="2"/>
      <c r="I89" s="2"/>
      <c r="J89" s="2"/>
      <c r="K89" s="2"/>
    </row>
    <row r="90" spans="1:11" x14ac:dyDescent="0.35">
      <c r="A90" s="377"/>
      <c r="B90" s="8" t="s">
        <v>6</v>
      </c>
      <c r="C90" s="9">
        <v>348854.75</v>
      </c>
      <c r="D90" s="9">
        <v>313454.75</v>
      </c>
      <c r="E90" s="9">
        <v>324943.64</v>
      </c>
      <c r="F90" s="2"/>
      <c r="G90" s="2"/>
      <c r="H90" s="2"/>
      <c r="I90" s="2"/>
      <c r="J90" s="2"/>
      <c r="K90" s="2"/>
    </row>
    <row r="91" spans="1:11" x14ac:dyDescent="0.35">
      <c r="A91" s="377"/>
      <c r="B91" s="8" t="s">
        <v>7</v>
      </c>
      <c r="C91" s="9">
        <v>160397.10999999999</v>
      </c>
      <c r="D91" s="9">
        <v>151486.71</v>
      </c>
      <c r="E91" s="9">
        <v>139775</v>
      </c>
      <c r="F91" s="2"/>
      <c r="G91" s="2"/>
      <c r="H91" s="2"/>
      <c r="I91" s="2"/>
      <c r="J91" s="2"/>
      <c r="K91" s="2"/>
    </row>
    <row r="92" spans="1:11" x14ac:dyDescent="0.35">
      <c r="A92" s="378"/>
      <c r="B92" s="8" t="s">
        <v>8</v>
      </c>
      <c r="C92" s="9">
        <f t="shared" ref="C92:E92" si="12">C89-C90-C91</f>
        <v>1480.140000000014</v>
      </c>
      <c r="D92" s="9">
        <f t="shared" si="12"/>
        <v>-5227.4599999999919</v>
      </c>
      <c r="E92" s="9">
        <f t="shared" si="12"/>
        <v>11534.859999999986</v>
      </c>
      <c r="F92" s="2"/>
      <c r="G92" s="2"/>
      <c r="H92" s="2"/>
      <c r="I92" s="2"/>
      <c r="J92" s="2"/>
      <c r="K92" s="2"/>
    </row>
    <row r="93" spans="1:11" x14ac:dyDescent="0.35"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5"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5">
      <c r="A95" s="376">
        <v>14</v>
      </c>
      <c r="B95" s="5" t="s">
        <v>99</v>
      </c>
      <c r="C95" s="6">
        <v>46023</v>
      </c>
      <c r="D95" s="6">
        <v>46054</v>
      </c>
      <c r="E95" s="6">
        <v>46082</v>
      </c>
      <c r="F95" s="7"/>
      <c r="G95" s="7"/>
      <c r="H95" s="7"/>
      <c r="I95" s="7"/>
      <c r="J95" s="7"/>
      <c r="K95" s="7"/>
    </row>
    <row r="96" spans="1:11" x14ac:dyDescent="0.35">
      <c r="A96" s="377"/>
      <c r="B96" s="8" t="s">
        <v>5</v>
      </c>
      <c r="C96" s="9">
        <v>540963</v>
      </c>
      <c r="D96" s="9">
        <v>478890</v>
      </c>
      <c r="E96" s="9">
        <v>495109</v>
      </c>
      <c r="F96" s="2"/>
      <c r="G96" s="2"/>
      <c r="H96" s="2"/>
      <c r="I96" s="2"/>
      <c r="J96" s="2"/>
      <c r="K96" s="2"/>
    </row>
    <row r="97" spans="1:11" x14ac:dyDescent="0.35">
      <c r="A97" s="377"/>
      <c r="B97" s="8" t="s">
        <v>6</v>
      </c>
      <c r="C97" s="9">
        <v>359062.46</v>
      </c>
      <c r="D97" s="9">
        <v>318786.13</v>
      </c>
      <c r="E97" s="9">
        <v>329923.08</v>
      </c>
      <c r="F97" s="2"/>
      <c r="G97" s="2"/>
      <c r="H97" s="2"/>
      <c r="I97" s="2"/>
      <c r="J97" s="2"/>
      <c r="K97" s="2"/>
    </row>
    <row r="98" spans="1:11" x14ac:dyDescent="0.35">
      <c r="A98" s="377"/>
      <c r="B98" s="8" t="s">
        <v>7</v>
      </c>
      <c r="C98" s="9">
        <v>184185.17</v>
      </c>
      <c r="D98" s="9">
        <v>154773.91</v>
      </c>
      <c r="E98" s="9">
        <v>150503.47</v>
      </c>
      <c r="F98" s="2"/>
      <c r="G98" s="2"/>
      <c r="H98" s="2"/>
      <c r="I98" s="2"/>
      <c r="J98" s="2"/>
      <c r="K98" s="2"/>
    </row>
    <row r="99" spans="1:11" x14ac:dyDescent="0.35">
      <c r="A99" s="378"/>
      <c r="B99" s="8" t="s">
        <v>8</v>
      </c>
      <c r="C99" s="9">
        <f t="shared" ref="C99:E99" si="13">C96-C97-C98</f>
        <v>-2284.6300000000338</v>
      </c>
      <c r="D99" s="9">
        <f t="shared" si="13"/>
        <v>5329.9599999999919</v>
      </c>
      <c r="E99" s="9">
        <f t="shared" si="13"/>
        <v>14682.449999999983</v>
      </c>
      <c r="F99" s="2"/>
      <c r="G99" s="2"/>
      <c r="H99" s="2"/>
      <c r="I99" s="2"/>
      <c r="J99" s="2"/>
      <c r="K99" s="2"/>
    </row>
    <row r="100" spans="1:11" x14ac:dyDescent="0.35"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5"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5">
      <c r="A102" s="376">
        <v>15</v>
      </c>
      <c r="B102" s="5" t="s">
        <v>100</v>
      </c>
      <c r="C102" s="6">
        <v>46023</v>
      </c>
      <c r="D102" s="6">
        <v>46054</v>
      </c>
      <c r="E102" s="6">
        <v>46082</v>
      </c>
      <c r="F102" s="7"/>
      <c r="G102" s="7"/>
      <c r="H102" s="7"/>
      <c r="I102" s="7"/>
      <c r="J102" s="7"/>
      <c r="K102" s="7"/>
    </row>
    <row r="103" spans="1:11" x14ac:dyDescent="0.35">
      <c r="A103" s="377"/>
      <c r="B103" s="8" t="s">
        <v>5</v>
      </c>
      <c r="C103" s="9">
        <v>1716607</v>
      </c>
      <c r="D103" s="9">
        <v>1523258.5</v>
      </c>
      <c r="E103" s="9">
        <v>1752146.5</v>
      </c>
      <c r="F103" s="2"/>
      <c r="G103" s="2"/>
      <c r="H103" s="2"/>
      <c r="I103" s="2"/>
      <c r="J103" s="2"/>
      <c r="K103" s="2"/>
    </row>
    <row r="104" spans="1:11" x14ac:dyDescent="0.35">
      <c r="A104" s="377"/>
      <c r="B104" s="8" t="s">
        <v>6</v>
      </c>
      <c r="C104" s="9">
        <v>1158880.18</v>
      </c>
      <c r="D104" s="9">
        <v>1027295.84</v>
      </c>
      <c r="E104" s="9">
        <v>1181854.78</v>
      </c>
      <c r="F104" s="2"/>
      <c r="G104" s="2"/>
      <c r="H104" s="2"/>
      <c r="I104" s="2"/>
      <c r="J104" s="2"/>
      <c r="K104" s="2"/>
    </row>
    <row r="105" spans="1:11" x14ac:dyDescent="0.35">
      <c r="A105" s="377"/>
      <c r="B105" s="8" t="s">
        <v>7</v>
      </c>
      <c r="C105" s="9">
        <v>439987.32</v>
      </c>
      <c r="D105" s="9">
        <v>331234.45</v>
      </c>
      <c r="E105" s="9">
        <v>431592.44</v>
      </c>
      <c r="F105" s="2"/>
      <c r="G105" s="2"/>
      <c r="H105" s="2"/>
      <c r="I105" s="2"/>
      <c r="J105" s="2"/>
      <c r="K105" s="2"/>
    </row>
    <row r="106" spans="1:11" x14ac:dyDescent="0.35">
      <c r="A106" s="378"/>
      <c r="B106" s="8" t="s">
        <v>8</v>
      </c>
      <c r="C106" s="9">
        <f t="shared" ref="C106:E106" si="14">C103-C104-C105</f>
        <v>117739.50000000006</v>
      </c>
      <c r="D106" s="9">
        <f t="shared" si="14"/>
        <v>164728.21000000002</v>
      </c>
      <c r="E106" s="9">
        <f t="shared" si="14"/>
        <v>138699.27999999997</v>
      </c>
      <c r="F106" s="2"/>
      <c r="G106" s="2"/>
      <c r="H106" s="2"/>
      <c r="I106" s="2"/>
      <c r="J106" s="2"/>
      <c r="K106" s="2"/>
    </row>
    <row r="107" spans="1:11" x14ac:dyDescent="0.35"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35"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35">
      <c r="A109" s="376">
        <v>16</v>
      </c>
      <c r="B109" s="5" t="s">
        <v>101</v>
      </c>
      <c r="C109" s="6">
        <v>46023</v>
      </c>
      <c r="D109" s="6">
        <v>46054</v>
      </c>
      <c r="E109" s="6">
        <v>46082</v>
      </c>
      <c r="F109" s="7"/>
      <c r="G109" s="7"/>
      <c r="H109" s="7"/>
      <c r="I109" s="7"/>
      <c r="J109" s="7"/>
      <c r="K109" s="7"/>
    </row>
    <row r="110" spans="1:11" x14ac:dyDescent="0.35">
      <c r="A110" s="377"/>
      <c r="B110" s="8" t="s">
        <v>5</v>
      </c>
      <c r="C110" s="9">
        <v>1059917</v>
      </c>
      <c r="D110" s="9">
        <v>865277.5</v>
      </c>
      <c r="E110" s="9">
        <v>922653</v>
      </c>
      <c r="F110" s="2"/>
      <c r="G110" s="2"/>
      <c r="H110" s="2"/>
      <c r="I110" s="2"/>
      <c r="J110" s="2"/>
      <c r="K110" s="2"/>
    </row>
    <row r="111" spans="1:11" x14ac:dyDescent="0.35">
      <c r="A111" s="377"/>
      <c r="B111" s="8" t="s">
        <v>6</v>
      </c>
      <c r="C111" s="9">
        <v>710921.03</v>
      </c>
      <c r="D111" s="9">
        <v>576217.25</v>
      </c>
      <c r="E111" s="9">
        <v>614717.25</v>
      </c>
      <c r="F111" s="2"/>
      <c r="G111" s="2"/>
      <c r="H111" s="2"/>
      <c r="I111" s="2"/>
      <c r="J111" s="2"/>
      <c r="K111" s="2"/>
    </row>
    <row r="112" spans="1:11" x14ac:dyDescent="0.35">
      <c r="A112" s="377"/>
      <c r="B112" s="8" t="s">
        <v>7</v>
      </c>
      <c r="C112" s="9">
        <v>268538.78000000003</v>
      </c>
      <c r="D112" s="9">
        <v>227158.19</v>
      </c>
      <c r="E112" s="9">
        <v>231183.96</v>
      </c>
      <c r="F112" s="2"/>
      <c r="G112" s="2"/>
      <c r="H112" s="2"/>
      <c r="I112" s="2"/>
      <c r="J112" s="2"/>
      <c r="K112" s="2"/>
    </row>
    <row r="113" spans="1:11" x14ac:dyDescent="0.35">
      <c r="A113" s="378"/>
      <c r="B113" s="8" t="s">
        <v>8</v>
      </c>
      <c r="C113" s="9">
        <f t="shared" ref="C113:E113" si="15">C110-C111-C112</f>
        <v>80457.189999999944</v>
      </c>
      <c r="D113" s="9">
        <f t="shared" si="15"/>
        <v>61902.06</v>
      </c>
      <c r="E113" s="9">
        <f t="shared" si="15"/>
        <v>76751.790000000008</v>
      </c>
      <c r="F113" s="2"/>
      <c r="G113" s="2"/>
      <c r="H113" s="2"/>
      <c r="I113" s="2"/>
      <c r="J113" s="2"/>
      <c r="K113" s="2"/>
    </row>
    <row r="114" spans="1:11" x14ac:dyDescent="0.35"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35"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35">
      <c r="A116" s="376">
        <v>17</v>
      </c>
      <c r="B116" s="8" t="s">
        <v>102</v>
      </c>
      <c r="C116" s="6">
        <v>45931</v>
      </c>
      <c r="D116" s="6">
        <v>45962</v>
      </c>
      <c r="E116" s="6">
        <v>45992</v>
      </c>
      <c r="F116" s="7"/>
      <c r="G116" s="7"/>
      <c r="H116" s="7"/>
      <c r="I116" s="7"/>
      <c r="J116" s="7"/>
      <c r="K116" s="7"/>
    </row>
    <row r="117" spans="1:11" x14ac:dyDescent="0.35">
      <c r="A117" s="377"/>
      <c r="B117" s="8" t="s">
        <v>5</v>
      </c>
      <c r="C117" s="9">
        <v>448374</v>
      </c>
      <c r="D117" s="9">
        <v>459157</v>
      </c>
      <c r="E117" s="9">
        <v>527270</v>
      </c>
      <c r="F117" s="2"/>
      <c r="G117" s="2"/>
      <c r="H117" s="2"/>
      <c r="I117" s="2"/>
      <c r="J117" s="2"/>
      <c r="K117" s="2"/>
    </row>
    <row r="118" spans="1:11" x14ac:dyDescent="0.35">
      <c r="A118" s="377"/>
      <c r="B118" s="8" t="s">
        <v>6</v>
      </c>
      <c r="C118" s="9">
        <v>299552.59999999998</v>
      </c>
      <c r="D118" s="9">
        <v>305178.86</v>
      </c>
      <c r="E118" s="9">
        <v>353757.1</v>
      </c>
      <c r="F118" s="2"/>
      <c r="G118" s="2"/>
      <c r="H118" s="2"/>
      <c r="I118" s="2"/>
      <c r="J118" s="2"/>
      <c r="K118" s="2"/>
    </row>
    <row r="119" spans="1:11" x14ac:dyDescent="0.35">
      <c r="A119" s="377"/>
      <c r="B119" s="8" t="s">
        <v>7</v>
      </c>
      <c r="C119" s="9">
        <v>130421.8</v>
      </c>
      <c r="D119" s="9">
        <v>177032.68</v>
      </c>
      <c r="E119" s="9">
        <v>136718.26999999999</v>
      </c>
      <c r="F119" s="2"/>
      <c r="G119" s="2"/>
      <c r="H119" s="2"/>
      <c r="I119" s="2"/>
      <c r="J119" s="2"/>
      <c r="K119" s="2"/>
    </row>
    <row r="120" spans="1:11" x14ac:dyDescent="0.35">
      <c r="A120" s="378"/>
      <c r="B120" s="8" t="s">
        <v>8</v>
      </c>
      <c r="C120" s="9">
        <f t="shared" ref="C120:E120" si="16">C117-C118-C119</f>
        <v>18399.60000000002</v>
      </c>
      <c r="D120" s="9">
        <f t="shared" si="16"/>
        <v>-23054.539999999979</v>
      </c>
      <c r="E120" s="9">
        <f t="shared" si="16"/>
        <v>36794.630000000034</v>
      </c>
      <c r="F120" s="2"/>
      <c r="G120" s="2"/>
      <c r="H120" s="2"/>
      <c r="I120" s="2"/>
      <c r="J120" s="2"/>
      <c r="K120" s="2"/>
    </row>
  </sheetData>
  <mergeCells count="17">
    <mergeCell ref="A39:A43"/>
    <mergeCell ref="A46:A50"/>
    <mergeCell ref="A102:A106"/>
    <mergeCell ref="A109:A113"/>
    <mergeCell ref="A116:A120"/>
    <mergeCell ref="A53:A57"/>
    <mergeCell ref="A60:A64"/>
    <mergeCell ref="A67:A71"/>
    <mergeCell ref="A74:A78"/>
    <mergeCell ref="A81:A85"/>
    <mergeCell ref="A88:A92"/>
    <mergeCell ref="A95:A99"/>
    <mergeCell ref="A4:A8"/>
    <mergeCell ref="A11:A15"/>
    <mergeCell ref="A18:A22"/>
    <mergeCell ref="A25:A29"/>
    <mergeCell ref="A32:A3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CL972"/>
  <sheetViews>
    <sheetView workbookViewId="0">
      <pane xSplit="3" topLeftCell="D1" activePane="topRight" state="frozen"/>
      <selection pane="topRight" activeCell="E2" sqref="E2"/>
    </sheetView>
  </sheetViews>
  <sheetFormatPr defaultColWidth="14.453125" defaultRowHeight="15" customHeight="1" x14ac:dyDescent="0.35"/>
  <cols>
    <col min="1" max="1" width="9.81640625" customWidth="1"/>
    <col min="2" max="2" width="10.54296875" hidden="1" customWidth="1"/>
    <col min="3" max="3" width="15.54296875" customWidth="1"/>
    <col min="4" max="4" width="12.453125" hidden="1" customWidth="1"/>
    <col min="5" max="5" width="16" customWidth="1"/>
    <col min="6" max="6" width="20.453125" hidden="1" customWidth="1"/>
    <col min="7" max="7" width="18.7265625" hidden="1" customWidth="1"/>
    <col min="8" max="8" width="15.453125" hidden="1" customWidth="1"/>
    <col min="9" max="10" width="9.08984375" customWidth="1"/>
    <col min="11" max="11" width="10.7265625" customWidth="1"/>
    <col min="12" max="14" width="9.08984375" hidden="1" customWidth="1"/>
    <col min="15" max="16" width="9.08984375" customWidth="1"/>
    <col min="17" max="17" width="11.81640625" customWidth="1"/>
    <col min="18" max="19" width="9.08984375" customWidth="1"/>
    <col min="20" max="20" width="11.453125" customWidth="1"/>
    <col min="21" max="22" width="9.08984375" customWidth="1"/>
    <col min="23" max="23" width="10.7265625" customWidth="1"/>
    <col min="24" max="25" width="9.08984375" customWidth="1"/>
    <col min="26" max="26" width="9.81640625" customWidth="1"/>
    <col min="27" max="28" width="9.08984375" customWidth="1"/>
    <col min="29" max="29" width="11.54296875" customWidth="1"/>
    <col min="30" max="31" width="9.08984375" customWidth="1"/>
    <col min="32" max="32" width="11.26953125" customWidth="1"/>
    <col min="33" max="34" width="9.08984375" customWidth="1"/>
    <col min="35" max="35" width="11.54296875" customWidth="1"/>
    <col min="36" max="38" width="9.08984375" hidden="1" customWidth="1"/>
    <col min="39" max="40" width="9.08984375" customWidth="1"/>
    <col min="41" max="41" width="11.08984375" customWidth="1"/>
    <col min="42" max="42" width="10.7265625" customWidth="1"/>
    <col min="43" max="49" width="9.08984375" hidden="1" customWidth="1"/>
    <col min="50" max="50" width="15" customWidth="1"/>
    <col min="51" max="51" width="9.08984375" hidden="1" customWidth="1"/>
    <col min="52" max="52" width="12.08984375" customWidth="1"/>
    <col min="53" max="53" width="14" customWidth="1"/>
    <col min="54" max="54" width="9.08984375" customWidth="1"/>
    <col min="55" max="58" width="9.08984375" hidden="1" customWidth="1"/>
    <col min="59" max="59" width="13.08984375" customWidth="1"/>
    <col min="60" max="60" width="14.7265625" customWidth="1"/>
    <col min="61" max="61" width="9.08984375" customWidth="1"/>
    <col min="62" max="63" width="9.08984375" hidden="1" customWidth="1"/>
    <col min="64" max="64" width="9.08984375" customWidth="1"/>
    <col min="65" max="72" width="9.08984375" hidden="1" customWidth="1"/>
    <col min="73" max="73" width="12.453125" customWidth="1"/>
    <col min="74" max="74" width="9.08984375" customWidth="1"/>
    <col min="75" max="75" width="11" customWidth="1"/>
    <col min="76" max="89" width="9.08984375" customWidth="1"/>
    <col min="90" max="90" width="9" customWidth="1"/>
  </cols>
  <sheetData>
    <row r="1" spans="1:90" ht="21.75" customHeight="1" x14ac:dyDescent="0.35">
      <c r="A1" s="3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10"/>
    </row>
    <row r="2" spans="1:90" ht="1.5" customHeight="1" x14ac:dyDescent="0.3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4"/>
    </row>
    <row r="3" spans="1:90" ht="16.5" customHeight="1" x14ac:dyDescent="1.4">
      <c r="A3" s="15" t="s">
        <v>10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7" t="s">
        <v>13</v>
      </c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8"/>
      <c r="CL3" s="19"/>
    </row>
    <row r="4" spans="1:90" ht="9.75" customHeight="1" x14ac:dyDescent="1.4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2"/>
      <c r="CL4" s="19"/>
    </row>
    <row r="5" spans="1:90" ht="27" customHeight="1" x14ac:dyDescent="1.4">
      <c r="A5" s="23"/>
      <c r="B5" s="23"/>
      <c r="C5" s="23"/>
      <c r="D5" s="23"/>
      <c r="E5" s="23"/>
      <c r="F5" s="24"/>
      <c r="G5" s="411" t="s">
        <v>16</v>
      </c>
      <c r="H5" s="406"/>
      <c r="I5" s="24"/>
      <c r="J5" s="411" t="s">
        <v>16</v>
      </c>
      <c r="K5" s="406"/>
      <c r="L5" s="26"/>
      <c r="M5" s="411" t="s">
        <v>16</v>
      </c>
      <c r="N5" s="406"/>
      <c r="O5" s="27"/>
      <c r="P5" s="411" t="s">
        <v>16</v>
      </c>
      <c r="Q5" s="406"/>
      <c r="R5" s="26"/>
      <c r="S5" s="411" t="s">
        <v>16</v>
      </c>
      <c r="T5" s="406"/>
      <c r="U5" s="27"/>
      <c r="V5" s="411" t="s">
        <v>16</v>
      </c>
      <c r="W5" s="406"/>
      <c r="X5" s="27"/>
      <c r="Y5" s="411" t="s">
        <v>16</v>
      </c>
      <c r="Z5" s="406"/>
      <c r="AA5" s="27"/>
      <c r="AB5" s="411" t="s">
        <v>16</v>
      </c>
      <c r="AC5" s="406"/>
      <c r="AD5" s="27"/>
      <c r="AE5" s="411" t="s">
        <v>16</v>
      </c>
      <c r="AF5" s="406"/>
      <c r="AG5" s="27"/>
      <c r="AH5" s="411" t="s">
        <v>16</v>
      </c>
      <c r="AI5" s="406"/>
      <c r="AJ5" s="26"/>
      <c r="AK5" s="411" t="s">
        <v>16</v>
      </c>
      <c r="AL5" s="406"/>
      <c r="AM5" s="26"/>
      <c r="AN5" s="409" t="s">
        <v>17</v>
      </c>
      <c r="AO5" s="406"/>
      <c r="AP5" s="406"/>
      <c r="AQ5" s="26"/>
      <c r="AR5" s="412" t="s">
        <v>17</v>
      </c>
      <c r="AS5" s="406"/>
      <c r="AT5" s="26"/>
      <c r="AU5" s="412" t="s">
        <v>17</v>
      </c>
      <c r="AV5" s="406"/>
      <c r="AW5" s="26"/>
      <c r="AX5" s="28" t="s">
        <v>18</v>
      </c>
      <c r="AY5" s="29"/>
      <c r="AZ5" s="409" t="s">
        <v>19</v>
      </c>
      <c r="BA5" s="406"/>
      <c r="BB5" s="406"/>
      <c r="BC5" s="406"/>
      <c r="BD5" s="406"/>
      <c r="BE5" s="406"/>
      <c r="BF5" s="406"/>
      <c r="BG5" s="27"/>
      <c r="BH5" s="30"/>
      <c r="BI5" s="409" t="s">
        <v>19</v>
      </c>
      <c r="BJ5" s="406"/>
      <c r="BK5" s="406"/>
      <c r="BL5" s="406"/>
      <c r="BM5" s="406"/>
      <c r="BN5" s="406"/>
      <c r="BO5" s="406"/>
      <c r="BP5" s="406"/>
      <c r="BQ5" s="406"/>
      <c r="BR5" s="406"/>
      <c r="BS5" s="406"/>
      <c r="BT5" s="31"/>
      <c r="BU5" s="23"/>
      <c r="BV5" s="410" t="s">
        <v>21</v>
      </c>
      <c r="BW5" s="406"/>
      <c r="BX5" s="406"/>
      <c r="BY5" s="23"/>
      <c r="BZ5" s="23"/>
      <c r="CA5" s="23"/>
      <c r="CB5" s="23"/>
      <c r="CC5" s="23"/>
      <c r="CD5" s="23"/>
      <c r="CE5" s="23"/>
      <c r="CF5" s="409" t="s">
        <v>19</v>
      </c>
      <c r="CG5" s="406"/>
      <c r="CH5" s="406"/>
      <c r="CI5" s="406"/>
      <c r="CJ5" s="406"/>
      <c r="CK5" s="406"/>
      <c r="CL5" s="19"/>
    </row>
    <row r="6" spans="1:90" ht="27" customHeight="1" x14ac:dyDescent="0.35">
      <c r="A6" s="413" t="s">
        <v>22</v>
      </c>
      <c r="B6" s="382" t="s">
        <v>23</v>
      </c>
      <c r="C6" s="404" t="s">
        <v>24</v>
      </c>
      <c r="D6" s="404" t="s">
        <v>25</v>
      </c>
      <c r="E6" s="404" t="s">
        <v>26</v>
      </c>
      <c r="F6" s="414" t="s">
        <v>27</v>
      </c>
      <c r="G6" s="415"/>
      <c r="H6" s="415"/>
      <c r="I6" s="416" t="s">
        <v>28</v>
      </c>
      <c r="J6" s="406"/>
      <c r="K6" s="407"/>
      <c r="L6" s="416" t="s">
        <v>29</v>
      </c>
      <c r="M6" s="406"/>
      <c r="N6" s="407"/>
      <c r="O6" s="416" t="s">
        <v>30</v>
      </c>
      <c r="P6" s="406"/>
      <c r="Q6" s="407"/>
      <c r="R6" s="416" t="s">
        <v>31</v>
      </c>
      <c r="S6" s="406"/>
      <c r="T6" s="407"/>
      <c r="U6" s="416" t="s">
        <v>32</v>
      </c>
      <c r="V6" s="406"/>
      <c r="W6" s="407"/>
      <c r="X6" s="416" t="s">
        <v>33</v>
      </c>
      <c r="Y6" s="406"/>
      <c r="Z6" s="407"/>
      <c r="AA6" s="416" t="s">
        <v>34</v>
      </c>
      <c r="AB6" s="406"/>
      <c r="AC6" s="407"/>
      <c r="AD6" s="416" t="s">
        <v>35</v>
      </c>
      <c r="AE6" s="406"/>
      <c r="AF6" s="407"/>
      <c r="AG6" s="416" t="s">
        <v>36</v>
      </c>
      <c r="AH6" s="406"/>
      <c r="AI6" s="407"/>
      <c r="AJ6" s="416" t="s">
        <v>37</v>
      </c>
      <c r="AK6" s="406"/>
      <c r="AL6" s="407"/>
      <c r="AM6" s="416" t="s">
        <v>38</v>
      </c>
      <c r="AN6" s="406"/>
      <c r="AO6" s="406"/>
      <c r="AP6" s="417" t="s">
        <v>40</v>
      </c>
      <c r="AQ6" s="33"/>
      <c r="AR6" s="33"/>
      <c r="AS6" s="33"/>
      <c r="AT6" s="33"/>
      <c r="AU6" s="33"/>
      <c r="AV6" s="33"/>
      <c r="AW6" s="418" t="s">
        <v>41</v>
      </c>
      <c r="AX6" s="417" t="s">
        <v>42</v>
      </c>
      <c r="AY6" s="34"/>
      <c r="AZ6" s="419" t="s">
        <v>43</v>
      </c>
      <c r="BA6" s="421" t="s">
        <v>44</v>
      </c>
      <c r="BB6" s="421" t="s">
        <v>45</v>
      </c>
      <c r="BC6" s="421" t="s">
        <v>46</v>
      </c>
      <c r="BD6" s="421" t="s">
        <v>47</v>
      </c>
      <c r="BE6" s="421" t="s">
        <v>48</v>
      </c>
      <c r="BF6" s="421" t="s">
        <v>49</v>
      </c>
      <c r="BG6" s="421" t="s">
        <v>50</v>
      </c>
      <c r="BH6" s="380" t="s">
        <v>51</v>
      </c>
      <c r="BI6" s="380" t="s">
        <v>52</v>
      </c>
      <c r="BJ6" s="381" t="s">
        <v>53</v>
      </c>
      <c r="BK6" s="381" t="s">
        <v>54</v>
      </c>
      <c r="BL6" s="382" t="s">
        <v>23</v>
      </c>
      <c r="BM6" s="379" t="s">
        <v>55</v>
      </c>
      <c r="BN6" s="379" t="s">
        <v>56</v>
      </c>
      <c r="BO6" s="379" t="s">
        <v>57</v>
      </c>
      <c r="BP6" s="379" t="s">
        <v>58</v>
      </c>
      <c r="BQ6" s="379" t="s">
        <v>59</v>
      </c>
      <c r="BR6" s="379" t="s">
        <v>60</v>
      </c>
      <c r="BS6" s="379" t="s">
        <v>62</v>
      </c>
      <c r="BT6" s="379" t="s">
        <v>63</v>
      </c>
      <c r="BU6" s="379" t="s">
        <v>64</v>
      </c>
      <c r="BV6" s="408" t="s">
        <v>65</v>
      </c>
      <c r="BW6" s="404" t="s">
        <v>8</v>
      </c>
      <c r="BX6" s="404" t="s">
        <v>66</v>
      </c>
      <c r="BY6" s="405" t="s">
        <v>67</v>
      </c>
      <c r="BZ6" s="406"/>
      <c r="CA6" s="406"/>
      <c r="CB6" s="406"/>
      <c r="CC6" s="406"/>
      <c r="CD6" s="406"/>
      <c r="CE6" s="406"/>
      <c r="CF6" s="406"/>
      <c r="CG6" s="406"/>
      <c r="CH6" s="406"/>
      <c r="CI6" s="406"/>
      <c r="CJ6" s="407"/>
      <c r="CK6" s="422" t="s">
        <v>68</v>
      </c>
      <c r="CL6" s="35"/>
    </row>
    <row r="7" spans="1:90" ht="49.5" customHeight="1" x14ac:dyDescent="0.35">
      <c r="A7" s="378"/>
      <c r="B7" s="378"/>
      <c r="C7" s="378"/>
      <c r="D7" s="378"/>
      <c r="E7" s="378"/>
      <c r="F7" s="36" t="s">
        <v>69</v>
      </c>
      <c r="G7" s="37" t="s">
        <v>70</v>
      </c>
      <c r="H7" s="38" t="s">
        <v>71</v>
      </c>
      <c r="I7" s="39" t="s">
        <v>72</v>
      </c>
      <c r="J7" s="40" t="s">
        <v>70</v>
      </c>
      <c r="K7" s="41" t="s">
        <v>71</v>
      </c>
      <c r="L7" s="42" t="s">
        <v>73</v>
      </c>
      <c r="M7" s="37" t="s">
        <v>70</v>
      </c>
      <c r="N7" s="43" t="s">
        <v>71</v>
      </c>
      <c r="O7" s="36" t="s">
        <v>74</v>
      </c>
      <c r="P7" s="37" t="s">
        <v>70</v>
      </c>
      <c r="Q7" s="43" t="s">
        <v>71</v>
      </c>
      <c r="R7" s="36" t="s">
        <v>31</v>
      </c>
      <c r="S7" s="37" t="s">
        <v>70</v>
      </c>
      <c r="T7" s="43" t="s">
        <v>71</v>
      </c>
      <c r="U7" s="36" t="s">
        <v>75</v>
      </c>
      <c r="V7" s="37" t="s">
        <v>70</v>
      </c>
      <c r="W7" s="43" t="s">
        <v>71</v>
      </c>
      <c r="X7" s="36" t="s">
        <v>76</v>
      </c>
      <c r="Y7" s="37" t="s">
        <v>70</v>
      </c>
      <c r="Z7" s="43" t="s">
        <v>71</v>
      </c>
      <c r="AA7" s="36" t="s">
        <v>77</v>
      </c>
      <c r="AB7" s="37" t="s">
        <v>70</v>
      </c>
      <c r="AC7" s="43" t="s">
        <v>71</v>
      </c>
      <c r="AD7" s="36" t="s">
        <v>79</v>
      </c>
      <c r="AE7" s="37" t="s">
        <v>70</v>
      </c>
      <c r="AF7" s="43" t="s">
        <v>71</v>
      </c>
      <c r="AG7" s="44" t="s">
        <v>80</v>
      </c>
      <c r="AH7" s="37" t="s">
        <v>70</v>
      </c>
      <c r="AI7" s="43" t="s">
        <v>71</v>
      </c>
      <c r="AJ7" s="36" t="s">
        <v>82</v>
      </c>
      <c r="AK7" s="37" t="s">
        <v>70</v>
      </c>
      <c r="AL7" s="43" t="s">
        <v>71</v>
      </c>
      <c r="AM7" s="36" t="s">
        <v>83</v>
      </c>
      <c r="AN7" s="37" t="s">
        <v>70</v>
      </c>
      <c r="AO7" s="38" t="s">
        <v>71</v>
      </c>
      <c r="AP7" s="378"/>
      <c r="AQ7" s="39" t="s">
        <v>84</v>
      </c>
      <c r="AR7" s="40" t="s">
        <v>85</v>
      </c>
      <c r="AS7" s="41" t="s">
        <v>86</v>
      </c>
      <c r="AT7" s="39" t="s">
        <v>87</v>
      </c>
      <c r="AU7" s="40" t="s">
        <v>88</v>
      </c>
      <c r="AV7" s="41" t="s">
        <v>86</v>
      </c>
      <c r="AW7" s="378"/>
      <c r="AX7" s="378"/>
      <c r="AY7" s="46" t="s">
        <v>89</v>
      </c>
      <c r="AZ7" s="420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378"/>
      <c r="BW7" s="378"/>
      <c r="BX7" s="378"/>
      <c r="BY7" s="47" t="s">
        <v>90</v>
      </c>
      <c r="BZ7" s="47" t="s">
        <v>91</v>
      </c>
      <c r="CA7" s="47" t="s">
        <v>92</v>
      </c>
      <c r="CB7" s="47" t="s">
        <v>93</v>
      </c>
      <c r="CC7" s="47" t="s">
        <v>55</v>
      </c>
      <c r="CD7" s="48" t="s">
        <v>57</v>
      </c>
      <c r="CE7" s="47" t="s">
        <v>59</v>
      </c>
      <c r="CF7" s="49" t="s">
        <v>90</v>
      </c>
      <c r="CG7" s="49" t="s">
        <v>91</v>
      </c>
      <c r="CH7" s="49" t="s">
        <v>92</v>
      </c>
      <c r="CI7" s="49" t="s">
        <v>93</v>
      </c>
      <c r="CJ7" s="49" t="s">
        <v>55</v>
      </c>
      <c r="CK7" s="378"/>
      <c r="CL7" s="35"/>
    </row>
    <row r="8" spans="1:90" ht="18.75" customHeight="1" x14ac:dyDescent="0.35">
      <c r="A8" s="50">
        <v>1</v>
      </c>
      <c r="B8" s="51">
        <v>4</v>
      </c>
      <c r="C8" s="52" t="s">
        <v>4</v>
      </c>
      <c r="D8" s="52"/>
      <c r="E8" s="52"/>
      <c r="F8" s="53"/>
      <c r="G8" s="54">
        <v>40</v>
      </c>
      <c r="H8" s="55">
        <f t="shared" ref="H8:H42" si="0">SUM(F8*G8)</f>
        <v>0</v>
      </c>
      <c r="I8" s="53">
        <v>9033</v>
      </c>
      <c r="J8" s="56">
        <v>50</v>
      </c>
      <c r="K8" s="55">
        <f t="shared" ref="K8:K42" si="1">J8*I8</f>
        <v>451650</v>
      </c>
      <c r="L8" s="53"/>
      <c r="M8" s="57">
        <v>60</v>
      </c>
      <c r="N8" s="55">
        <f t="shared" ref="N8:N42" si="2">M8*L8</f>
        <v>0</v>
      </c>
      <c r="O8" s="53">
        <v>3130</v>
      </c>
      <c r="P8" s="57">
        <v>12</v>
      </c>
      <c r="Q8" s="55">
        <f t="shared" ref="Q8:Q42" si="3">O8*P8</f>
        <v>37560</v>
      </c>
      <c r="R8" s="53">
        <v>1608</v>
      </c>
      <c r="S8" s="59">
        <v>12</v>
      </c>
      <c r="T8" s="55">
        <f t="shared" ref="T8:T42" si="4">R8*S8</f>
        <v>19296</v>
      </c>
      <c r="U8" s="53">
        <v>852</v>
      </c>
      <c r="V8" s="57">
        <v>8</v>
      </c>
      <c r="W8" s="55">
        <f t="shared" ref="W8:W42" si="5">U8*V8</f>
        <v>6816</v>
      </c>
      <c r="X8" s="53">
        <v>556</v>
      </c>
      <c r="Y8" s="57">
        <v>12</v>
      </c>
      <c r="Z8" s="55">
        <f t="shared" ref="Z8:Z42" si="6">X8*Y8</f>
        <v>6672</v>
      </c>
      <c r="AA8" s="53">
        <v>1103</v>
      </c>
      <c r="AB8" s="57">
        <v>10</v>
      </c>
      <c r="AC8" s="55">
        <f t="shared" ref="AC8:AC42" si="7">AA8*AB8</f>
        <v>11030</v>
      </c>
      <c r="AD8" s="53">
        <v>236</v>
      </c>
      <c r="AE8" s="57">
        <v>25</v>
      </c>
      <c r="AF8" s="55">
        <f t="shared" ref="AF8:AF42" si="8">AD8*AE8</f>
        <v>5900</v>
      </c>
      <c r="AG8" s="53">
        <v>257</v>
      </c>
      <c r="AH8" s="57">
        <v>7.5</v>
      </c>
      <c r="AI8" s="55">
        <f t="shared" ref="AI8:AI42" si="9">AG8*AH8</f>
        <v>1927.5</v>
      </c>
      <c r="AJ8" s="53"/>
      <c r="AK8" s="56">
        <v>15</v>
      </c>
      <c r="AL8" s="55">
        <f t="shared" ref="AL8:AL42" si="10">AJ8*AK8</f>
        <v>0</v>
      </c>
      <c r="AM8" s="53">
        <v>180</v>
      </c>
      <c r="AN8" s="57">
        <v>10</v>
      </c>
      <c r="AO8" s="55">
        <f t="shared" ref="AO8:AO37" si="11">AM8*AN8</f>
        <v>1800</v>
      </c>
      <c r="AP8" s="53">
        <f t="shared" ref="AP8:AP42" si="12">R8+U8+X8+AA8+AD8+AG8+AM8</f>
        <v>4792</v>
      </c>
      <c r="AQ8" s="53"/>
      <c r="AR8" s="61"/>
      <c r="AS8" s="53"/>
      <c r="AT8" s="53"/>
      <c r="AU8" s="55"/>
      <c r="AV8" s="53"/>
      <c r="AW8" s="53"/>
      <c r="AX8" s="66">
        <f>936+168+346+156+42</f>
        <v>1648</v>
      </c>
      <c r="AY8" s="53"/>
      <c r="AZ8" s="68">
        <f t="shared" ref="AZ8:AZ42" si="13">O8/(I8+F8+L8)</f>
        <v>0.3465072511900808</v>
      </c>
      <c r="BA8" s="68">
        <f t="shared" ref="BA8:BA42" si="14">AP8/(I8+F8+L8)</f>
        <v>0.5304992804162515</v>
      </c>
      <c r="BB8" s="68">
        <f t="shared" ref="BB8:BB42" si="15">AX8/O8</f>
        <v>0.52651757188498405</v>
      </c>
      <c r="BC8" s="55">
        <f t="shared" ref="BC8:BC42" si="16">H8+W8+Z8+AC8+AF8+T8+K8+N8</f>
        <v>501364</v>
      </c>
      <c r="BD8" s="55">
        <f t="shared" ref="BD8:BD42" si="17">H8+AF8+T8+K8+N8</f>
        <v>476846</v>
      </c>
      <c r="BE8" s="55">
        <f t="shared" ref="BE8:BE42" si="18">H8+W8+Z8+AC8+AF8+T8+K8+N8</f>
        <v>501364</v>
      </c>
      <c r="BF8" s="55">
        <f t="shared" ref="BF8:BF42" si="19">H8+W8+Z8+AC8+AF8+AI8+T8+K8+N8</f>
        <v>503291.5</v>
      </c>
      <c r="BG8" s="62">
        <v>575689.5</v>
      </c>
      <c r="BH8" s="63">
        <v>385184.17</v>
      </c>
      <c r="BI8" s="69">
        <f t="shared" ref="BI8:BI42" si="20">+BH8/BG8%</f>
        <v>66.908319502092695</v>
      </c>
      <c r="BJ8" s="70">
        <f t="shared" ref="BJ8:BJ42" si="21">SUM(BY8+BZ8+CA8+CB8)</f>
        <v>36410</v>
      </c>
      <c r="BK8" s="71">
        <f t="shared" ref="BK8:BK42" si="22">SUM(CF8+CG8+CH8+CI8)</f>
        <v>6.3245899048011117E-2</v>
      </c>
      <c r="BL8" s="72">
        <f t="shared" ref="BL8:BL42" si="23">B8</f>
        <v>4</v>
      </c>
      <c r="BM8" s="61">
        <f t="shared" ref="BM8:BM42" si="24">CC8</f>
        <v>56211</v>
      </c>
      <c r="BN8" s="69">
        <f t="shared" ref="BN8:BN42" si="25">+BU8/BM8</f>
        <v>2.5093789471811569</v>
      </c>
      <c r="BO8" s="73">
        <f t="shared" ref="BO8:BO42" si="26">CD8</f>
        <v>875</v>
      </c>
      <c r="BP8" s="69">
        <f t="shared" ref="BP8:BP42" si="27">+BU8/BO8</f>
        <v>161.20537142857145</v>
      </c>
      <c r="BQ8" s="61">
        <f t="shared" ref="BQ8:BQ42" si="28">CE8</f>
        <v>20000</v>
      </c>
      <c r="BR8" s="69">
        <f t="shared" ref="BR8:BR42" si="29">+BU8/BQ8</f>
        <v>7.0527350000000002</v>
      </c>
      <c r="BS8" s="64">
        <f t="shared" ref="BS8:BS42" si="30">BU8-BM8-BO8-BQ8-BY8-BZ8-CA8-CB8</f>
        <v>27558.700000000012</v>
      </c>
      <c r="BT8" s="69">
        <f t="shared" ref="BT8:BT42" si="31">+BU8/BS8</f>
        <v>5.1183364962788502</v>
      </c>
      <c r="BU8" s="65">
        <v>141054.70000000001</v>
      </c>
      <c r="BV8" s="74">
        <f t="shared" ref="BV8:BV42" si="32">+BU8/BG8%</f>
        <v>24.501871234406742</v>
      </c>
      <c r="BW8" s="75">
        <f t="shared" ref="BW8:BW42" si="33">SUM(BG8-BH8-BU8)</f>
        <v>49450.630000000005</v>
      </c>
      <c r="BX8" s="69">
        <f t="shared" ref="BX8:BX42" si="34">+BW8/BG8%</f>
        <v>8.5898092635005501</v>
      </c>
      <c r="BY8" s="55">
        <v>14719</v>
      </c>
      <c r="BZ8" s="55">
        <v>7955</v>
      </c>
      <c r="CA8" s="55">
        <v>10496</v>
      </c>
      <c r="CB8" s="55">
        <v>3240</v>
      </c>
      <c r="CC8" s="64">
        <v>56211</v>
      </c>
      <c r="CD8" s="64">
        <v>875</v>
      </c>
      <c r="CE8" s="64">
        <v>20000</v>
      </c>
      <c r="CF8" s="76">
        <f t="shared" ref="CF8:CF42" si="35">BY8/BG8</f>
        <v>2.5567601979886726E-2</v>
      </c>
      <c r="CG8" s="76">
        <f t="shared" ref="CG8:CG42" si="36">BZ8/BG8</f>
        <v>1.3818212769209791E-2</v>
      </c>
      <c r="CH8" s="76">
        <f t="shared" ref="CH8:CH42" si="37">CA8/BG8</f>
        <v>1.8232050436910868E-2</v>
      </c>
      <c r="CI8" s="76">
        <f t="shared" ref="CI8:CI42" si="38">CB8/BG8</f>
        <v>5.6280338620037368E-3</v>
      </c>
      <c r="CJ8" s="76">
        <f t="shared" ref="CJ8:CJ42" si="39">CC8/BG8</f>
        <v>9.7641176363300011E-2</v>
      </c>
      <c r="CK8" s="63">
        <f t="shared" ref="CK8:CK42" si="40">+BW8*20%</f>
        <v>9890.126000000002</v>
      </c>
    </row>
    <row r="9" spans="1:90" ht="18.75" customHeight="1" x14ac:dyDescent="0.35">
      <c r="A9" s="50">
        <f t="shared" ref="A9:A42" si="41">A8+1</f>
        <v>2</v>
      </c>
      <c r="B9" s="51">
        <v>5</v>
      </c>
      <c r="C9" s="52" t="s">
        <v>9</v>
      </c>
      <c r="D9" s="52"/>
      <c r="E9" s="52"/>
      <c r="F9" s="53"/>
      <c r="G9" s="54">
        <v>40</v>
      </c>
      <c r="H9" s="55">
        <f t="shared" si="0"/>
        <v>0</v>
      </c>
      <c r="I9" s="53">
        <v>13187</v>
      </c>
      <c r="J9" s="56">
        <v>50</v>
      </c>
      <c r="K9" s="55">
        <f t="shared" si="1"/>
        <v>659350</v>
      </c>
      <c r="L9" s="53"/>
      <c r="M9" s="57">
        <v>60</v>
      </c>
      <c r="N9" s="55">
        <f t="shared" si="2"/>
        <v>0</v>
      </c>
      <c r="O9" s="53">
        <v>5612</v>
      </c>
      <c r="P9" s="57">
        <v>12</v>
      </c>
      <c r="Q9" s="55">
        <f t="shared" si="3"/>
        <v>67344</v>
      </c>
      <c r="R9" s="53">
        <v>1684</v>
      </c>
      <c r="S9" s="59">
        <v>12</v>
      </c>
      <c r="T9" s="55">
        <f t="shared" si="4"/>
        <v>20208</v>
      </c>
      <c r="U9" s="53">
        <v>726</v>
      </c>
      <c r="V9" s="57">
        <v>8</v>
      </c>
      <c r="W9" s="55">
        <f t="shared" si="5"/>
        <v>5808</v>
      </c>
      <c r="X9" s="53">
        <v>489</v>
      </c>
      <c r="Y9" s="57">
        <v>12</v>
      </c>
      <c r="Z9" s="55">
        <f t="shared" si="6"/>
        <v>5868</v>
      </c>
      <c r="AA9" s="53">
        <v>989</v>
      </c>
      <c r="AB9" s="57">
        <v>10</v>
      </c>
      <c r="AC9" s="55">
        <f t="shared" si="7"/>
        <v>9890</v>
      </c>
      <c r="AD9" s="53">
        <v>274</v>
      </c>
      <c r="AE9" s="57">
        <v>25</v>
      </c>
      <c r="AF9" s="55">
        <f t="shared" si="8"/>
        <v>6850</v>
      </c>
      <c r="AG9" s="53">
        <v>144</v>
      </c>
      <c r="AH9" s="57">
        <v>7.5</v>
      </c>
      <c r="AI9" s="55">
        <f t="shared" si="9"/>
        <v>1080</v>
      </c>
      <c r="AJ9" s="53"/>
      <c r="AK9" s="56">
        <v>15</v>
      </c>
      <c r="AL9" s="55">
        <f t="shared" si="10"/>
        <v>0</v>
      </c>
      <c r="AM9" s="53">
        <v>180</v>
      </c>
      <c r="AN9" s="57">
        <v>10</v>
      </c>
      <c r="AO9" s="55">
        <f t="shared" si="11"/>
        <v>1800</v>
      </c>
      <c r="AP9" s="53">
        <f t="shared" si="12"/>
        <v>4486</v>
      </c>
      <c r="AQ9" s="53"/>
      <c r="AR9" s="61"/>
      <c r="AS9" s="53"/>
      <c r="AT9" s="53"/>
      <c r="AU9" s="55"/>
      <c r="AV9" s="53"/>
      <c r="AW9" s="53"/>
      <c r="AX9" s="66">
        <f>1343+223+360+95+331+83</f>
        <v>2435</v>
      </c>
      <c r="AY9" s="53"/>
      <c r="AZ9" s="68">
        <f t="shared" si="13"/>
        <v>0.42557063774929854</v>
      </c>
      <c r="BA9" s="68">
        <f t="shared" si="14"/>
        <v>0.34018351406688407</v>
      </c>
      <c r="BB9" s="68">
        <f t="shared" si="15"/>
        <v>0.43389166072701352</v>
      </c>
      <c r="BC9" s="55">
        <f t="shared" si="16"/>
        <v>707974</v>
      </c>
      <c r="BD9" s="55">
        <f t="shared" si="17"/>
        <v>686408</v>
      </c>
      <c r="BE9" s="55">
        <f t="shared" si="18"/>
        <v>707974</v>
      </c>
      <c r="BF9" s="55">
        <f t="shared" si="19"/>
        <v>709054</v>
      </c>
      <c r="BG9" s="62">
        <v>824216</v>
      </c>
      <c r="BH9" s="63">
        <v>552617.61</v>
      </c>
      <c r="BI9" s="69">
        <f t="shared" si="20"/>
        <v>67.04766832966115</v>
      </c>
      <c r="BJ9" s="70">
        <f t="shared" si="21"/>
        <v>55735</v>
      </c>
      <c r="BK9" s="71">
        <f t="shared" si="22"/>
        <v>6.7621836994185988E-2</v>
      </c>
      <c r="BL9" s="72">
        <f t="shared" si="23"/>
        <v>5</v>
      </c>
      <c r="BM9" s="61">
        <f t="shared" si="24"/>
        <v>71152</v>
      </c>
      <c r="BN9" s="69">
        <f t="shared" si="25"/>
        <v>2.9207821284011692</v>
      </c>
      <c r="BO9" s="73">
        <f t="shared" si="26"/>
        <v>1062.5</v>
      </c>
      <c r="BP9" s="69">
        <f t="shared" si="27"/>
        <v>195.59481411764705</v>
      </c>
      <c r="BQ9" s="61">
        <f t="shared" si="28"/>
        <v>31500</v>
      </c>
      <c r="BR9" s="69">
        <f t="shared" si="29"/>
        <v>6.5974441269841266</v>
      </c>
      <c r="BS9" s="64">
        <f t="shared" si="30"/>
        <v>48369.989999999991</v>
      </c>
      <c r="BT9" s="69">
        <f t="shared" si="31"/>
        <v>4.2964550954010958</v>
      </c>
      <c r="BU9" s="65">
        <v>207819.49</v>
      </c>
      <c r="BV9" s="74">
        <f t="shared" si="32"/>
        <v>25.214202345016353</v>
      </c>
      <c r="BW9" s="75">
        <f t="shared" si="33"/>
        <v>63778.900000000023</v>
      </c>
      <c r="BX9" s="69">
        <f t="shared" si="34"/>
        <v>7.7381293253224914</v>
      </c>
      <c r="BY9" s="55">
        <v>22133</v>
      </c>
      <c r="BZ9" s="55">
        <v>12728</v>
      </c>
      <c r="CA9" s="55">
        <v>15744</v>
      </c>
      <c r="CB9" s="55">
        <v>5130</v>
      </c>
      <c r="CC9" s="64">
        <v>71152</v>
      </c>
      <c r="CD9" s="64">
        <v>1062.5</v>
      </c>
      <c r="CE9" s="64">
        <v>31500</v>
      </c>
      <c r="CF9" s="76">
        <f t="shared" si="35"/>
        <v>2.6853397653042406E-2</v>
      </c>
      <c r="CG9" s="76">
        <f t="shared" si="36"/>
        <v>1.5442553893639532E-2</v>
      </c>
      <c r="CH9" s="76">
        <f t="shared" si="37"/>
        <v>1.9101788851466121E-2</v>
      </c>
      <c r="CI9" s="76">
        <f t="shared" si="38"/>
        <v>6.2240965960379318E-3</v>
      </c>
      <c r="CJ9" s="76">
        <f t="shared" si="39"/>
        <v>8.6326885185436825E-2</v>
      </c>
      <c r="CK9" s="63">
        <f t="shared" si="40"/>
        <v>12755.780000000006</v>
      </c>
    </row>
    <row r="10" spans="1:90" ht="18.75" customHeight="1" x14ac:dyDescent="0.35">
      <c r="A10" s="50">
        <f t="shared" si="41"/>
        <v>3</v>
      </c>
      <c r="B10" s="58">
        <v>4</v>
      </c>
      <c r="C10" s="52" t="s">
        <v>11</v>
      </c>
      <c r="D10" s="52"/>
      <c r="E10" s="52"/>
      <c r="F10" s="53"/>
      <c r="G10" s="54">
        <v>40</v>
      </c>
      <c r="H10" s="55">
        <f t="shared" si="0"/>
        <v>0</v>
      </c>
      <c r="I10" s="53">
        <v>8461</v>
      </c>
      <c r="J10" s="56">
        <v>50</v>
      </c>
      <c r="K10" s="55">
        <f t="shared" si="1"/>
        <v>423050</v>
      </c>
      <c r="L10" s="53"/>
      <c r="M10" s="57">
        <v>60</v>
      </c>
      <c r="N10" s="55">
        <f t="shared" si="2"/>
        <v>0</v>
      </c>
      <c r="O10" s="53">
        <v>5149</v>
      </c>
      <c r="P10" s="57">
        <v>12</v>
      </c>
      <c r="Q10" s="55">
        <f t="shared" si="3"/>
        <v>61788</v>
      </c>
      <c r="R10" s="53">
        <v>4313</v>
      </c>
      <c r="S10" s="59">
        <v>12</v>
      </c>
      <c r="T10" s="55">
        <f t="shared" si="4"/>
        <v>51756</v>
      </c>
      <c r="U10" s="53">
        <v>1115</v>
      </c>
      <c r="V10" s="57">
        <v>8</v>
      </c>
      <c r="W10" s="55">
        <f t="shared" si="5"/>
        <v>8920</v>
      </c>
      <c r="X10" s="53">
        <v>245</v>
      </c>
      <c r="Y10" s="57">
        <v>12</v>
      </c>
      <c r="Z10" s="55">
        <f t="shared" si="6"/>
        <v>2940</v>
      </c>
      <c r="AA10" s="53">
        <v>1011</v>
      </c>
      <c r="AB10" s="57">
        <v>10</v>
      </c>
      <c r="AC10" s="55">
        <f t="shared" si="7"/>
        <v>10110</v>
      </c>
      <c r="AD10" s="53">
        <v>415</v>
      </c>
      <c r="AE10" s="57">
        <v>25</v>
      </c>
      <c r="AF10" s="55">
        <f t="shared" si="8"/>
        <v>10375</v>
      </c>
      <c r="AG10" s="53">
        <v>724</v>
      </c>
      <c r="AH10" s="57">
        <v>7.5</v>
      </c>
      <c r="AI10" s="55">
        <f t="shared" si="9"/>
        <v>5430</v>
      </c>
      <c r="AJ10" s="53"/>
      <c r="AK10" s="56">
        <v>15</v>
      </c>
      <c r="AL10" s="55">
        <f t="shared" si="10"/>
        <v>0</v>
      </c>
      <c r="AM10" s="53">
        <v>297</v>
      </c>
      <c r="AN10" s="57">
        <v>10</v>
      </c>
      <c r="AO10" s="55">
        <f t="shared" si="11"/>
        <v>2970</v>
      </c>
      <c r="AP10" s="53">
        <f t="shared" si="12"/>
        <v>8120</v>
      </c>
      <c r="AQ10" s="53"/>
      <c r="AR10" s="61"/>
      <c r="AS10" s="53"/>
      <c r="AT10" s="53"/>
      <c r="AU10" s="55"/>
      <c r="AV10" s="53"/>
      <c r="AW10" s="53"/>
      <c r="AX10" s="66">
        <f>294+983+136+177+114</f>
        <v>1704</v>
      </c>
      <c r="AY10" s="53"/>
      <c r="AZ10" s="68">
        <f t="shared" si="13"/>
        <v>0.60855690816688335</v>
      </c>
      <c r="BA10" s="68">
        <f t="shared" si="14"/>
        <v>0.95969743529133678</v>
      </c>
      <c r="BB10" s="68">
        <f t="shared" si="15"/>
        <v>0.33093804622256751</v>
      </c>
      <c r="BC10" s="55">
        <f t="shared" si="16"/>
        <v>507151</v>
      </c>
      <c r="BD10" s="55">
        <f t="shared" si="17"/>
        <v>485181</v>
      </c>
      <c r="BE10" s="55">
        <f t="shared" si="18"/>
        <v>507151</v>
      </c>
      <c r="BF10" s="55">
        <f t="shared" si="19"/>
        <v>512581</v>
      </c>
      <c r="BG10" s="62">
        <v>610111</v>
      </c>
      <c r="BH10" s="63">
        <v>411472.29</v>
      </c>
      <c r="BI10" s="69">
        <f t="shared" si="20"/>
        <v>67.44220150103834</v>
      </c>
      <c r="BJ10" s="70">
        <f t="shared" si="21"/>
        <v>34941.5</v>
      </c>
      <c r="BK10" s="71">
        <f t="shared" si="22"/>
        <v>5.7270726146553666E-2</v>
      </c>
      <c r="BL10" s="72">
        <f t="shared" si="23"/>
        <v>4</v>
      </c>
      <c r="BM10" s="61">
        <f t="shared" si="24"/>
        <v>70525</v>
      </c>
      <c r="BN10" s="69">
        <f t="shared" si="25"/>
        <v>2.2182603332151718</v>
      </c>
      <c r="BO10" s="73">
        <f t="shared" si="26"/>
        <v>750</v>
      </c>
      <c r="BP10" s="69">
        <f t="shared" si="27"/>
        <v>208.59041333333332</v>
      </c>
      <c r="BQ10" s="61">
        <f t="shared" si="28"/>
        <v>16000</v>
      </c>
      <c r="BR10" s="69">
        <f t="shared" si="29"/>
        <v>9.7776756250000005</v>
      </c>
      <c r="BS10" s="64">
        <f t="shared" si="30"/>
        <v>34226.31</v>
      </c>
      <c r="BT10" s="69">
        <f t="shared" si="31"/>
        <v>4.5708348343715697</v>
      </c>
      <c r="BU10" s="65">
        <v>156442.81</v>
      </c>
      <c r="BV10" s="74">
        <f t="shared" si="32"/>
        <v>25.641696347058158</v>
      </c>
      <c r="BW10" s="75">
        <f t="shared" si="33"/>
        <v>42195.900000000023</v>
      </c>
      <c r="BX10" s="69">
        <f t="shared" si="34"/>
        <v>6.9161021519035106</v>
      </c>
      <c r="BY10" s="55">
        <v>11119.5</v>
      </c>
      <c r="BZ10" s="55">
        <v>9546</v>
      </c>
      <c r="CA10" s="55">
        <v>10496</v>
      </c>
      <c r="CB10" s="55">
        <v>3780</v>
      </c>
      <c r="CC10" s="64">
        <v>70525</v>
      </c>
      <c r="CD10" s="64">
        <v>750</v>
      </c>
      <c r="CE10" s="64">
        <v>16000</v>
      </c>
      <c r="CF10" s="76">
        <f t="shared" si="35"/>
        <v>1.8225372104420344E-2</v>
      </c>
      <c r="CG10" s="76">
        <f t="shared" si="36"/>
        <v>1.5646333208219489E-2</v>
      </c>
      <c r="CH10" s="76">
        <f t="shared" si="37"/>
        <v>1.7203426917396999E-2</v>
      </c>
      <c r="CI10" s="76">
        <f t="shared" si="38"/>
        <v>6.1955939165168304E-3</v>
      </c>
      <c r="CJ10" s="76">
        <f t="shared" si="39"/>
        <v>0.11559371983130938</v>
      </c>
      <c r="CK10" s="63">
        <f t="shared" si="40"/>
        <v>8439.1800000000057</v>
      </c>
    </row>
    <row r="11" spans="1:90" ht="18.75" customHeight="1" x14ac:dyDescent="0.35">
      <c r="A11" s="50">
        <f t="shared" si="41"/>
        <v>4</v>
      </c>
      <c r="B11" s="58">
        <v>2</v>
      </c>
      <c r="C11" s="52" t="s">
        <v>105</v>
      </c>
      <c r="D11" s="52"/>
      <c r="E11" s="52"/>
      <c r="F11" s="53"/>
      <c r="G11" s="54">
        <v>40</v>
      </c>
      <c r="H11" s="55">
        <f t="shared" si="0"/>
        <v>0</v>
      </c>
      <c r="I11" s="53">
        <v>3994</v>
      </c>
      <c r="J11" s="56">
        <v>50</v>
      </c>
      <c r="K11" s="55">
        <f t="shared" si="1"/>
        <v>199700</v>
      </c>
      <c r="L11" s="53"/>
      <c r="M11" s="57">
        <v>60</v>
      </c>
      <c r="N11" s="55">
        <f t="shared" si="2"/>
        <v>0</v>
      </c>
      <c r="O11" s="53">
        <v>2381</v>
      </c>
      <c r="P11" s="57">
        <v>12</v>
      </c>
      <c r="Q11" s="55">
        <f t="shared" si="3"/>
        <v>28572</v>
      </c>
      <c r="R11" s="53">
        <v>3438</v>
      </c>
      <c r="S11" s="59">
        <v>12</v>
      </c>
      <c r="T11" s="55">
        <f t="shared" si="4"/>
        <v>41256</v>
      </c>
      <c r="U11" s="53">
        <v>371</v>
      </c>
      <c r="V11" s="57">
        <v>8</v>
      </c>
      <c r="W11" s="55">
        <f t="shared" si="5"/>
        <v>2968</v>
      </c>
      <c r="X11" s="53">
        <v>130</v>
      </c>
      <c r="Y11" s="57">
        <v>12</v>
      </c>
      <c r="Z11" s="55">
        <f t="shared" si="6"/>
        <v>1560</v>
      </c>
      <c r="AA11" s="53">
        <v>370</v>
      </c>
      <c r="AB11" s="57">
        <v>10</v>
      </c>
      <c r="AC11" s="55">
        <f t="shared" si="7"/>
        <v>3700</v>
      </c>
      <c r="AD11" s="53">
        <v>174</v>
      </c>
      <c r="AE11" s="57">
        <v>25</v>
      </c>
      <c r="AF11" s="55">
        <f t="shared" si="8"/>
        <v>4350</v>
      </c>
      <c r="AG11" s="53">
        <v>197</v>
      </c>
      <c r="AH11" s="57">
        <v>7.5</v>
      </c>
      <c r="AI11" s="55">
        <f t="shared" si="9"/>
        <v>1477.5</v>
      </c>
      <c r="AJ11" s="53"/>
      <c r="AK11" s="56">
        <v>15</v>
      </c>
      <c r="AL11" s="55">
        <f t="shared" si="10"/>
        <v>0</v>
      </c>
      <c r="AM11" s="53">
        <v>172</v>
      </c>
      <c r="AN11" s="57">
        <v>10</v>
      </c>
      <c r="AO11" s="55">
        <f t="shared" si="11"/>
        <v>1720</v>
      </c>
      <c r="AP11" s="53">
        <f t="shared" si="12"/>
        <v>4852</v>
      </c>
      <c r="AQ11" s="53"/>
      <c r="AR11" s="61"/>
      <c r="AS11" s="53"/>
      <c r="AT11" s="53"/>
      <c r="AU11" s="55"/>
      <c r="AV11" s="53"/>
      <c r="AW11" s="53"/>
      <c r="AX11" s="66">
        <v>1014</v>
      </c>
      <c r="AY11" s="53"/>
      <c r="AZ11" s="68">
        <f t="shared" si="13"/>
        <v>0.59614421632448678</v>
      </c>
      <c r="BA11" s="68">
        <f t="shared" si="14"/>
        <v>1.2148222333500249</v>
      </c>
      <c r="BB11" s="68">
        <f t="shared" si="15"/>
        <v>0.42587148257034857</v>
      </c>
      <c r="BC11" s="55">
        <f t="shared" si="16"/>
        <v>253534</v>
      </c>
      <c r="BD11" s="55">
        <f t="shared" si="17"/>
        <v>245306</v>
      </c>
      <c r="BE11" s="55">
        <f t="shared" si="18"/>
        <v>253534</v>
      </c>
      <c r="BF11" s="55">
        <f t="shared" si="19"/>
        <v>255011.5</v>
      </c>
      <c r="BG11" s="62">
        <v>304710.5</v>
      </c>
      <c r="BH11" s="63">
        <v>203245.08</v>
      </c>
      <c r="BI11" s="69">
        <f t="shared" si="20"/>
        <v>66.701042464897</v>
      </c>
      <c r="BJ11" s="70">
        <f t="shared" si="21"/>
        <v>21455</v>
      </c>
      <c r="BK11" s="71">
        <f t="shared" si="22"/>
        <v>7.0411095121434925E-2</v>
      </c>
      <c r="BL11" s="72">
        <f t="shared" si="23"/>
        <v>2</v>
      </c>
      <c r="BM11" s="61">
        <f t="shared" si="24"/>
        <v>35637.5</v>
      </c>
      <c r="BN11" s="69">
        <f t="shared" si="25"/>
        <v>2.6343118905647138</v>
      </c>
      <c r="BO11" s="73">
        <f t="shared" si="26"/>
        <v>3156.25</v>
      </c>
      <c r="BP11" s="69">
        <f t="shared" si="27"/>
        <v>29.744250297029701</v>
      </c>
      <c r="BQ11" s="61">
        <f t="shared" si="28"/>
        <v>8269</v>
      </c>
      <c r="BR11" s="69">
        <f t="shared" si="29"/>
        <v>11.353282138106179</v>
      </c>
      <c r="BS11" s="64">
        <f t="shared" si="30"/>
        <v>25362.539999999994</v>
      </c>
      <c r="BT11" s="69">
        <f t="shared" si="31"/>
        <v>3.701533442628381</v>
      </c>
      <c r="BU11" s="65">
        <v>93880.29</v>
      </c>
      <c r="BV11" s="74">
        <f t="shared" si="32"/>
        <v>30.809666880530862</v>
      </c>
      <c r="BW11" s="75">
        <f t="shared" si="33"/>
        <v>7585.1300000000192</v>
      </c>
      <c r="BX11" s="69">
        <f t="shared" si="34"/>
        <v>2.4892906545721329</v>
      </c>
      <c r="BY11" s="55">
        <v>7413</v>
      </c>
      <c r="BZ11" s="55">
        <v>6364</v>
      </c>
      <c r="CA11" s="55">
        <v>5248</v>
      </c>
      <c r="CB11" s="55">
        <v>2430</v>
      </c>
      <c r="CC11" s="64">
        <v>35637.5</v>
      </c>
      <c r="CD11" s="64">
        <v>3156.25</v>
      </c>
      <c r="CE11" s="64">
        <v>8269</v>
      </c>
      <c r="CF11" s="76">
        <f t="shared" si="35"/>
        <v>2.4328009701011288E-2</v>
      </c>
      <c r="CG11" s="76">
        <f t="shared" si="36"/>
        <v>2.0885397779203538E-2</v>
      </c>
      <c r="CH11" s="76">
        <f t="shared" si="37"/>
        <v>1.7222905019682617E-2</v>
      </c>
      <c r="CI11" s="76">
        <f t="shared" si="38"/>
        <v>7.9747826215374913E-3</v>
      </c>
      <c r="CJ11" s="76">
        <f t="shared" si="39"/>
        <v>0.11695527394034666</v>
      </c>
      <c r="CK11" s="63">
        <f t="shared" si="40"/>
        <v>1517.0260000000039</v>
      </c>
    </row>
    <row r="12" spans="1:90" ht="18.75" customHeight="1" x14ac:dyDescent="0.35">
      <c r="A12" s="50">
        <f t="shared" si="41"/>
        <v>5</v>
      </c>
      <c r="B12" s="58">
        <v>4</v>
      </c>
      <c r="C12" s="52" t="s">
        <v>108</v>
      </c>
      <c r="D12" s="52"/>
      <c r="E12" s="52"/>
      <c r="F12" s="53"/>
      <c r="G12" s="54">
        <v>40</v>
      </c>
      <c r="H12" s="55">
        <f t="shared" si="0"/>
        <v>0</v>
      </c>
      <c r="I12" s="53">
        <v>7383</v>
      </c>
      <c r="J12" s="56">
        <v>50</v>
      </c>
      <c r="K12" s="55">
        <f t="shared" si="1"/>
        <v>369150</v>
      </c>
      <c r="L12" s="53"/>
      <c r="M12" s="57">
        <v>60</v>
      </c>
      <c r="N12" s="55">
        <f t="shared" si="2"/>
        <v>0</v>
      </c>
      <c r="O12" s="53">
        <v>6567</v>
      </c>
      <c r="P12" s="57">
        <v>12</v>
      </c>
      <c r="Q12" s="55">
        <f t="shared" si="3"/>
        <v>78804</v>
      </c>
      <c r="R12" s="53">
        <v>1880</v>
      </c>
      <c r="S12" s="59">
        <v>12</v>
      </c>
      <c r="T12" s="55">
        <f t="shared" si="4"/>
        <v>22560</v>
      </c>
      <c r="U12" s="53">
        <v>1209</v>
      </c>
      <c r="V12" s="57">
        <v>8</v>
      </c>
      <c r="W12" s="55">
        <f t="shared" si="5"/>
        <v>9672</v>
      </c>
      <c r="X12" s="53">
        <v>523</v>
      </c>
      <c r="Y12" s="57">
        <v>12</v>
      </c>
      <c r="Z12" s="55">
        <f t="shared" si="6"/>
        <v>6276</v>
      </c>
      <c r="AA12" s="53">
        <v>919</v>
      </c>
      <c r="AB12" s="57">
        <v>10</v>
      </c>
      <c r="AC12" s="55">
        <f t="shared" si="7"/>
        <v>9190</v>
      </c>
      <c r="AD12" s="53">
        <v>315</v>
      </c>
      <c r="AE12" s="57">
        <v>25</v>
      </c>
      <c r="AF12" s="55">
        <f t="shared" si="8"/>
        <v>7875</v>
      </c>
      <c r="AG12" s="53">
        <v>540</v>
      </c>
      <c r="AH12" s="57">
        <v>7.5</v>
      </c>
      <c r="AI12" s="55">
        <f t="shared" si="9"/>
        <v>4050</v>
      </c>
      <c r="AJ12" s="53"/>
      <c r="AK12" s="56">
        <v>15</v>
      </c>
      <c r="AL12" s="55">
        <f t="shared" si="10"/>
        <v>0</v>
      </c>
      <c r="AM12" s="53">
        <v>226</v>
      </c>
      <c r="AN12" s="57">
        <v>10</v>
      </c>
      <c r="AO12" s="55">
        <f t="shared" si="11"/>
        <v>2260</v>
      </c>
      <c r="AP12" s="53">
        <f t="shared" si="12"/>
        <v>5612</v>
      </c>
      <c r="AQ12" s="53"/>
      <c r="AR12" s="61"/>
      <c r="AS12" s="53"/>
      <c r="AT12" s="53"/>
      <c r="AU12" s="55"/>
      <c r="AV12" s="53"/>
      <c r="AW12" s="53"/>
      <c r="AX12" s="66">
        <v>2175</v>
      </c>
      <c r="AY12" s="53"/>
      <c r="AZ12" s="68">
        <f t="shared" si="13"/>
        <v>0.88947582283624538</v>
      </c>
      <c r="BA12" s="68">
        <f t="shared" si="14"/>
        <v>0.76012461059190028</v>
      </c>
      <c r="BB12" s="68">
        <f t="shared" si="15"/>
        <v>0.33120146185472821</v>
      </c>
      <c r="BC12" s="55">
        <f t="shared" si="16"/>
        <v>424723</v>
      </c>
      <c r="BD12" s="55">
        <f t="shared" si="17"/>
        <v>399585</v>
      </c>
      <c r="BE12" s="55">
        <f t="shared" si="18"/>
        <v>424723</v>
      </c>
      <c r="BF12" s="55">
        <f t="shared" si="19"/>
        <v>428773</v>
      </c>
      <c r="BG12" s="62">
        <v>550265</v>
      </c>
      <c r="BH12" s="63">
        <v>369484.17</v>
      </c>
      <c r="BI12" s="69">
        <f t="shared" si="20"/>
        <v>67.146587553269796</v>
      </c>
      <c r="BJ12" s="70">
        <f t="shared" si="21"/>
        <v>36833.75</v>
      </c>
      <c r="BK12" s="71">
        <f t="shared" si="22"/>
        <v>6.6938202502430655E-2</v>
      </c>
      <c r="BL12" s="72">
        <f t="shared" si="23"/>
        <v>4</v>
      </c>
      <c r="BM12" s="61">
        <f t="shared" si="24"/>
        <v>62525</v>
      </c>
      <c r="BN12" s="69">
        <f t="shared" si="25"/>
        <v>2.8214886845261895</v>
      </c>
      <c r="BO12" s="73">
        <f t="shared" si="26"/>
        <v>375</v>
      </c>
      <c r="BP12" s="69">
        <f t="shared" si="27"/>
        <v>470.43621333333328</v>
      </c>
      <c r="BQ12" s="61">
        <f t="shared" si="28"/>
        <v>28000</v>
      </c>
      <c r="BR12" s="69">
        <f t="shared" si="29"/>
        <v>6.3004849999999992</v>
      </c>
      <c r="BS12" s="64">
        <f t="shared" si="30"/>
        <v>48679.829999999987</v>
      </c>
      <c r="BT12" s="69">
        <f t="shared" si="31"/>
        <v>3.6239563696093442</v>
      </c>
      <c r="BU12" s="65">
        <v>176413.58</v>
      </c>
      <c r="BV12" s="74">
        <f t="shared" si="32"/>
        <v>32.05974939347405</v>
      </c>
      <c r="BW12" s="75">
        <f t="shared" si="33"/>
        <v>4367.2500000000291</v>
      </c>
      <c r="BX12" s="69">
        <f t="shared" si="34"/>
        <v>0.79366305325616371</v>
      </c>
      <c r="BY12" s="55">
        <v>11119.5</v>
      </c>
      <c r="BZ12" s="55">
        <v>11137</v>
      </c>
      <c r="CA12" s="55">
        <v>10797.25</v>
      </c>
      <c r="CB12" s="55">
        <v>3780</v>
      </c>
      <c r="CC12" s="64">
        <v>62525</v>
      </c>
      <c r="CD12" s="64">
        <v>375</v>
      </c>
      <c r="CE12" s="64">
        <v>28000</v>
      </c>
      <c r="CF12" s="76">
        <f t="shared" si="35"/>
        <v>2.0207536368840467E-2</v>
      </c>
      <c r="CG12" s="76">
        <f t="shared" si="36"/>
        <v>2.023933922746313E-2</v>
      </c>
      <c r="CH12" s="76">
        <f t="shared" si="37"/>
        <v>1.9621909443631704E-2</v>
      </c>
      <c r="CI12" s="76">
        <f t="shared" si="38"/>
        <v>6.8694174624953433E-3</v>
      </c>
      <c r="CJ12" s="76">
        <f t="shared" si="39"/>
        <v>0.1136270705932596</v>
      </c>
      <c r="CK12" s="63">
        <f t="shared" si="40"/>
        <v>873.45000000000584</v>
      </c>
    </row>
    <row r="13" spans="1:90" ht="18.75" customHeight="1" x14ac:dyDescent="0.35">
      <c r="A13" s="50">
        <f t="shared" si="41"/>
        <v>6</v>
      </c>
      <c r="B13" s="58">
        <v>4</v>
      </c>
      <c r="C13" s="52" t="s">
        <v>111</v>
      </c>
      <c r="D13" s="52"/>
      <c r="E13" s="52"/>
      <c r="F13" s="53"/>
      <c r="G13" s="54">
        <v>40</v>
      </c>
      <c r="H13" s="55">
        <f t="shared" si="0"/>
        <v>0</v>
      </c>
      <c r="I13" s="53">
        <v>10401</v>
      </c>
      <c r="J13" s="56">
        <v>50</v>
      </c>
      <c r="K13" s="55">
        <f t="shared" si="1"/>
        <v>520050</v>
      </c>
      <c r="L13" s="53"/>
      <c r="M13" s="57">
        <v>60</v>
      </c>
      <c r="N13" s="55">
        <f t="shared" si="2"/>
        <v>0</v>
      </c>
      <c r="O13" s="53">
        <v>3494</v>
      </c>
      <c r="P13" s="57">
        <v>12</v>
      </c>
      <c r="Q13" s="55">
        <f t="shared" si="3"/>
        <v>41928</v>
      </c>
      <c r="R13" s="53"/>
      <c r="S13" s="59">
        <v>12</v>
      </c>
      <c r="T13" s="55">
        <f t="shared" si="4"/>
        <v>0</v>
      </c>
      <c r="U13" s="53">
        <v>800</v>
      </c>
      <c r="V13" s="57">
        <v>8</v>
      </c>
      <c r="W13" s="55">
        <f t="shared" si="5"/>
        <v>6400</v>
      </c>
      <c r="X13" s="53">
        <v>522</v>
      </c>
      <c r="Y13" s="57">
        <v>12</v>
      </c>
      <c r="Z13" s="55">
        <f t="shared" si="6"/>
        <v>6264</v>
      </c>
      <c r="AA13" s="53">
        <v>1086</v>
      </c>
      <c r="AB13" s="57">
        <v>10</v>
      </c>
      <c r="AC13" s="55">
        <f t="shared" si="7"/>
        <v>10860</v>
      </c>
      <c r="AD13" s="53">
        <v>340</v>
      </c>
      <c r="AE13" s="57">
        <v>25</v>
      </c>
      <c r="AF13" s="55">
        <f t="shared" si="8"/>
        <v>8500</v>
      </c>
      <c r="AG13" s="53">
        <v>369</v>
      </c>
      <c r="AH13" s="57">
        <v>7.5</v>
      </c>
      <c r="AI13" s="55">
        <f t="shared" si="9"/>
        <v>2767.5</v>
      </c>
      <c r="AJ13" s="53"/>
      <c r="AK13" s="56">
        <v>15</v>
      </c>
      <c r="AL13" s="55">
        <f t="shared" si="10"/>
        <v>0</v>
      </c>
      <c r="AM13" s="53"/>
      <c r="AN13" s="57">
        <v>10</v>
      </c>
      <c r="AO13" s="55">
        <f t="shared" si="11"/>
        <v>0</v>
      </c>
      <c r="AP13" s="53">
        <f t="shared" si="12"/>
        <v>3117</v>
      </c>
      <c r="AQ13" s="53"/>
      <c r="AR13" s="61"/>
      <c r="AS13" s="53"/>
      <c r="AT13" s="53"/>
      <c r="AU13" s="55"/>
      <c r="AV13" s="53"/>
      <c r="AW13" s="53"/>
      <c r="AX13" s="66">
        <v>1309</v>
      </c>
      <c r="AY13" s="53"/>
      <c r="AZ13" s="68">
        <f t="shared" si="13"/>
        <v>0.33592923757331028</v>
      </c>
      <c r="BA13" s="68">
        <f t="shared" si="14"/>
        <v>0.29968272281511393</v>
      </c>
      <c r="BB13" s="68">
        <f t="shared" si="15"/>
        <v>0.37464224384659417</v>
      </c>
      <c r="BC13" s="55">
        <f t="shared" si="16"/>
        <v>552074</v>
      </c>
      <c r="BD13" s="55">
        <f t="shared" si="17"/>
        <v>528550</v>
      </c>
      <c r="BE13" s="55">
        <f t="shared" si="18"/>
        <v>552074</v>
      </c>
      <c r="BF13" s="55">
        <f t="shared" si="19"/>
        <v>554841.5</v>
      </c>
      <c r="BG13" s="62">
        <v>623237</v>
      </c>
      <c r="BH13" s="63">
        <v>419147.42</v>
      </c>
      <c r="BI13" s="69">
        <f t="shared" si="20"/>
        <v>67.253295295369171</v>
      </c>
      <c r="BJ13" s="70">
        <f t="shared" si="21"/>
        <v>53815</v>
      </c>
      <c r="BK13" s="71">
        <f t="shared" si="22"/>
        <v>8.6347569223264989E-2</v>
      </c>
      <c r="BL13" s="72">
        <f t="shared" si="23"/>
        <v>4</v>
      </c>
      <c r="BM13" s="61">
        <f t="shared" si="24"/>
        <v>62339</v>
      </c>
      <c r="BN13" s="69">
        <f t="shared" si="25"/>
        <v>2.9282559874236029</v>
      </c>
      <c r="BO13" s="73">
        <f t="shared" si="26"/>
        <v>4687</v>
      </c>
      <c r="BP13" s="69">
        <f t="shared" si="27"/>
        <v>38.946991679112436</v>
      </c>
      <c r="BQ13" s="61">
        <f t="shared" si="28"/>
        <v>13000</v>
      </c>
      <c r="BR13" s="69">
        <f t="shared" si="29"/>
        <v>14.041888461538461</v>
      </c>
      <c r="BS13" s="64">
        <f t="shared" si="30"/>
        <v>48703.549999999988</v>
      </c>
      <c r="BT13" s="69">
        <f t="shared" si="31"/>
        <v>3.7480748323274184</v>
      </c>
      <c r="BU13" s="65">
        <v>182544.55</v>
      </c>
      <c r="BV13" s="74">
        <f t="shared" si="32"/>
        <v>29.289748522632642</v>
      </c>
      <c r="BW13" s="75">
        <f t="shared" si="33"/>
        <v>21545.030000000028</v>
      </c>
      <c r="BX13" s="69">
        <f t="shared" si="34"/>
        <v>3.4569561819981849</v>
      </c>
      <c r="BY13" s="55">
        <v>18314</v>
      </c>
      <c r="BZ13" s="55">
        <v>14319</v>
      </c>
      <c r="CA13" s="55">
        <v>16862</v>
      </c>
      <c r="CB13" s="55">
        <v>4320</v>
      </c>
      <c r="CC13" s="64">
        <v>62339</v>
      </c>
      <c r="CD13" s="64">
        <v>4687</v>
      </c>
      <c r="CE13" s="64">
        <v>13000</v>
      </c>
      <c r="CF13" s="76">
        <f t="shared" si="35"/>
        <v>2.938529002610564E-2</v>
      </c>
      <c r="CG13" s="76">
        <f t="shared" si="36"/>
        <v>2.2975208468046664E-2</v>
      </c>
      <c r="CH13" s="76">
        <f t="shared" si="37"/>
        <v>2.7055518205754792E-2</v>
      </c>
      <c r="CI13" s="76">
        <f t="shared" si="38"/>
        <v>6.931552523357888E-3</v>
      </c>
      <c r="CJ13" s="76">
        <f t="shared" si="39"/>
        <v>0.10002454924852022</v>
      </c>
      <c r="CK13" s="63">
        <f t="shared" si="40"/>
        <v>4309.0060000000058</v>
      </c>
    </row>
    <row r="14" spans="1:90" ht="18.75" customHeight="1" x14ac:dyDescent="0.35">
      <c r="A14" s="50">
        <f t="shared" si="41"/>
        <v>7</v>
      </c>
      <c r="B14" s="58">
        <v>7</v>
      </c>
      <c r="C14" s="52" t="s">
        <v>110</v>
      </c>
      <c r="D14" s="52"/>
      <c r="E14" s="52"/>
      <c r="F14" s="53"/>
      <c r="G14" s="54">
        <v>40</v>
      </c>
      <c r="H14" s="55">
        <f t="shared" si="0"/>
        <v>0</v>
      </c>
      <c r="I14" s="53">
        <v>18741</v>
      </c>
      <c r="J14" s="56">
        <v>50</v>
      </c>
      <c r="K14" s="55">
        <f t="shared" si="1"/>
        <v>937050</v>
      </c>
      <c r="L14" s="53"/>
      <c r="M14" s="57">
        <v>60</v>
      </c>
      <c r="N14" s="55">
        <f t="shared" si="2"/>
        <v>0</v>
      </c>
      <c r="O14" s="53">
        <v>6194</v>
      </c>
      <c r="P14" s="57">
        <v>12</v>
      </c>
      <c r="Q14" s="55">
        <f t="shared" si="3"/>
        <v>74328</v>
      </c>
      <c r="R14" s="53"/>
      <c r="S14" s="59">
        <v>12</v>
      </c>
      <c r="T14" s="55">
        <f t="shared" si="4"/>
        <v>0</v>
      </c>
      <c r="U14" s="53">
        <v>1048</v>
      </c>
      <c r="V14" s="57">
        <v>8</v>
      </c>
      <c r="W14" s="55">
        <f t="shared" si="5"/>
        <v>8384</v>
      </c>
      <c r="X14" s="53">
        <v>436</v>
      </c>
      <c r="Y14" s="57">
        <v>12</v>
      </c>
      <c r="Z14" s="55">
        <f t="shared" si="6"/>
        <v>5232</v>
      </c>
      <c r="AA14" s="53">
        <v>1294</v>
      </c>
      <c r="AB14" s="57">
        <v>10</v>
      </c>
      <c r="AC14" s="55">
        <f t="shared" si="7"/>
        <v>12940</v>
      </c>
      <c r="AD14" s="53">
        <v>350</v>
      </c>
      <c r="AE14" s="57">
        <v>25</v>
      </c>
      <c r="AF14" s="55">
        <f t="shared" si="8"/>
        <v>8750</v>
      </c>
      <c r="AG14" s="53">
        <v>292</v>
      </c>
      <c r="AH14" s="57">
        <v>7.5</v>
      </c>
      <c r="AI14" s="55">
        <f t="shared" si="9"/>
        <v>2190</v>
      </c>
      <c r="AJ14" s="53"/>
      <c r="AK14" s="56">
        <v>15</v>
      </c>
      <c r="AL14" s="55">
        <f t="shared" si="10"/>
        <v>0</v>
      </c>
      <c r="AM14" s="53">
        <v>360</v>
      </c>
      <c r="AN14" s="57">
        <v>10</v>
      </c>
      <c r="AO14" s="55">
        <f t="shared" si="11"/>
        <v>3600</v>
      </c>
      <c r="AP14" s="53">
        <f t="shared" si="12"/>
        <v>3780</v>
      </c>
      <c r="AQ14" s="53"/>
      <c r="AR14" s="61"/>
      <c r="AS14" s="53"/>
      <c r="AT14" s="53"/>
      <c r="AU14" s="55"/>
      <c r="AV14" s="53"/>
      <c r="AW14" s="53"/>
      <c r="AX14" s="66">
        <v>2224</v>
      </c>
      <c r="AY14" s="53"/>
      <c r="AZ14" s="68">
        <f t="shared" si="13"/>
        <v>0.33050530921508992</v>
      </c>
      <c r="BA14" s="68">
        <f t="shared" si="14"/>
        <v>0.20169681447094606</v>
      </c>
      <c r="BB14" s="68">
        <f t="shared" si="15"/>
        <v>0.35905715208266065</v>
      </c>
      <c r="BC14" s="55">
        <f t="shared" si="16"/>
        <v>972356</v>
      </c>
      <c r="BD14" s="55">
        <f t="shared" si="17"/>
        <v>945800</v>
      </c>
      <c r="BE14" s="55">
        <f t="shared" si="18"/>
        <v>972356</v>
      </c>
      <c r="BF14" s="55">
        <f t="shared" si="19"/>
        <v>974546</v>
      </c>
      <c r="BG14" s="62">
        <v>1092355</v>
      </c>
      <c r="BH14" s="63">
        <v>740138.61</v>
      </c>
      <c r="BI14" s="69">
        <f t="shared" si="20"/>
        <v>67.756234008174999</v>
      </c>
      <c r="BJ14" s="70">
        <f t="shared" si="21"/>
        <v>67338</v>
      </c>
      <c r="BK14" s="71">
        <f t="shared" si="22"/>
        <v>6.1644794961344986E-2</v>
      </c>
      <c r="BL14" s="72">
        <f t="shared" si="23"/>
        <v>7</v>
      </c>
      <c r="BM14" s="61">
        <f t="shared" si="24"/>
        <v>92737.5</v>
      </c>
      <c r="BN14" s="69">
        <f t="shared" si="25"/>
        <v>2.5075088286831111</v>
      </c>
      <c r="BO14" s="73">
        <f t="shared" si="26"/>
        <v>2750</v>
      </c>
      <c r="BP14" s="69">
        <f t="shared" si="27"/>
        <v>84.560036363636371</v>
      </c>
      <c r="BQ14" s="61">
        <f t="shared" si="28"/>
        <v>14500</v>
      </c>
      <c r="BR14" s="69">
        <f t="shared" si="29"/>
        <v>16.037248275862069</v>
      </c>
      <c r="BS14" s="64">
        <f t="shared" si="30"/>
        <v>55214.600000000006</v>
      </c>
      <c r="BT14" s="69">
        <f t="shared" si="31"/>
        <v>4.211569041521626</v>
      </c>
      <c r="BU14" s="65">
        <v>232540.1</v>
      </c>
      <c r="BV14" s="74">
        <f t="shared" si="32"/>
        <v>21.287960415798896</v>
      </c>
      <c r="BW14" s="75">
        <f t="shared" si="33"/>
        <v>119676.29000000001</v>
      </c>
      <c r="BX14" s="69">
        <f t="shared" si="34"/>
        <v>10.95580557602611</v>
      </c>
      <c r="BY14" s="55">
        <v>22133</v>
      </c>
      <c r="BZ14" s="55">
        <v>17501</v>
      </c>
      <c r="CA14" s="55">
        <v>22304</v>
      </c>
      <c r="CB14" s="55">
        <v>5400</v>
      </c>
      <c r="CC14" s="64">
        <v>92737.5</v>
      </c>
      <c r="CD14" s="64">
        <v>2750</v>
      </c>
      <c r="CE14" s="64">
        <v>14500</v>
      </c>
      <c r="CF14" s="76">
        <f t="shared" si="35"/>
        <v>2.0261728101212517E-2</v>
      </c>
      <c r="CG14" s="76">
        <f t="shared" si="36"/>
        <v>1.6021348371179699E-2</v>
      </c>
      <c r="CH14" s="76">
        <f t="shared" si="37"/>
        <v>2.0418270617152848E-2</v>
      </c>
      <c r="CI14" s="76">
        <f t="shared" si="38"/>
        <v>4.9434478717999188E-3</v>
      </c>
      <c r="CJ14" s="76">
        <f t="shared" si="39"/>
        <v>8.4896851298341652E-2</v>
      </c>
      <c r="CK14" s="63">
        <f t="shared" si="40"/>
        <v>23935.258000000002</v>
      </c>
    </row>
    <row r="15" spans="1:90" ht="18.75" customHeight="1" x14ac:dyDescent="0.35">
      <c r="A15" s="50">
        <f t="shared" si="41"/>
        <v>8</v>
      </c>
      <c r="B15" s="58">
        <v>3</v>
      </c>
      <c r="C15" s="52" t="s">
        <v>116</v>
      </c>
      <c r="D15" s="52"/>
      <c r="E15" s="52"/>
      <c r="F15" s="53"/>
      <c r="G15" s="54">
        <v>40</v>
      </c>
      <c r="H15" s="55">
        <f t="shared" si="0"/>
        <v>0</v>
      </c>
      <c r="I15" s="53">
        <v>7410</v>
      </c>
      <c r="J15" s="56">
        <v>50</v>
      </c>
      <c r="K15" s="55">
        <f t="shared" si="1"/>
        <v>370500</v>
      </c>
      <c r="L15" s="53"/>
      <c r="M15" s="57">
        <v>60</v>
      </c>
      <c r="N15" s="55">
        <f t="shared" si="2"/>
        <v>0</v>
      </c>
      <c r="O15" s="53">
        <v>2269</v>
      </c>
      <c r="P15" s="57">
        <v>12</v>
      </c>
      <c r="Q15" s="55">
        <f t="shared" si="3"/>
        <v>27228</v>
      </c>
      <c r="R15" s="53">
        <v>3120</v>
      </c>
      <c r="S15" s="59">
        <v>12</v>
      </c>
      <c r="T15" s="55">
        <f t="shared" si="4"/>
        <v>37440</v>
      </c>
      <c r="U15" s="53">
        <v>506</v>
      </c>
      <c r="V15" s="57">
        <v>8</v>
      </c>
      <c r="W15" s="55">
        <f t="shared" si="5"/>
        <v>4048</v>
      </c>
      <c r="X15" s="53">
        <v>299</v>
      </c>
      <c r="Y15" s="57">
        <v>12</v>
      </c>
      <c r="Z15" s="55">
        <f t="shared" si="6"/>
        <v>3588</v>
      </c>
      <c r="AA15" s="53">
        <v>722</v>
      </c>
      <c r="AB15" s="57">
        <v>10</v>
      </c>
      <c r="AC15" s="55">
        <f t="shared" si="7"/>
        <v>7220</v>
      </c>
      <c r="AD15" s="53">
        <v>140</v>
      </c>
      <c r="AE15" s="57">
        <v>25</v>
      </c>
      <c r="AF15" s="55">
        <f t="shared" si="8"/>
        <v>3500</v>
      </c>
      <c r="AG15" s="53">
        <v>122</v>
      </c>
      <c r="AH15" s="57">
        <v>7.5</v>
      </c>
      <c r="AI15" s="55">
        <f t="shared" si="9"/>
        <v>915</v>
      </c>
      <c r="AJ15" s="53"/>
      <c r="AK15" s="56">
        <v>15</v>
      </c>
      <c r="AL15" s="55">
        <f t="shared" si="10"/>
        <v>0</v>
      </c>
      <c r="AM15" s="53">
        <v>148</v>
      </c>
      <c r="AN15" s="57">
        <v>10</v>
      </c>
      <c r="AO15" s="55">
        <f t="shared" si="11"/>
        <v>1480</v>
      </c>
      <c r="AP15" s="53">
        <f t="shared" si="12"/>
        <v>5057</v>
      </c>
      <c r="AQ15" s="53"/>
      <c r="AR15" s="61"/>
      <c r="AS15" s="53"/>
      <c r="AT15" s="53"/>
      <c r="AU15" s="55"/>
      <c r="AV15" s="53"/>
      <c r="AW15" s="53"/>
      <c r="AX15" s="66">
        <v>677</v>
      </c>
      <c r="AY15" s="53"/>
      <c r="AZ15" s="68">
        <f t="shared" si="13"/>
        <v>0.30620782726045886</v>
      </c>
      <c r="BA15" s="68">
        <f t="shared" si="14"/>
        <v>0.68245614035087721</v>
      </c>
      <c r="BB15" s="68">
        <f t="shared" si="15"/>
        <v>0.29836932569413838</v>
      </c>
      <c r="BC15" s="55">
        <f t="shared" si="16"/>
        <v>426296</v>
      </c>
      <c r="BD15" s="55">
        <f t="shared" si="17"/>
        <v>411440</v>
      </c>
      <c r="BE15" s="55">
        <f t="shared" si="18"/>
        <v>426296</v>
      </c>
      <c r="BF15" s="55">
        <f t="shared" si="19"/>
        <v>427211</v>
      </c>
      <c r="BG15" s="62">
        <v>468779</v>
      </c>
      <c r="BH15" s="63">
        <v>316349.25</v>
      </c>
      <c r="BI15" s="69">
        <f t="shared" si="20"/>
        <v>67.483665010591352</v>
      </c>
      <c r="BJ15" s="70">
        <f t="shared" si="21"/>
        <v>33854</v>
      </c>
      <c r="BK15" s="71">
        <f t="shared" si="22"/>
        <v>7.2217398816926529E-2</v>
      </c>
      <c r="BL15" s="72">
        <f t="shared" si="23"/>
        <v>3</v>
      </c>
      <c r="BM15" s="61">
        <f t="shared" si="24"/>
        <v>49012.5</v>
      </c>
      <c r="BN15" s="69">
        <f t="shared" si="25"/>
        <v>2.6190257587350168</v>
      </c>
      <c r="BO15" s="73">
        <f t="shared" si="26"/>
        <v>3687.5</v>
      </c>
      <c r="BP15" s="69">
        <f t="shared" si="27"/>
        <v>34.810847457627119</v>
      </c>
      <c r="BQ15" s="61">
        <f t="shared" si="28"/>
        <v>15000</v>
      </c>
      <c r="BR15" s="69">
        <f t="shared" si="29"/>
        <v>8.5576666666666661</v>
      </c>
      <c r="BS15" s="64">
        <f t="shared" si="30"/>
        <v>26811</v>
      </c>
      <c r="BT15" s="69">
        <f t="shared" si="31"/>
        <v>4.7877736749841482</v>
      </c>
      <c r="BU15" s="65">
        <v>128365</v>
      </c>
      <c r="BV15" s="74">
        <f t="shared" si="32"/>
        <v>27.382839248345171</v>
      </c>
      <c r="BW15" s="75">
        <f t="shared" si="33"/>
        <v>24064.75</v>
      </c>
      <c r="BX15" s="69">
        <f t="shared" si="34"/>
        <v>5.1334957410634861</v>
      </c>
      <c r="BY15" s="55">
        <v>11121</v>
      </c>
      <c r="BZ15" s="55">
        <v>7955</v>
      </c>
      <c r="CA15" s="55">
        <v>11808</v>
      </c>
      <c r="CB15" s="55">
        <v>2970</v>
      </c>
      <c r="CC15" s="64">
        <v>49012.5</v>
      </c>
      <c r="CD15" s="64">
        <v>3687.5</v>
      </c>
      <c r="CE15" s="64">
        <v>15000</v>
      </c>
      <c r="CF15" s="76">
        <f t="shared" si="35"/>
        <v>2.3723332316507351E-2</v>
      </c>
      <c r="CG15" s="76">
        <f t="shared" si="36"/>
        <v>1.6969616813039833E-2</v>
      </c>
      <c r="CH15" s="76">
        <f t="shared" si="37"/>
        <v>2.5188841650329901E-2</v>
      </c>
      <c r="CI15" s="76">
        <f t="shared" si="38"/>
        <v>6.3356080370494412E-3</v>
      </c>
      <c r="CJ15" s="76">
        <f t="shared" si="39"/>
        <v>0.10455353162151035</v>
      </c>
      <c r="CK15" s="63">
        <f t="shared" si="40"/>
        <v>4812.95</v>
      </c>
    </row>
    <row r="16" spans="1:90" ht="18.75" customHeight="1" x14ac:dyDescent="0.35">
      <c r="A16" s="50">
        <f t="shared" si="41"/>
        <v>9</v>
      </c>
      <c r="B16" s="58">
        <v>4</v>
      </c>
      <c r="C16" s="52" t="s">
        <v>78</v>
      </c>
      <c r="D16" s="52"/>
      <c r="E16" s="52"/>
      <c r="F16" s="53"/>
      <c r="G16" s="54">
        <v>40</v>
      </c>
      <c r="H16" s="55">
        <f t="shared" si="0"/>
        <v>0</v>
      </c>
      <c r="I16" s="53">
        <v>10625</v>
      </c>
      <c r="J16" s="56">
        <v>50</v>
      </c>
      <c r="K16" s="55">
        <f t="shared" si="1"/>
        <v>531250</v>
      </c>
      <c r="L16" s="53"/>
      <c r="M16" s="57">
        <v>60</v>
      </c>
      <c r="N16" s="55">
        <f t="shared" si="2"/>
        <v>0</v>
      </c>
      <c r="O16" s="53">
        <v>4094</v>
      </c>
      <c r="P16" s="57">
        <v>12</v>
      </c>
      <c r="Q16" s="55">
        <f t="shared" si="3"/>
        <v>49128</v>
      </c>
      <c r="R16" s="53">
        <v>1470</v>
      </c>
      <c r="S16" s="59">
        <v>12</v>
      </c>
      <c r="T16" s="55">
        <f t="shared" si="4"/>
        <v>17640</v>
      </c>
      <c r="U16" s="53">
        <v>394</v>
      </c>
      <c r="V16" s="57">
        <v>8</v>
      </c>
      <c r="W16" s="55">
        <f t="shared" si="5"/>
        <v>3152</v>
      </c>
      <c r="X16" s="53">
        <v>210</v>
      </c>
      <c r="Y16" s="57">
        <v>12</v>
      </c>
      <c r="Z16" s="55">
        <f t="shared" si="6"/>
        <v>2520</v>
      </c>
      <c r="AA16" s="53">
        <v>483</v>
      </c>
      <c r="AB16" s="57">
        <v>10</v>
      </c>
      <c r="AC16" s="55">
        <f t="shared" si="7"/>
        <v>4830</v>
      </c>
      <c r="AD16" s="53">
        <v>164</v>
      </c>
      <c r="AE16" s="57">
        <v>25</v>
      </c>
      <c r="AF16" s="55">
        <f t="shared" si="8"/>
        <v>4100</v>
      </c>
      <c r="AG16" s="53">
        <v>80</v>
      </c>
      <c r="AH16" s="57">
        <v>7.5</v>
      </c>
      <c r="AI16" s="55">
        <f t="shared" si="9"/>
        <v>600</v>
      </c>
      <c r="AJ16" s="53"/>
      <c r="AK16" s="56">
        <v>15</v>
      </c>
      <c r="AL16" s="55">
        <f t="shared" si="10"/>
        <v>0</v>
      </c>
      <c r="AM16" s="53"/>
      <c r="AN16" s="57">
        <v>12</v>
      </c>
      <c r="AO16" s="55">
        <f t="shared" si="11"/>
        <v>0</v>
      </c>
      <c r="AP16" s="53">
        <f t="shared" si="12"/>
        <v>2801</v>
      </c>
      <c r="AQ16" s="53"/>
      <c r="AR16" s="61"/>
      <c r="AS16" s="53"/>
      <c r="AT16" s="53"/>
      <c r="AU16" s="55"/>
      <c r="AV16" s="53"/>
      <c r="AW16" s="53"/>
      <c r="AX16" s="66">
        <v>1515</v>
      </c>
      <c r="AY16" s="53"/>
      <c r="AZ16" s="68">
        <f t="shared" si="13"/>
        <v>0.38531764705882354</v>
      </c>
      <c r="BA16" s="68">
        <f t="shared" si="14"/>
        <v>0.2636235294117647</v>
      </c>
      <c r="BB16" s="68">
        <f t="shared" si="15"/>
        <v>0.37005373717635565</v>
      </c>
      <c r="BC16" s="55">
        <f t="shared" si="16"/>
        <v>563492</v>
      </c>
      <c r="BD16" s="55">
        <f t="shared" si="17"/>
        <v>552990</v>
      </c>
      <c r="BE16" s="55">
        <f t="shared" si="18"/>
        <v>563492</v>
      </c>
      <c r="BF16" s="55">
        <f t="shared" si="19"/>
        <v>564092</v>
      </c>
      <c r="BG16" s="62">
        <v>641725</v>
      </c>
      <c r="BH16" s="63">
        <v>427735.27</v>
      </c>
      <c r="BI16" s="69">
        <f t="shared" si="20"/>
        <v>66.653982624956171</v>
      </c>
      <c r="BJ16" s="70">
        <f t="shared" si="21"/>
        <v>38703</v>
      </c>
      <c r="BK16" s="71">
        <f t="shared" si="22"/>
        <v>6.0310880829015548E-2</v>
      </c>
      <c r="BL16" s="72">
        <f t="shared" si="23"/>
        <v>4</v>
      </c>
      <c r="BM16" s="61">
        <f t="shared" si="24"/>
        <v>65997.600000000006</v>
      </c>
      <c r="BN16" s="69">
        <f t="shared" si="25"/>
        <v>2.6657052680703539</v>
      </c>
      <c r="BO16" s="73">
        <f t="shared" si="26"/>
        <v>1731</v>
      </c>
      <c r="BP16" s="69">
        <f t="shared" si="27"/>
        <v>101.63497978047371</v>
      </c>
      <c r="BQ16" s="61">
        <f t="shared" si="28"/>
        <v>18000</v>
      </c>
      <c r="BR16" s="69">
        <f t="shared" si="29"/>
        <v>9.7738972222222227</v>
      </c>
      <c r="BS16" s="64">
        <f t="shared" si="30"/>
        <v>51498.549999999988</v>
      </c>
      <c r="BT16" s="69">
        <f t="shared" si="31"/>
        <v>3.4162156021868584</v>
      </c>
      <c r="BU16" s="65">
        <v>175930.15</v>
      </c>
      <c r="BV16" s="74">
        <f t="shared" si="32"/>
        <v>27.415193423974443</v>
      </c>
      <c r="BW16" s="75">
        <f t="shared" si="33"/>
        <v>38059.579999999987</v>
      </c>
      <c r="BX16" s="69">
        <f t="shared" si="34"/>
        <v>5.9308239510693816</v>
      </c>
      <c r="BY16" s="55">
        <v>14723</v>
      </c>
      <c r="BZ16" s="55">
        <v>10380</v>
      </c>
      <c r="CA16" s="55">
        <v>10400</v>
      </c>
      <c r="CB16" s="55">
        <v>3200</v>
      </c>
      <c r="CC16" s="64">
        <v>65997.600000000006</v>
      </c>
      <c r="CD16" s="64">
        <v>1731</v>
      </c>
      <c r="CE16" s="64">
        <v>18000</v>
      </c>
      <c r="CF16" s="76">
        <f t="shared" si="35"/>
        <v>2.294284935135767E-2</v>
      </c>
      <c r="CG16" s="76">
        <f t="shared" si="36"/>
        <v>1.6175152908177177E-2</v>
      </c>
      <c r="CH16" s="76">
        <f t="shared" si="37"/>
        <v>1.6206318906073474E-2</v>
      </c>
      <c r="CI16" s="76">
        <f t="shared" si="38"/>
        <v>4.986559663407223E-3</v>
      </c>
      <c r="CJ16" s="76">
        <f t="shared" si="39"/>
        <v>0.10284405313802643</v>
      </c>
      <c r="CK16" s="63">
        <f t="shared" si="40"/>
        <v>7611.9159999999974</v>
      </c>
    </row>
    <row r="17" spans="1:89" ht="18.75" customHeight="1" x14ac:dyDescent="0.35">
      <c r="A17" s="50">
        <f t="shared" si="41"/>
        <v>10</v>
      </c>
      <c r="B17" s="58">
        <v>6</v>
      </c>
      <c r="C17" s="52" t="s">
        <v>118</v>
      </c>
      <c r="D17" s="52"/>
      <c r="E17" s="52"/>
      <c r="F17" s="53"/>
      <c r="G17" s="54">
        <v>40</v>
      </c>
      <c r="H17" s="55">
        <f t="shared" si="0"/>
        <v>0</v>
      </c>
      <c r="I17" s="53">
        <v>14122</v>
      </c>
      <c r="J17" s="56">
        <v>50</v>
      </c>
      <c r="K17" s="55">
        <f t="shared" si="1"/>
        <v>706100</v>
      </c>
      <c r="L17" s="53"/>
      <c r="M17" s="57">
        <v>60</v>
      </c>
      <c r="N17" s="55">
        <f t="shared" si="2"/>
        <v>0</v>
      </c>
      <c r="O17" s="53">
        <v>9999</v>
      </c>
      <c r="P17" s="57">
        <v>12</v>
      </c>
      <c r="Q17" s="55">
        <f t="shared" si="3"/>
        <v>119988</v>
      </c>
      <c r="R17" s="53"/>
      <c r="S17" s="59">
        <v>12</v>
      </c>
      <c r="T17" s="55">
        <f t="shared" si="4"/>
        <v>0</v>
      </c>
      <c r="U17" s="53">
        <v>1200</v>
      </c>
      <c r="V17" s="57">
        <v>8</v>
      </c>
      <c r="W17" s="55">
        <f t="shared" si="5"/>
        <v>9600</v>
      </c>
      <c r="X17" s="53">
        <v>622</v>
      </c>
      <c r="Y17" s="57">
        <v>12</v>
      </c>
      <c r="Z17" s="55">
        <f t="shared" si="6"/>
        <v>7464</v>
      </c>
      <c r="AA17" s="53">
        <v>1131</v>
      </c>
      <c r="AB17" s="57">
        <v>10</v>
      </c>
      <c r="AC17" s="55">
        <f t="shared" si="7"/>
        <v>11310</v>
      </c>
      <c r="AD17" s="53">
        <v>481</v>
      </c>
      <c r="AE17" s="57">
        <v>25</v>
      </c>
      <c r="AF17" s="55">
        <f t="shared" si="8"/>
        <v>12025</v>
      </c>
      <c r="AG17" s="53">
        <v>1149</v>
      </c>
      <c r="AH17" s="57">
        <v>7.5</v>
      </c>
      <c r="AI17" s="55">
        <f t="shared" si="9"/>
        <v>8617.5</v>
      </c>
      <c r="AJ17" s="53"/>
      <c r="AK17" s="56">
        <v>15</v>
      </c>
      <c r="AL17" s="55">
        <f t="shared" si="10"/>
        <v>0</v>
      </c>
      <c r="AM17" s="53">
        <v>569</v>
      </c>
      <c r="AN17" s="57">
        <v>10</v>
      </c>
      <c r="AO17" s="55">
        <f t="shared" si="11"/>
        <v>5690</v>
      </c>
      <c r="AP17" s="53">
        <f t="shared" si="12"/>
        <v>5152</v>
      </c>
      <c r="AQ17" s="53"/>
      <c r="AR17" s="61"/>
      <c r="AS17" s="53"/>
      <c r="AT17" s="53"/>
      <c r="AU17" s="55"/>
      <c r="AV17" s="53"/>
      <c r="AW17" s="53"/>
      <c r="AX17" s="66">
        <v>2373</v>
      </c>
      <c r="AY17" s="53"/>
      <c r="AZ17" s="68">
        <f t="shared" si="13"/>
        <v>0.70804418637586741</v>
      </c>
      <c r="BA17" s="68">
        <f t="shared" si="14"/>
        <v>0.36482084690553745</v>
      </c>
      <c r="BB17" s="68">
        <f t="shared" si="15"/>
        <v>0.23732373237323731</v>
      </c>
      <c r="BC17" s="55">
        <f t="shared" si="16"/>
        <v>746499</v>
      </c>
      <c r="BD17" s="55">
        <f t="shared" si="17"/>
        <v>718125</v>
      </c>
      <c r="BE17" s="55">
        <f t="shared" si="18"/>
        <v>746499</v>
      </c>
      <c r="BF17" s="55">
        <f t="shared" si="19"/>
        <v>755116.5</v>
      </c>
      <c r="BG17" s="62">
        <v>927633.5</v>
      </c>
      <c r="BH17" s="63">
        <v>633026.54</v>
      </c>
      <c r="BI17" s="69">
        <f t="shared" si="20"/>
        <v>68.241017600162138</v>
      </c>
      <c r="BJ17" s="70">
        <f t="shared" si="21"/>
        <v>52065</v>
      </c>
      <c r="BK17" s="71">
        <f t="shared" si="22"/>
        <v>5.6126692276637274E-2</v>
      </c>
      <c r="BL17" s="72">
        <f t="shared" si="23"/>
        <v>6</v>
      </c>
      <c r="BM17" s="61">
        <f t="shared" si="24"/>
        <v>92850</v>
      </c>
      <c r="BN17" s="69">
        <f t="shared" si="25"/>
        <v>2.5152299407646743</v>
      </c>
      <c r="BO17" s="73">
        <f t="shared" si="26"/>
        <v>1062</v>
      </c>
      <c r="BP17" s="69">
        <f t="shared" si="27"/>
        <v>219.90499058380414</v>
      </c>
      <c r="BQ17" s="61">
        <f t="shared" si="28"/>
        <v>22050</v>
      </c>
      <c r="BR17" s="69">
        <f t="shared" si="29"/>
        <v>10.591342403628119</v>
      </c>
      <c r="BS17" s="64">
        <f t="shared" si="30"/>
        <v>65512.100000000006</v>
      </c>
      <c r="BT17" s="69">
        <f t="shared" si="31"/>
        <v>3.5648239027599478</v>
      </c>
      <c r="BU17" s="65">
        <v>233539.1</v>
      </c>
      <c r="BV17" s="74">
        <f t="shared" si="32"/>
        <v>25.175794104029233</v>
      </c>
      <c r="BW17" s="75">
        <f t="shared" si="33"/>
        <v>61067.859999999957</v>
      </c>
      <c r="BX17" s="69">
        <f t="shared" si="34"/>
        <v>6.5831882958086316</v>
      </c>
      <c r="BY17" s="55">
        <v>14826</v>
      </c>
      <c r="BZ17" s="55">
        <v>14319</v>
      </c>
      <c r="CA17" s="55">
        <v>19680</v>
      </c>
      <c r="CB17" s="55">
        <v>3240</v>
      </c>
      <c r="CC17" s="64">
        <v>92850</v>
      </c>
      <c r="CD17" s="64">
        <v>1062</v>
      </c>
      <c r="CE17" s="64">
        <v>22050</v>
      </c>
      <c r="CF17" s="76">
        <f t="shared" si="35"/>
        <v>1.5982605199143844E-2</v>
      </c>
      <c r="CG17" s="76">
        <f t="shared" si="36"/>
        <v>1.5436053139521158E-2</v>
      </c>
      <c r="CH17" s="76">
        <f t="shared" si="37"/>
        <v>2.1215275213756296E-2</v>
      </c>
      <c r="CI17" s="76">
        <f t="shared" si="38"/>
        <v>3.4927587242159753E-3</v>
      </c>
      <c r="CJ17" s="76">
        <f t="shared" si="39"/>
        <v>0.10009340973563374</v>
      </c>
      <c r="CK17" s="63">
        <f t="shared" si="40"/>
        <v>12213.571999999993</v>
      </c>
    </row>
    <row r="18" spans="1:89" ht="18.75" customHeight="1" x14ac:dyDescent="0.35">
      <c r="A18" s="50">
        <f t="shared" si="41"/>
        <v>11</v>
      </c>
      <c r="B18" s="58">
        <v>4</v>
      </c>
      <c r="C18" s="52" t="s">
        <v>207</v>
      </c>
      <c r="D18" s="52"/>
      <c r="E18" s="52"/>
      <c r="F18" s="53"/>
      <c r="G18" s="54">
        <v>40</v>
      </c>
      <c r="H18" s="55">
        <f t="shared" si="0"/>
        <v>0</v>
      </c>
      <c r="I18" s="53">
        <v>10223</v>
      </c>
      <c r="J18" s="56">
        <v>50</v>
      </c>
      <c r="K18" s="55">
        <f t="shared" si="1"/>
        <v>511150</v>
      </c>
      <c r="L18" s="53"/>
      <c r="M18" s="57">
        <v>60</v>
      </c>
      <c r="N18" s="55">
        <f t="shared" si="2"/>
        <v>0</v>
      </c>
      <c r="O18" s="53">
        <v>3272</v>
      </c>
      <c r="P18" s="57">
        <v>12</v>
      </c>
      <c r="Q18" s="55">
        <f t="shared" si="3"/>
        <v>39264</v>
      </c>
      <c r="R18" s="53">
        <v>2032</v>
      </c>
      <c r="S18" s="59">
        <v>12</v>
      </c>
      <c r="T18" s="55">
        <f t="shared" si="4"/>
        <v>24384</v>
      </c>
      <c r="U18" s="53">
        <v>511</v>
      </c>
      <c r="V18" s="57">
        <v>8</v>
      </c>
      <c r="W18" s="55">
        <f t="shared" si="5"/>
        <v>4088</v>
      </c>
      <c r="X18" s="53">
        <v>894</v>
      </c>
      <c r="Y18" s="57">
        <v>12</v>
      </c>
      <c r="Z18" s="55">
        <f t="shared" si="6"/>
        <v>10728</v>
      </c>
      <c r="AA18" s="53">
        <v>672</v>
      </c>
      <c r="AB18" s="57">
        <v>10</v>
      </c>
      <c r="AC18" s="55">
        <f t="shared" si="7"/>
        <v>6720</v>
      </c>
      <c r="AD18" s="53">
        <v>240</v>
      </c>
      <c r="AE18" s="57">
        <v>25</v>
      </c>
      <c r="AF18" s="55">
        <f t="shared" si="8"/>
        <v>6000</v>
      </c>
      <c r="AG18" s="53">
        <v>167</v>
      </c>
      <c r="AH18" s="57">
        <v>7.5</v>
      </c>
      <c r="AI18" s="55">
        <f t="shared" si="9"/>
        <v>1252.5</v>
      </c>
      <c r="AJ18" s="53"/>
      <c r="AK18" s="56">
        <v>15</v>
      </c>
      <c r="AL18" s="55">
        <f t="shared" si="10"/>
        <v>0</v>
      </c>
      <c r="AM18" s="53">
        <v>236</v>
      </c>
      <c r="AN18" s="57">
        <v>10</v>
      </c>
      <c r="AO18" s="55">
        <f t="shared" si="11"/>
        <v>2360</v>
      </c>
      <c r="AP18" s="53">
        <f t="shared" si="12"/>
        <v>4752</v>
      </c>
      <c r="AQ18" s="53"/>
      <c r="AR18" s="61"/>
      <c r="AS18" s="53"/>
      <c r="AT18" s="53"/>
      <c r="AU18" s="55"/>
      <c r="AV18" s="53"/>
      <c r="AW18" s="53"/>
      <c r="AX18" s="66">
        <v>1563</v>
      </c>
      <c r="AY18" s="53"/>
      <c r="AZ18" s="68">
        <f t="shared" si="13"/>
        <v>0.32006260393230951</v>
      </c>
      <c r="BA18" s="68">
        <f t="shared" si="14"/>
        <v>0.46483419739802406</v>
      </c>
      <c r="BB18" s="68">
        <f t="shared" si="15"/>
        <v>0.47768948655256721</v>
      </c>
      <c r="BC18" s="55">
        <f t="shared" si="16"/>
        <v>563070</v>
      </c>
      <c r="BD18" s="55">
        <f t="shared" si="17"/>
        <v>541534</v>
      </c>
      <c r="BE18" s="55">
        <f t="shared" si="18"/>
        <v>563070</v>
      </c>
      <c r="BF18" s="55">
        <f t="shared" si="19"/>
        <v>564322.5</v>
      </c>
      <c r="BG18" s="62">
        <v>635621.5</v>
      </c>
      <c r="BH18" s="63">
        <v>426238.17</v>
      </c>
      <c r="BI18" s="69">
        <f t="shared" si="20"/>
        <v>67.058488424321709</v>
      </c>
      <c r="BJ18" s="70">
        <f t="shared" si="21"/>
        <v>42433</v>
      </c>
      <c r="BK18" s="71">
        <f t="shared" si="22"/>
        <v>6.6758283034793503E-2</v>
      </c>
      <c r="BL18" s="72">
        <f t="shared" si="23"/>
        <v>4</v>
      </c>
      <c r="BM18" s="61">
        <f t="shared" si="24"/>
        <v>64783</v>
      </c>
      <c r="BN18" s="69">
        <f t="shared" si="25"/>
        <v>3.0784678079125696</v>
      </c>
      <c r="BO18" s="73">
        <f t="shared" si="26"/>
        <v>499</v>
      </c>
      <c r="BP18" s="69">
        <f t="shared" si="27"/>
        <v>399.66408817635272</v>
      </c>
      <c r="BQ18" s="61">
        <f t="shared" si="28"/>
        <v>36000</v>
      </c>
      <c r="BR18" s="69">
        <f t="shared" si="29"/>
        <v>5.5397883333333331</v>
      </c>
      <c r="BS18" s="64">
        <f t="shared" si="30"/>
        <v>55717.380000000005</v>
      </c>
      <c r="BT18" s="69">
        <f t="shared" si="31"/>
        <v>3.5793567464945406</v>
      </c>
      <c r="BU18" s="65">
        <v>199432.38</v>
      </c>
      <c r="BV18" s="74">
        <f t="shared" si="32"/>
        <v>31.375965098726208</v>
      </c>
      <c r="BW18" s="75">
        <f t="shared" si="33"/>
        <v>9950.9500000000116</v>
      </c>
      <c r="BX18" s="69">
        <f t="shared" si="34"/>
        <v>1.5655464769520873</v>
      </c>
      <c r="BY18" s="55">
        <v>14719</v>
      </c>
      <c r="BZ18" s="55">
        <v>12110</v>
      </c>
      <c r="CA18" s="55">
        <v>10854</v>
      </c>
      <c r="CB18" s="55">
        <v>4750</v>
      </c>
      <c r="CC18" s="64">
        <v>64783</v>
      </c>
      <c r="CD18" s="64">
        <v>499</v>
      </c>
      <c r="CE18" s="64">
        <v>36000</v>
      </c>
      <c r="CF18" s="76">
        <f t="shared" si="35"/>
        <v>2.3156863007308594E-2</v>
      </c>
      <c r="CG18" s="76">
        <f t="shared" si="36"/>
        <v>1.9052218969937296E-2</v>
      </c>
      <c r="CH18" s="76">
        <f t="shared" si="37"/>
        <v>1.7076200222931416E-2</v>
      </c>
      <c r="CI18" s="76">
        <f t="shared" si="38"/>
        <v>7.4730008346161987E-3</v>
      </c>
      <c r="CJ18" s="76">
        <f t="shared" si="39"/>
        <v>0.10192071854082972</v>
      </c>
      <c r="CK18" s="63">
        <f t="shared" si="40"/>
        <v>1990.1900000000023</v>
      </c>
    </row>
    <row r="19" spans="1:89" ht="18.75" customHeight="1" x14ac:dyDescent="0.35">
      <c r="A19" s="50">
        <f t="shared" si="41"/>
        <v>12</v>
      </c>
      <c r="B19" s="58">
        <v>3</v>
      </c>
      <c r="C19" s="52" t="s">
        <v>208</v>
      </c>
      <c r="D19" s="52"/>
      <c r="E19" s="52"/>
      <c r="F19" s="53"/>
      <c r="G19" s="54">
        <v>40</v>
      </c>
      <c r="H19" s="55">
        <f t="shared" si="0"/>
        <v>0</v>
      </c>
      <c r="I19" s="53">
        <v>9997</v>
      </c>
      <c r="J19" s="56">
        <v>50</v>
      </c>
      <c r="K19" s="55">
        <f t="shared" si="1"/>
        <v>499850</v>
      </c>
      <c r="L19" s="53"/>
      <c r="M19" s="57">
        <v>60</v>
      </c>
      <c r="N19" s="55">
        <f t="shared" si="2"/>
        <v>0</v>
      </c>
      <c r="O19" s="53">
        <v>4497</v>
      </c>
      <c r="P19" s="57">
        <v>12</v>
      </c>
      <c r="Q19" s="55">
        <f t="shared" si="3"/>
        <v>53964</v>
      </c>
      <c r="R19" s="53">
        <v>2400</v>
      </c>
      <c r="S19" s="59">
        <v>12</v>
      </c>
      <c r="T19" s="55">
        <f t="shared" si="4"/>
        <v>28800</v>
      </c>
      <c r="U19" s="53">
        <v>700</v>
      </c>
      <c r="V19" s="57">
        <v>8</v>
      </c>
      <c r="W19" s="55">
        <f t="shared" si="5"/>
        <v>5600</v>
      </c>
      <c r="X19" s="53">
        <v>554</v>
      </c>
      <c r="Y19" s="57">
        <v>12</v>
      </c>
      <c r="Z19" s="55">
        <f t="shared" si="6"/>
        <v>6648</v>
      </c>
      <c r="AA19" s="53">
        <v>757</v>
      </c>
      <c r="AB19" s="57">
        <v>10</v>
      </c>
      <c r="AC19" s="55">
        <f t="shared" si="7"/>
        <v>7570</v>
      </c>
      <c r="AD19" s="53">
        <v>266</v>
      </c>
      <c r="AE19" s="57">
        <v>25</v>
      </c>
      <c r="AF19" s="55">
        <f t="shared" si="8"/>
        <v>6650</v>
      </c>
      <c r="AG19" s="53">
        <v>243</v>
      </c>
      <c r="AH19" s="57">
        <v>7.5</v>
      </c>
      <c r="AI19" s="55">
        <f t="shared" si="9"/>
        <v>1822.5</v>
      </c>
      <c r="AJ19" s="53"/>
      <c r="AK19" s="56">
        <v>15</v>
      </c>
      <c r="AL19" s="55">
        <f t="shared" si="10"/>
        <v>0</v>
      </c>
      <c r="AM19" s="53">
        <v>230</v>
      </c>
      <c r="AN19" s="57">
        <v>10</v>
      </c>
      <c r="AO19" s="55">
        <f t="shared" si="11"/>
        <v>2300</v>
      </c>
      <c r="AP19" s="53">
        <f t="shared" si="12"/>
        <v>5150</v>
      </c>
      <c r="AQ19" s="53"/>
      <c r="AR19" s="61"/>
      <c r="AS19" s="53"/>
      <c r="AT19" s="53"/>
      <c r="AU19" s="55"/>
      <c r="AV19" s="53"/>
      <c r="AW19" s="53"/>
      <c r="AX19" s="66">
        <v>2227</v>
      </c>
      <c r="AY19" s="53"/>
      <c r="AZ19" s="68">
        <f t="shared" si="13"/>
        <v>0.44983495048514555</v>
      </c>
      <c r="BA19" s="68">
        <f t="shared" si="14"/>
        <v>0.51515454636390923</v>
      </c>
      <c r="BB19" s="68">
        <f t="shared" si="15"/>
        <v>0.49521903491216368</v>
      </c>
      <c r="BC19" s="55">
        <f t="shared" si="16"/>
        <v>555118</v>
      </c>
      <c r="BD19" s="55">
        <f t="shared" si="17"/>
        <v>535300</v>
      </c>
      <c r="BE19" s="55">
        <f t="shared" si="18"/>
        <v>555118</v>
      </c>
      <c r="BF19" s="55">
        <f t="shared" si="19"/>
        <v>556940.5</v>
      </c>
      <c r="BG19" s="62">
        <v>655174.5</v>
      </c>
      <c r="BH19" s="63">
        <v>436893.86</v>
      </c>
      <c r="BI19" s="69">
        <f t="shared" si="20"/>
        <v>66.683587349629761</v>
      </c>
      <c r="BJ19" s="70">
        <f t="shared" si="21"/>
        <v>40904</v>
      </c>
      <c r="BK19" s="71">
        <f t="shared" si="22"/>
        <v>6.2432222255292297E-2</v>
      </c>
      <c r="BL19" s="72">
        <f t="shared" si="23"/>
        <v>3</v>
      </c>
      <c r="BM19" s="61">
        <f t="shared" si="24"/>
        <v>69037.5</v>
      </c>
      <c r="BN19" s="69">
        <f t="shared" si="25"/>
        <v>2.2163786347999275</v>
      </c>
      <c r="BO19" s="73">
        <f t="shared" si="26"/>
        <v>187.5</v>
      </c>
      <c r="BP19" s="69">
        <f t="shared" si="27"/>
        <v>816.07061333333331</v>
      </c>
      <c r="BQ19" s="61">
        <f t="shared" si="28"/>
        <v>15000</v>
      </c>
      <c r="BR19" s="69">
        <f t="shared" si="29"/>
        <v>10.200882666666667</v>
      </c>
      <c r="BS19" s="64">
        <f t="shared" si="30"/>
        <v>27884.239999999991</v>
      </c>
      <c r="BT19" s="69">
        <f t="shared" si="31"/>
        <v>5.4874452378834802</v>
      </c>
      <c r="BU19" s="65">
        <v>153013.24</v>
      </c>
      <c r="BV19" s="74">
        <f t="shared" si="32"/>
        <v>23.354578055159351</v>
      </c>
      <c r="BW19" s="75">
        <f t="shared" si="33"/>
        <v>65267.400000000023</v>
      </c>
      <c r="BX19" s="69">
        <f t="shared" si="34"/>
        <v>9.9618345952108971</v>
      </c>
      <c r="BY19" s="55">
        <v>14719</v>
      </c>
      <c r="BZ19" s="55">
        <v>11137</v>
      </c>
      <c r="CA19" s="55">
        <v>11808</v>
      </c>
      <c r="CB19" s="55">
        <v>3240</v>
      </c>
      <c r="CC19" s="64">
        <v>69037.5</v>
      </c>
      <c r="CD19" s="64">
        <v>187.5</v>
      </c>
      <c r="CE19" s="64">
        <v>15000</v>
      </c>
      <c r="CF19" s="76">
        <f t="shared" si="35"/>
        <v>2.2465770569520028E-2</v>
      </c>
      <c r="CG19" s="76">
        <f t="shared" si="36"/>
        <v>1.6998524820486756E-2</v>
      </c>
      <c r="CH19" s="76">
        <f t="shared" si="37"/>
        <v>1.8022679454099633E-2</v>
      </c>
      <c r="CI19" s="76">
        <f t="shared" si="38"/>
        <v>4.9452474111858751E-3</v>
      </c>
      <c r="CJ19" s="76">
        <f t="shared" si="39"/>
        <v>0.10537269078695828</v>
      </c>
      <c r="CK19" s="63">
        <f t="shared" si="40"/>
        <v>13053.480000000005</v>
      </c>
    </row>
    <row r="20" spans="1:89" ht="18.75" customHeight="1" x14ac:dyDescent="0.35">
      <c r="A20" s="50">
        <f t="shared" si="41"/>
        <v>13</v>
      </c>
      <c r="B20" s="58">
        <v>3</v>
      </c>
      <c r="C20" s="52" t="s">
        <v>97</v>
      </c>
      <c r="D20" s="52"/>
      <c r="E20" s="52"/>
      <c r="F20" s="53"/>
      <c r="G20" s="54">
        <v>40</v>
      </c>
      <c r="H20" s="55">
        <f t="shared" si="0"/>
        <v>0</v>
      </c>
      <c r="I20" s="53">
        <v>8045</v>
      </c>
      <c r="J20" s="56">
        <v>50</v>
      </c>
      <c r="K20" s="55">
        <f t="shared" si="1"/>
        <v>402250</v>
      </c>
      <c r="L20" s="53"/>
      <c r="M20" s="57">
        <v>60</v>
      </c>
      <c r="N20" s="55">
        <f t="shared" si="2"/>
        <v>0</v>
      </c>
      <c r="O20" s="53">
        <v>4108</v>
      </c>
      <c r="P20" s="57">
        <v>12</v>
      </c>
      <c r="Q20" s="55">
        <f t="shared" si="3"/>
        <v>49296</v>
      </c>
      <c r="R20" s="53">
        <v>920</v>
      </c>
      <c r="S20" s="59">
        <v>12</v>
      </c>
      <c r="T20" s="55">
        <f t="shared" si="4"/>
        <v>11040</v>
      </c>
      <c r="U20" s="53">
        <v>520</v>
      </c>
      <c r="V20" s="57">
        <v>8</v>
      </c>
      <c r="W20" s="55">
        <f t="shared" si="5"/>
        <v>4160</v>
      </c>
      <c r="X20" s="53">
        <v>281</v>
      </c>
      <c r="Y20" s="57">
        <v>12</v>
      </c>
      <c r="Z20" s="55">
        <f t="shared" si="6"/>
        <v>3372</v>
      </c>
      <c r="AA20" s="53">
        <v>619</v>
      </c>
      <c r="AB20" s="57">
        <v>10</v>
      </c>
      <c r="AC20" s="55">
        <f t="shared" si="7"/>
        <v>6190</v>
      </c>
      <c r="AD20" s="53">
        <v>129</v>
      </c>
      <c r="AE20" s="57">
        <v>25</v>
      </c>
      <c r="AF20" s="55">
        <f t="shared" si="8"/>
        <v>3225</v>
      </c>
      <c r="AG20" s="53">
        <v>184</v>
      </c>
      <c r="AH20" s="57">
        <v>7.5</v>
      </c>
      <c r="AI20" s="55">
        <f t="shared" si="9"/>
        <v>1380</v>
      </c>
      <c r="AJ20" s="53"/>
      <c r="AK20" s="56">
        <v>15</v>
      </c>
      <c r="AL20" s="55">
        <f t="shared" si="10"/>
        <v>0</v>
      </c>
      <c r="AM20" s="53">
        <v>243</v>
      </c>
      <c r="AN20" s="57">
        <v>10</v>
      </c>
      <c r="AO20" s="55">
        <f t="shared" si="11"/>
        <v>2430</v>
      </c>
      <c r="AP20" s="53">
        <f t="shared" si="12"/>
        <v>2896</v>
      </c>
      <c r="AQ20" s="53"/>
      <c r="AR20" s="61"/>
      <c r="AS20" s="53"/>
      <c r="AT20" s="53"/>
      <c r="AU20" s="55"/>
      <c r="AV20" s="53"/>
      <c r="AW20" s="53"/>
      <c r="AX20" s="66">
        <v>1404</v>
      </c>
      <c r="AY20" s="53"/>
      <c r="AZ20" s="68">
        <f t="shared" si="13"/>
        <v>0.51062771908017401</v>
      </c>
      <c r="BA20" s="68">
        <f t="shared" si="14"/>
        <v>0.35997513983840895</v>
      </c>
      <c r="BB20" s="68">
        <f t="shared" si="15"/>
        <v>0.34177215189873417</v>
      </c>
      <c r="BC20" s="55">
        <f t="shared" si="16"/>
        <v>430237</v>
      </c>
      <c r="BD20" s="55">
        <f t="shared" si="17"/>
        <v>416515</v>
      </c>
      <c r="BE20" s="55">
        <f t="shared" si="18"/>
        <v>430237</v>
      </c>
      <c r="BF20" s="55">
        <f t="shared" si="19"/>
        <v>431617</v>
      </c>
      <c r="BG20" s="62">
        <v>510732</v>
      </c>
      <c r="BH20" s="63">
        <v>348854.75</v>
      </c>
      <c r="BI20" s="69">
        <f t="shared" si="20"/>
        <v>68.30485460084742</v>
      </c>
      <c r="BJ20" s="70">
        <f t="shared" si="21"/>
        <v>34131.199999999997</v>
      </c>
      <c r="BK20" s="71">
        <f t="shared" si="22"/>
        <v>6.6828003727982588E-2</v>
      </c>
      <c r="BL20" s="72">
        <f t="shared" si="23"/>
        <v>3</v>
      </c>
      <c r="BM20" s="61">
        <f t="shared" si="24"/>
        <v>57999.5</v>
      </c>
      <c r="BN20" s="69">
        <f t="shared" si="25"/>
        <v>2.7654912542349499</v>
      </c>
      <c r="BO20" s="73">
        <f t="shared" si="26"/>
        <v>375</v>
      </c>
      <c r="BP20" s="69">
        <f t="shared" si="27"/>
        <v>427.72562666666664</v>
      </c>
      <c r="BQ20" s="61">
        <f t="shared" si="28"/>
        <v>26750</v>
      </c>
      <c r="BR20" s="69">
        <f t="shared" si="29"/>
        <v>5.9961536448598123</v>
      </c>
      <c r="BS20" s="64">
        <f t="shared" si="30"/>
        <v>41141.409999999989</v>
      </c>
      <c r="BT20" s="69">
        <f t="shared" si="31"/>
        <v>3.8986779986393278</v>
      </c>
      <c r="BU20" s="65">
        <v>160397.10999999999</v>
      </c>
      <c r="BV20" s="74">
        <f t="shared" si="32"/>
        <v>31.405337828841741</v>
      </c>
      <c r="BW20" s="75">
        <f t="shared" si="33"/>
        <v>1480.140000000014</v>
      </c>
      <c r="BX20" s="69">
        <f t="shared" si="34"/>
        <v>0.28980757031085069</v>
      </c>
      <c r="BY20" s="55">
        <v>11119.2</v>
      </c>
      <c r="BZ20" s="55">
        <v>9546</v>
      </c>
      <c r="CA20" s="55">
        <v>10496</v>
      </c>
      <c r="CB20" s="55">
        <v>2970</v>
      </c>
      <c r="CC20" s="64">
        <v>57999.5</v>
      </c>
      <c r="CD20" s="64">
        <v>375</v>
      </c>
      <c r="CE20" s="64">
        <v>26750</v>
      </c>
      <c r="CF20" s="76">
        <f t="shared" si="35"/>
        <v>2.1771105002232092E-2</v>
      </c>
      <c r="CG20" s="76">
        <f t="shared" si="36"/>
        <v>1.8690820234486972E-2</v>
      </c>
      <c r="CH20" s="76">
        <f t="shared" si="37"/>
        <v>2.0550895577328226E-2</v>
      </c>
      <c r="CI20" s="76">
        <f t="shared" si="38"/>
        <v>5.8151829139352932E-3</v>
      </c>
      <c r="CJ20" s="76">
        <f t="shared" si="39"/>
        <v>0.11356151562854883</v>
      </c>
      <c r="CK20" s="63">
        <f t="shared" si="40"/>
        <v>296.02800000000281</v>
      </c>
    </row>
    <row r="21" spans="1:89" ht="18.75" customHeight="1" x14ac:dyDescent="0.35">
      <c r="A21" s="50">
        <f t="shared" si="41"/>
        <v>14</v>
      </c>
      <c r="B21" s="51">
        <v>4</v>
      </c>
      <c r="C21" s="52" t="s">
        <v>99</v>
      </c>
      <c r="D21" s="52"/>
      <c r="E21" s="52"/>
      <c r="F21" s="53"/>
      <c r="G21" s="54">
        <v>40</v>
      </c>
      <c r="H21" s="55">
        <f t="shared" si="0"/>
        <v>0</v>
      </c>
      <c r="I21" s="53">
        <v>6500</v>
      </c>
      <c r="J21" s="56">
        <v>50</v>
      </c>
      <c r="K21" s="55">
        <f t="shared" si="1"/>
        <v>325000</v>
      </c>
      <c r="L21" s="53"/>
      <c r="M21" s="57">
        <v>60</v>
      </c>
      <c r="N21" s="55">
        <f t="shared" si="2"/>
        <v>0</v>
      </c>
      <c r="O21" s="53">
        <v>5136</v>
      </c>
      <c r="P21" s="57">
        <v>12</v>
      </c>
      <c r="Q21" s="55">
        <f t="shared" si="3"/>
        <v>61632</v>
      </c>
      <c r="R21" s="53">
        <v>7932</v>
      </c>
      <c r="S21" s="59">
        <v>12</v>
      </c>
      <c r="T21" s="55">
        <f t="shared" si="4"/>
        <v>95184</v>
      </c>
      <c r="U21" s="53">
        <v>664</v>
      </c>
      <c r="V21" s="57">
        <v>8</v>
      </c>
      <c r="W21" s="55">
        <f t="shared" si="5"/>
        <v>5312</v>
      </c>
      <c r="X21" s="53">
        <v>205</v>
      </c>
      <c r="Y21" s="57">
        <v>12</v>
      </c>
      <c r="Z21" s="55">
        <f t="shared" si="6"/>
        <v>2460</v>
      </c>
      <c r="AA21" s="53">
        <v>597</v>
      </c>
      <c r="AB21" s="57">
        <v>10</v>
      </c>
      <c r="AC21" s="55">
        <f t="shared" si="7"/>
        <v>5970</v>
      </c>
      <c r="AD21" s="53">
        <v>255</v>
      </c>
      <c r="AE21" s="57">
        <v>25</v>
      </c>
      <c r="AF21" s="55">
        <f t="shared" si="8"/>
        <v>6375</v>
      </c>
      <c r="AG21" s="53">
        <v>814</v>
      </c>
      <c r="AH21" s="57">
        <v>7.5</v>
      </c>
      <c r="AI21" s="55">
        <f t="shared" si="9"/>
        <v>6105</v>
      </c>
      <c r="AJ21" s="53"/>
      <c r="AK21" s="56">
        <v>15</v>
      </c>
      <c r="AL21" s="55">
        <f t="shared" si="10"/>
        <v>0</v>
      </c>
      <c r="AM21" s="53">
        <v>277</v>
      </c>
      <c r="AN21" s="57">
        <v>10</v>
      </c>
      <c r="AO21" s="55">
        <f t="shared" si="11"/>
        <v>2770</v>
      </c>
      <c r="AP21" s="53">
        <f t="shared" si="12"/>
        <v>10744</v>
      </c>
      <c r="AQ21" s="53"/>
      <c r="AR21" s="61"/>
      <c r="AS21" s="53"/>
      <c r="AT21" s="53"/>
      <c r="AU21" s="55"/>
      <c r="AV21" s="53"/>
      <c r="AW21" s="53"/>
      <c r="AX21" s="66">
        <v>1522</v>
      </c>
      <c r="AY21" s="53"/>
      <c r="AZ21" s="68">
        <f t="shared" si="13"/>
        <v>0.79015384615384621</v>
      </c>
      <c r="BA21" s="68">
        <f t="shared" si="14"/>
        <v>1.6529230769230769</v>
      </c>
      <c r="BB21" s="68">
        <f t="shared" si="15"/>
        <v>0.29633956386292837</v>
      </c>
      <c r="BC21" s="55">
        <f t="shared" si="16"/>
        <v>440301</v>
      </c>
      <c r="BD21" s="55">
        <f t="shared" si="17"/>
        <v>426559</v>
      </c>
      <c r="BE21" s="55">
        <f t="shared" si="18"/>
        <v>440301</v>
      </c>
      <c r="BF21" s="55">
        <f t="shared" si="19"/>
        <v>446406</v>
      </c>
      <c r="BG21" s="62">
        <v>540963</v>
      </c>
      <c r="BH21" s="63">
        <v>359062.46</v>
      </c>
      <c r="BI21" s="69">
        <f t="shared" si="20"/>
        <v>66.374679968870325</v>
      </c>
      <c r="BJ21" s="70">
        <f t="shared" si="21"/>
        <v>37034.5</v>
      </c>
      <c r="BK21" s="71">
        <f t="shared" si="22"/>
        <v>6.8460319837031366E-2</v>
      </c>
      <c r="BL21" s="72">
        <f t="shared" si="23"/>
        <v>4</v>
      </c>
      <c r="BM21" s="61">
        <f t="shared" si="24"/>
        <v>56625</v>
      </c>
      <c r="BN21" s="69">
        <f t="shared" si="25"/>
        <v>3.2527182339955854</v>
      </c>
      <c r="BO21" s="73">
        <f t="shared" si="26"/>
        <v>687.5</v>
      </c>
      <c r="BP21" s="69">
        <f t="shared" si="27"/>
        <v>267.90570181818185</v>
      </c>
      <c r="BQ21" s="61">
        <f t="shared" si="28"/>
        <v>35000</v>
      </c>
      <c r="BR21" s="69">
        <f t="shared" si="29"/>
        <v>5.2624334285714287</v>
      </c>
      <c r="BS21" s="64">
        <f t="shared" si="30"/>
        <v>54838.170000000013</v>
      </c>
      <c r="BT21" s="69">
        <f t="shared" si="31"/>
        <v>3.3587038006556376</v>
      </c>
      <c r="BU21" s="65">
        <v>184185.17</v>
      </c>
      <c r="BV21" s="74">
        <f t="shared" si="32"/>
        <v>34.047646511868649</v>
      </c>
      <c r="BW21" s="75">
        <f t="shared" si="33"/>
        <v>-2284.6300000000338</v>
      </c>
      <c r="BX21" s="69">
        <f t="shared" si="34"/>
        <v>-0.42232648073898471</v>
      </c>
      <c r="BY21" s="55">
        <v>11119.5</v>
      </c>
      <c r="BZ21" s="55">
        <v>11137</v>
      </c>
      <c r="CA21" s="55">
        <v>11808</v>
      </c>
      <c r="CB21" s="55">
        <v>2970</v>
      </c>
      <c r="CC21" s="64">
        <v>56625</v>
      </c>
      <c r="CD21" s="64">
        <v>687.5</v>
      </c>
      <c r="CE21" s="64">
        <v>35000</v>
      </c>
      <c r="CF21" s="76">
        <f t="shared" si="35"/>
        <v>2.0555010231753372E-2</v>
      </c>
      <c r="CG21" s="76">
        <f t="shared" si="36"/>
        <v>2.0587359948831992E-2</v>
      </c>
      <c r="CH21" s="76">
        <f t="shared" si="37"/>
        <v>2.1827740529389256E-2</v>
      </c>
      <c r="CI21" s="76">
        <f t="shared" si="38"/>
        <v>5.490209127056749E-3</v>
      </c>
      <c r="CJ21" s="76">
        <f t="shared" si="39"/>
        <v>0.10467444169009711</v>
      </c>
      <c r="CK21" s="63">
        <f t="shared" si="40"/>
        <v>-456.92600000000675</v>
      </c>
    </row>
    <row r="22" spans="1:89" ht="18.75" customHeight="1" x14ac:dyDescent="0.35">
      <c r="A22" s="50">
        <f t="shared" si="41"/>
        <v>15</v>
      </c>
      <c r="B22" s="58">
        <v>9</v>
      </c>
      <c r="C22" s="52" t="s">
        <v>98</v>
      </c>
      <c r="D22" s="52"/>
      <c r="E22" s="52"/>
      <c r="F22" s="53"/>
      <c r="G22" s="54">
        <v>40</v>
      </c>
      <c r="H22" s="55">
        <f t="shared" si="0"/>
        <v>0</v>
      </c>
      <c r="I22" s="53">
        <v>23827</v>
      </c>
      <c r="J22" s="56">
        <v>50</v>
      </c>
      <c r="K22" s="55">
        <f t="shared" si="1"/>
        <v>1191350</v>
      </c>
      <c r="L22" s="53"/>
      <c r="M22" s="57">
        <v>60</v>
      </c>
      <c r="N22" s="55">
        <f t="shared" si="2"/>
        <v>0</v>
      </c>
      <c r="O22" s="53">
        <v>21552</v>
      </c>
      <c r="P22" s="57">
        <v>12</v>
      </c>
      <c r="Q22" s="55">
        <f t="shared" si="3"/>
        <v>258624</v>
      </c>
      <c r="R22" s="53"/>
      <c r="S22" s="59">
        <v>12</v>
      </c>
      <c r="T22" s="55">
        <f t="shared" si="4"/>
        <v>0</v>
      </c>
      <c r="U22" s="53">
        <v>2900</v>
      </c>
      <c r="V22" s="57">
        <v>8</v>
      </c>
      <c r="W22" s="55">
        <f t="shared" si="5"/>
        <v>23200</v>
      </c>
      <c r="X22" s="53">
        <v>839</v>
      </c>
      <c r="Y22" s="57">
        <v>12</v>
      </c>
      <c r="Z22" s="55">
        <f t="shared" si="6"/>
        <v>10068</v>
      </c>
      <c r="AA22" s="53">
        <v>2498</v>
      </c>
      <c r="AB22" s="57">
        <v>10</v>
      </c>
      <c r="AC22" s="55">
        <f t="shared" si="7"/>
        <v>24980</v>
      </c>
      <c r="AD22" s="53">
        <v>1087</v>
      </c>
      <c r="AE22" s="57">
        <v>25</v>
      </c>
      <c r="AF22" s="55">
        <f t="shared" si="8"/>
        <v>27175</v>
      </c>
      <c r="AG22" s="53">
        <v>980</v>
      </c>
      <c r="AH22" s="57">
        <v>7.5</v>
      </c>
      <c r="AI22" s="55">
        <f t="shared" si="9"/>
        <v>7350</v>
      </c>
      <c r="AJ22" s="53"/>
      <c r="AK22" s="56">
        <v>15</v>
      </c>
      <c r="AL22" s="55">
        <f t="shared" si="10"/>
        <v>0</v>
      </c>
      <c r="AM22" s="53">
        <v>1080</v>
      </c>
      <c r="AN22" s="57">
        <v>10</v>
      </c>
      <c r="AO22" s="55">
        <f t="shared" si="11"/>
        <v>10800</v>
      </c>
      <c r="AP22" s="53">
        <f t="shared" si="12"/>
        <v>9384</v>
      </c>
      <c r="AQ22" s="53"/>
      <c r="AR22" s="61"/>
      <c r="AS22" s="53"/>
      <c r="AT22" s="53"/>
      <c r="AU22" s="55"/>
      <c r="AV22" s="53"/>
      <c r="AW22" s="53"/>
      <c r="AX22" s="66">
        <v>8423</v>
      </c>
      <c r="AY22" s="53"/>
      <c r="AZ22" s="68">
        <f t="shared" si="13"/>
        <v>0.90452008225962144</v>
      </c>
      <c r="BA22" s="68">
        <f t="shared" si="14"/>
        <v>0.39383892223108241</v>
      </c>
      <c r="BB22" s="68">
        <f t="shared" si="15"/>
        <v>0.39082219747587232</v>
      </c>
      <c r="BC22" s="55">
        <f t="shared" si="16"/>
        <v>1276773</v>
      </c>
      <c r="BD22" s="55">
        <f t="shared" si="17"/>
        <v>1218525</v>
      </c>
      <c r="BE22" s="55">
        <f t="shared" si="18"/>
        <v>1276773</v>
      </c>
      <c r="BF22" s="55">
        <f t="shared" si="19"/>
        <v>1284123</v>
      </c>
      <c r="BG22" s="62">
        <v>1716607</v>
      </c>
      <c r="BH22" s="63">
        <v>1158880.18</v>
      </c>
      <c r="BI22" s="69">
        <f t="shared" si="20"/>
        <v>67.509929762607285</v>
      </c>
      <c r="BJ22" s="70">
        <f t="shared" si="21"/>
        <v>93796</v>
      </c>
      <c r="BK22" s="71">
        <f t="shared" si="22"/>
        <v>5.4640345751823215E-2</v>
      </c>
      <c r="BL22" s="72">
        <f t="shared" si="23"/>
        <v>9</v>
      </c>
      <c r="BM22" s="61">
        <f t="shared" si="24"/>
        <v>144037.5</v>
      </c>
      <c r="BN22" s="69">
        <f t="shared" si="25"/>
        <v>3.0546720124967455</v>
      </c>
      <c r="BO22" s="73">
        <f t="shared" si="26"/>
        <v>2312.5</v>
      </c>
      <c r="BP22" s="69">
        <f t="shared" si="27"/>
        <v>190.26478702702704</v>
      </c>
      <c r="BQ22" s="61">
        <f t="shared" si="28"/>
        <v>66150</v>
      </c>
      <c r="BR22" s="69">
        <f t="shared" si="29"/>
        <v>6.6513578231292518</v>
      </c>
      <c r="BS22" s="64">
        <f t="shared" si="30"/>
        <v>133691.32</v>
      </c>
      <c r="BT22" s="69">
        <f t="shared" si="31"/>
        <v>3.2910687096215372</v>
      </c>
      <c r="BU22" s="65">
        <v>439987.32</v>
      </c>
      <c r="BV22" s="74">
        <f t="shared" si="32"/>
        <v>25.631220191925117</v>
      </c>
      <c r="BW22" s="75">
        <f t="shared" si="33"/>
        <v>117739.50000000006</v>
      </c>
      <c r="BX22" s="69">
        <f t="shared" si="34"/>
        <v>6.8588500454676034</v>
      </c>
      <c r="BY22" s="55">
        <v>22239</v>
      </c>
      <c r="BZ22" s="55">
        <v>23865</v>
      </c>
      <c r="CA22" s="55">
        <v>40672</v>
      </c>
      <c r="CB22" s="55">
        <v>7020</v>
      </c>
      <c r="CC22" s="64">
        <v>144037.5</v>
      </c>
      <c r="CD22" s="64">
        <v>2312.5</v>
      </c>
      <c r="CE22" s="64">
        <v>66150</v>
      </c>
      <c r="CF22" s="76">
        <f t="shared" si="35"/>
        <v>1.2955207569350469E-2</v>
      </c>
      <c r="CG22" s="76">
        <f t="shared" si="36"/>
        <v>1.3902424958071358E-2</v>
      </c>
      <c r="CH22" s="76">
        <f t="shared" si="37"/>
        <v>2.3693250697451426E-2</v>
      </c>
      <c r="CI22" s="76">
        <f t="shared" si="38"/>
        <v>4.0894625269499657E-3</v>
      </c>
      <c r="CJ22" s="76">
        <f t="shared" si="39"/>
        <v>8.3908256228711633E-2</v>
      </c>
      <c r="CK22" s="63">
        <f t="shared" si="40"/>
        <v>23547.900000000012</v>
      </c>
    </row>
    <row r="23" spans="1:89" ht="18.75" customHeight="1" x14ac:dyDescent="0.35">
      <c r="A23" s="50">
        <f t="shared" si="41"/>
        <v>16</v>
      </c>
      <c r="B23" s="58">
        <v>6</v>
      </c>
      <c r="C23" s="52" t="s">
        <v>117</v>
      </c>
      <c r="D23" s="52"/>
      <c r="E23" s="52"/>
      <c r="F23" s="53"/>
      <c r="G23" s="54">
        <v>40</v>
      </c>
      <c r="H23" s="55">
        <f t="shared" si="0"/>
        <v>0</v>
      </c>
      <c r="I23" s="53">
        <v>17250</v>
      </c>
      <c r="J23" s="56">
        <v>50</v>
      </c>
      <c r="K23" s="55">
        <f t="shared" si="1"/>
        <v>862500</v>
      </c>
      <c r="L23" s="53"/>
      <c r="M23" s="57">
        <v>60</v>
      </c>
      <c r="N23" s="55">
        <f t="shared" si="2"/>
        <v>0</v>
      </c>
      <c r="O23" s="53">
        <v>6998</v>
      </c>
      <c r="P23" s="57">
        <v>12</v>
      </c>
      <c r="Q23" s="55">
        <f t="shared" si="3"/>
        <v>83976</v>
      </c>
      <c r="R23" s="53"/>
      <c r="S23" s="59">
        <v>12</v>
      </c>
      <c r="T23" s="55">
        <f t="shared" si="4"/>
        <v>0</v>
      </c>
      <c r="U23" s="53">
        <v>852</v>
      </c>
      <c r="V23" s="57">
        <v>8</v>
      </c>
      <c r="W23" s="55">
        <f t="shared" si="5"/>
        <v>6816</v>
      </c>
      <c r="X23" s="53">
        <v>698</v>
      </c>
      <c r="Y23" s="57">
        <v>12</v>
      </c>
      <c r="Z23" s="55">
        <f t="shared" si="6"/>
        <v>8376</v>
      </c>
      <c r="AA23" s="53">
        <v>1318</v>
      </c>
      <c r="AB23" s="57">
        <v>10</v>
      </c>
      <c r="AC23" s="55">
        <f t="shared" si="7"/>
        <v>13180</v>
      </c>
      <c r="AD23" s="53">
        <v>260</v>
      </c>
      <c r="AE23" s="57">
        <v>25</v>
      </c>
      <c r="AF23" s="55">
        <f t="shared" si="8"/>
        <v>6500</v>
      </c>
      <c r="AG23" s="53">
        <v>496</v>
      </c>
      <c r="AH23" s="57">
        <v>7.5</v>
      </c>
      <c r="AI23" s="55">
        <f t="shared" si="9"/>
        <v>3720</v>
      </c>
      <c r="AJ23" s="53"/>
      <c r="AK23" s="56">
        <v>15</v>
      </c>
      <c r="AL23" s="55">
        <f t="shared" si="10"/>
        <v>0</v>
      </c>
      <c r="AM23" s="53">
        <v>100</v>
      </c>
      <c r="AN23" s="57">
        <v>10</v>
      </c>
      <c r="AO23" s="55">
        <f t="shared" si="11"/>
        <v>1000</v>
      </c>
      <c r="AP23" s="53">
        <f t="shared" si="12"/>
        <v>3724</v>
      </c>
      <c r="AQ23" s="53"/>
      <c r="AR23" s="61"/>
      <c r="AS23" s="53"/>
      <c r="AT23" s="53"/>
      <c r="AU23" s="55"/>
      <c r="AV23" s="53"/>
      <c r="AW23" s="53"/>
      <c r="AX23" s="66">
        <v>4087</v>
      </c>
      <c r="AY23" s="53"/>
      <c r="AZ23" s="68">
        <f t="shared" si="13"/>
        <v>0.40568115942028987</v>
      </c>
      <c r="BA23" s="68">
        <f t="shared" si="14"/>
        <v>0.21588405797101448</v>
      </c>
      <c r="BB23" s="68">
        <f t="shared" si="15"/>
        <v>0.58402400685910261</v>
      </c>
      <c r="BC23" s="55">
        <f t="shared" si="16"/>
        <v>897372</v>
      </c>
      <c r="BD23" s="55">
        <f t="shared" si="17"/>
        <v>869000</v>
      </c>
      <c r="BE23" s="55">
        <f t="shared" si="18"/>
        <v>897372</v>
      </c>
      <c r="BF23" s="55">
        <f t="shared" si="19"/>
        <v>901092</v>
      </c>
      <c r="BG23" s="62">
        <v>1059917</v>
      </c>
      <c r="BH23" s="63">
        <v>710921.03</v>
      </c>
      <c r="BI23" s="69">
        <f t="shared" si="20"/>
        <v>67.073273661994293</v>
      </c>
      <c r="BJ23" s="70">
        <f t="shared" si="21"/>
        <v>70406.3</v>
      </c>
      <c r="BK23" s="71">
        <f t="shared" si="22"/>
        <v>6.6426239035698081E-2</v>
      </c>
      <c r="BL23" s="72">
        <f t="shared" si="23"/>
        <v>6</v>
      </c>
      <c r="BM23" s="61">
        <f t="shared" si="24"/>
        <v>96000.5</v>
      </c>
      <c r="BN23" s="69">
        <f t="shared" si="25"/>
        <v>2.7972643892479732</v>
      </c>
      <c r="BO23" s="73">
        <f t="shared" si="26"/>
        <v>937</v>
      </c>
      <c r="BP23" s="69">
        <f t="shared" si="27"/>
        <v>286.5942155816436</v>
      </c>
      <c r="BQ23" s="61">
        <f t="shared" si="28"/>
        <v>26250</v>
      </c>
      <c r="BR23" s="69">
        <f t="shared" si="29"/>
        <v>10.230048761904763</v>
      </c>
      <c r="BS23" s="64">
        <f t="shared" si="30"/>
        <v>74944.980000000025</v>
      </c>
      <c r="BT23" s="69">
        <f t="shared" si="31"/>
        <v>3.5831456623245472</v>
      </c>
      <c r="BU23" s="65">
        <v>268538.78000000003</v>
      </c>
      <c r="BV23" s="74">
        <f t="shared" si="32"/>
        <v>25.33583101318311</v>
      </c>
      <c r="BW23" s="75">
        <f t="shared" si="33"/>
        <v>80457.189999999944</v>
      </c>
      <c r="BX23" s="69">
        <f t="shared" si="34"/>
        <v>7.5908953248225988</v>
      </c>
      <c r="BY23" s="55">
        <v>25944.3</v>
      </c>
      <c r="BZ23" s="55">
        <v>15910</v>
      </c>
      <c r="CA23" s="55">
        <v>20992</v>
      </c>
      <c r="CB23" s="55">
        <v>7560</v>
      </c>
      <c r="CC23" s="64">
        <v>96000.5</v>
      </c>
      <c r="CD23" s="64">
        <v>937</v>
      </c>
      <c r="CE23" s="64">
        <v>26250</v>
      </c>
      <c r="CF23" s="76">
        <f t="shared" si="35"/>
        <v>2.4477671364833285E-2</v>
      </c>
      <c r="CG23" s="76">
        <f t="shared" si="36"/>
        <v>1.5010609321295913E-2</v>
      </c>
      <c r="CH23" s="76">
        <f t="shared" si="37"/>
        <v>1.9805324379173088E-2</v>
      </c>
      <c r="CI23" s="76">
        <f t="shared" si="38"/>
        <v>7.1326339703957952E-3</v>
      </c>
      <c r="CJ23" s="76">
        <f t="shared" si="39"/>
        <v>9.0573601517854693E-2</v>
      </c>
      <c r="CK23" s="63">
        <f t="shared" si="40"/>
        <v>16091.437999999989</v>
      </c>
    </row>
    <row r="24" spans="1:89" ht="18.75" customHeight="1" x14ac:dyDescent="0.35">
      <c r="A24" s="50">
        <f t="shared" si="41"/>
        <v>17</v>
      </c>
      <c r="B24" s="51">
        <v>4</v>
      </c>
      <c r="C24" s="52" t="s">
        <v>213</v>
      </c>
      <c r="D24" s="52"/>
      <c r="E24" s="52"/>
      <c r="F24" s="53"/>
      <c r="G24" s="54">
        <v>40</v>
      </c>
      <c r="H24" s="55">
        <f t="shared" si="0"/>
        <v>0</v>
      </c>
      <c r="I24" s="53">
        <v>7972</v>
      </c>
      <c r="J24" s="56">
        <v>50</v>
      </c>
      <c r="K24" s="55">
        <f t="shared" si="1"/>
        <v>398600</v>
      </c>
      <c r="L24" s="53"/>
      <c r="M24" s="57">
        <v>60</v>
      </c>
      <c r="N24" s="55">
        <f t="shared" si="2"/>
        <v>0</v>
      </c>
      <c r="O24" s="53">
        <v>3155</v>
      </c>
      <c r="P24" s="57">
        <v>12</v>
      </c>
      <c r="Q24" s="55">
        <f t="shared" si="3"/>
        <v>37860</v>
      </c>
      <c r="R24" s="53">
        <v>200</v>
      </c>
      <c r="S24" s="59">
        <v>12</v>
      </c>
      <c r="T24" s="55">
        <f t="shared" si="4"/>
        <v>2400</v>
      </c>
      <c r="U24" s="53">
        <v>380</v>
      </c>
      <c r="V24" s="57">
        <v>8</v>
      </c>
      <c r="W24" s="55">
        <f t="shared" si="5"/>
        <v>3040</v>
      </c>
      <c r="X24" s="53">
        <v>304</v>
      </c>
      <c r="Y24" s="57">
        <v>12</v>
      </c>
      <c r="Z24" s="55">
        <f t="shared" si="6"/>
        <v>3648</v>
      </c>
      <c r="AA24" s="53">
        <v>680</v>
      </c>
      <c r="AB24" s="57">
        <v>10</v>
      </c>
      <c r="AC24" s="55">
        <f t="shared" si="7"/>
        <v>6800</v>
      </c>
      <c r="AD24" s="53"/>
      <c r="AE24" s="57">
        <v>25</v>
      </c>
      <c r="AF24" s="55">
        <f t="shared" si="8"/>
        <v>0</v>
      </c>
      <c r="AG24" s="53">
        <v>248</v>
      </c>
      <c r="AH24" s="57">
        <v>7.5</v>
      </c>
      <c r="AI24" s="55">
        <f t="shared" si="9"/>
        <v>1860</v>
      </c>
      <c r="AJ24" s="53"/>
      <c r="AK24" s="56">
        <v>15</v>
      </c>
      <c r="AL24" s="55">
        <f t="shared" si="10"/>
        <v>0</v>
      </c>
      <c r="AM24" s="53">
        <v>83</v>
      </c>
      <c r="AN24" s="57">
        <v>10</v>
      </c>
      <c r="AO24" s="55">
        <f t="shared" si="11"/>
        <v>830</v>
      </c>
      <c r="AP24" s="53">
        <f t="shared" si="12"/>
        <v>1895</v>
      </c>
      <c r="AQ24" s="53"/>
      <c r="AR24" s="61"/>
      <c r="AS24" s="53"/>
      <c r="AT24" s="53"/>
      <c r="AU24" s="55"/>
      <c r="AV24" s="53"/>
      <c r="AW24" s="53"/>
      <c r="AX24" s="66">
        <v>1314</v>
      </c>
      <c r="AY24" s="53"/>
      <c r="AZ24" s="68">
        <f t="shared" si="13"/>
        <v>0.39576016056196689</v>
      </c>
      <c r="BA24" s="68">
        <f t="shared" si="14"/>
        <v>0.23770697441043653</v>
      </c>
      <c r="BB24" s="68">
        <f t="shared" si="15"/>
        <v>0.41648177496038036</v>
      </c>
      <c r="BC24" s="55">
        <f t="shared" si="16"/>
        <v>414488</v>
      </c>
      <c r="BD24" s="55">
        <f t="shared" si="17"/>
        <v>401000</v>
      </c>
      <c r="BE24" s="55">
        <f t="shared" si="18"/>
        <v>414488</v>
      </c>
      <c r="BF24" s="55">
        <f t="shared" si="19"/>
        <v>416348</v>
      </c>
      <c r="BG24" s="62">
        <v>480962</v>
      </c>
      <c r="BH24" s="63">
        <v>322470.71999999997</v>
      </c>
      <c r="BI24" s="69">
        <f t="shared" si="20"/>
        <v>67.047026584220788</v>
      </c>
      <c r="BJ24" s="70">
        <f t="shared" si="21"/>
        <v>35902.5</v>
      </c>
      <c r="BK24" s="71">
        <f t="shared" si="22"/>
        <v>7.4647269430849011E-2</v>
      </c>
      <c r="BL24" s="72">
        <f t="shared" si="23"/>
        <v>4</v>
      </c>
      <c r="BM24" s="61">
        <f t="shared" si="24"/>
        <v>63250</v>
      </c>
      <c r="BN24" s="69">
        <f t="shared" si="25"/>
        <v>2.5535106719367588</v>
      </c>
      <c r="BO24" s="73">
        <f t="shared" si="26"/>
        <v>1812.5</v>
      </c>
      <c r="BP24" s="69">
        <f t="shared" si="27"/>
        <v>89.10871724137931</v>
      </c>
      <c r="BQ24" s="61">
        <f t="shared" si="28"/>
        <v>10000</v>
      </c>
      <c r="BR24" s="69">
        <f t="shared" si="29"/>
        <v>16.150955</v>
      </c>
      <c r="BS24" s="64">
        <f t="shared" si="30"/>
        <v>50544.549999999988</v>
      </c>
      <c r="BT24" s="69">
        <f t="shared" si="31"/>
        <v>3.1953900074290904</v>
      </c>
      <c r="BU24" s="65">
        <v>161509.54999999999</v>
      </c>
      <c r="BV24" s="74">
        <f t="shared" si="32"/>
        <v>33.580521953917355</v>
      </c>
      <c r="BW24" s="75">
        <f t="shared" si="33"/>
        <v>-3018.2699999999604</v>
      </c>
      <c r="BX24" s="69">
        <f t="shared" si="34"/>
        <v>-0.62754853813813993</v>
      </c>
      <c r="BY24" s="55">
        <v>11119.5</v>
      </c>
      <c r="BZ24" s="55">
        <v>11137</v>
      </c>
      <c r="CA24" s="55">
        <v>10676</v>
      </c>
      <c r="CB24" s="55">
        <v>2970</v>
      </c>
      <c r="CC24" s="64">
        <v>63250</v>
      </c>
      <c r="CD24" s="64">
        <v>1812.5</v>
      </c>
      <c r="CE24" s="64">
        <v>10000</v>
      </c>
      <c r="CF24" s="76">
        <f t="shared" si="35"/>
        <v>2.3119290089445736E-2</v>
      </c>
      <c r="CG24" s="76">
        <f t="shared" si="36"/>
        <v>2.3155675500351379E-2</v>
      </c>
      <c r="CH24" s="76">
        <f t="shared" si="37"/>
        <v>2.2197179818779861E-2</v>
      </c>
      <c r="CI24" s="76">
        <f t="shared" si="38"/>
        <v>6.1751240222720294E-3</v>
      </c>
      <c r="CJ24" s="76">
        <f t="shared" si="39"/>
        <v>0.13150727084468211</v>
      </c>
      <c r="CK24" s="63">
        <f t="shared" si="40"/>
        <v>-603.65399999999215</v>
      </c>
    </row>
    <row r="25" spans="1:89" ht="18.75" customHeight="1" x14ac:dyDescent="0.35">
      <c r="A25" s="50">
        <f t="shared" si="41"/>
        <v>18</v>
      </c>
      <c r="B25" s="51">
        <v>6</v>
      </c>
      <c r="C25" s="52" t="s">
        <v>112</v>
      </c>
      <c r="D25" s="52"/>
      <c r="E25" s="52"/>
      <c r="F25" s="53"/>
      <c r="G25" s="54">
        <v>40</v>
      </c>
      <c r="H25" s="55">
        <f t="shared" si="0"/>
        <v>0</v>
      </c>
      <c r="I25" s="53">
        <v>18203.080000000002</v>
      </c>
      <c r="J25" s="56">
        <v>50</v>
      </c>
      <c r="K25" s="55">
        <f t="shared" si="1"/>
        <v>910154.00000000012</v>
      </c>
      <c r="L25" s="53"/>
      <c r="M25" s="57">
        <v>60</v>
      </c>
      <c r="N25" s="55">
        <f t="shared" si="2"/>
        <v>0</v>
      </c>
      <c r="O25" s="53">
        <v>8775</v>
      </c>
      <c r="P25" s="57">
        <v>12</v>
      </c>
      <c r="Q25" s="55">
        <f t="shared" si="3"/>
        <v>105300</v>
      </c>
      <c r="R25" s="53">
        <v>715</v>
      </c>
      <c r="S25" s="59">
        <v>12</v>
      </c>
      <c r="T25" s="55">
        <f t="shared" si="4"/>
        <v>8580</v>
      </c>
      <c r="U25" s="53">
        <v>1019</v>
      </c>
      <c r="V25" s="57">
        <v>8</v>
      </c>
      <c r="W25" s="55">
        <f t="shared" si="5"/>
        <v>8152</v>
      </c>
      <c r="X25" s="53">
        <v>405</v>
      </c>
      <c r="Y25" s="57">
        <v>12</v>
      </c>
      <c r="Z25" s="55">
        <f t="shared" si="6"/>
        <v>4860</v>
      </c>
      <c r="AA25" s="53">
        <v>1605</v>
      </c>
      <c r="AB25" s="57">
        <v>10</v>
      </c>
      <c r="AC25" s="55">
        <f t="shared" si="7"/>
        <v>16050</v>
      </c>
      <c r="AD25" s="53">
        <v>360</v>
      </c>
      <c r="AE25" s="57">
        <v>25</v>
      </c>
      <c r="AF25" s="55">
        <f t="shared" si="8"/>
        <v>9000</v>
      </c>
      <c r="AG25" s="53">
        <v>304</v>
      </c>
      <c r="AH25" s="57">
        <v>7.5</v>
      </c>
      <c r="AI25" s="55">
        <f t="shared" si="9"/>
        <v>2280</v>
      </c>
      <c r="AJ25" s="53"/>
      <c r="AK25" s="56">
        <v>15</v>
      </c>
      <c r="AL25" s="55">
        <f t="shared" si="10"/>
        <v>0</v>
      </c>
      <c r="AM25" s="53">
        <v>263</v>
      </c>
      <c r="AN25" s="57">
        <v>10</v>
      </c>
      <c r="AO25" s="55">
        <f t="shared" si="11"/>
        <v>2630</v>
      </c>
      <c r="AP25" s="53">
        <f t="shared" si="12"/>
        <v>4671</v>
      </c>
      <c r="AQ25" s="53"/>
      <c r="AR25" s="61"/>
      <c r="AS25" s="53"/>
      <c r="AT25" s="53"/>
      <c r="AU25" s="55"/>
      <c r="AV25" s="53"/>
      <c r="AW25" s="53"/>
      <c r="AX25" s="66">
        <v>2764</v>
      </c>
      <c r="AY25" s="53"/>
      <c r="AZ25" s="68">
        <f t="shared" si="13"/>
        <v>0.48206127754204231</v>
      </c>
      <c r="BA25" s="68">
        <f t="shared" si="14"/>
        <v>0.25660492619930253</v>
      </c>
      <c r="BB25" s="68">
        <f t="shared" si="15"/>
        <v>0.31498575498575498</v>
      </c>
      <c r="BC25" s="55">
        <f t="shared" si="16"/>
        <v>956796.00000000012</v>
      </c>
      <c r="BD25" s="55">
        <f t="shared" si="17"/>
        <v>927734.00000000012</v>
      </c>
      <c r="BE25" s="55">
        <f t="shared" si="18"/>
        <v>956796.00000000012</v>
      </c>
      <c r="BF25" s="55">
        <f t="shared" si="19"/>
        <v>959076.00000000012</v>
      </c>
      <c r="BG25" s="62">
        <v>1123129</v>
      </c>
      <c r="BH25" s="63">
        <v>770926.53</v>
      </c>
      <c r="BI25" s="69">
        <f t="shared" si="20"/>
        <v>68.640960210269697</v>
      </c>
      <c r="BJ25" s="70">
        <f t="shared" si="21"/>
        <v>68132</v>
      </c>
      <c r="BK25" s="71">
        <f t="shared" si="22"/>
        <v>6.0662666532517638E-2</v>
      </c>
      <c r="BL25" s="72">
        <f t="shared" si="23"/>
        <v>6</v>
      </c>
      <c r="BM25" s="61">
        <f t="shared" si="24"/>
        <v>80562.3</v>
      </c>
      <c r="BN25" s="69">
        <f t="shared" si="25"/>
        <v>2.8386603907783168</v>
      </c>
      <c r="BO25" s="73">
        <f t="shared" si="26"/>
        <v>2250</v>
      </c>
      <c r="BP25" s="69">
        <f t="shared" si="27"/>
        <v>101.63956</v>
      </c>
      <c r="BQ25" s="61">
        <f t="shared" si="28"/>
        <v>25000</v>
      </c>
      <c r="BR25" s="69">
        <f t="shared" si="29"/>
        <v>9.1475603999999997</v>
      </c>
      <c r="BS25" s="64">
        <f t="shared" si="30"/>
        <v>52744.710000000021</v>
      </c>
      <c r="BT25" s="69">
        <f t="shared" si="31"/>
        <v>4.3357714925345103</v>
      </c>
      <c r="BU25" s="65">
        <v>228689.01</v>
      </c>
      <c r="BV25" s="74">
        <f t="shared" si="32"/>
        <v>20.361775895734148</v>
      </c>
      <c r="BW25" s="75">
        <f t="shared" si="33"/>
        <v>123513.45999999996</v>
      </c>
      <c r="BX25" s="69">
        <f t="shared" si="34"/>
        <v>10.997263893996145</v>
      </c>
      <c r="BY25" s="55">
        <v>22133</v>
      </c>
      <c r="BZ25" s="55">
        <v>17501</v>
      </c>
      <c r="CA25" s="55">
        <v>23098</v>
      </c>
      <c r="CB25" s="55">
        <v>5400</v>
      </c>
      <c r="CC25" s="64">
        <v>80562.3</v>
      </c>
      <c r="CD25" s="64">
        <v>2250</v>
      </c>
      <c r="CE25" s="64">
        <v>25000</v>
      </c>
      <c r="CF25" s="76">
        <f t="shared" si="35"/>
        <v>1.9706551963309647E-2</v>
      </c>
      <c r="CG25" s="76">
        <f t="shared" si="36"/>
        <v>1.558235963989889E-2</v>
      </c>
      <c r="CH25" s="76">
        <f t="shared" si="37"/>
        <v>2.0565758697353553E-2</v>
      </c>
      <c r="CI25" s="76">
        <f t="shared" si="38"/>
        <v>4.8079962319555452E-3</v>
      </c>
      <c r="CJ25" s="76">
        <f t="shared" si="39"/>
        <v>7.1730228673643009E-2</v>
      </c>
      <c r="CK25" s="63">
        <f t="shared" si="40"/>
        <v>24702.691999999995</v>
      </c>
    </row>
    <row r="26" spans="1:89" ht="18.75" customHeight="1" x14ac:dyDescent="0.35">
      <c r="A26" s="50">
        <f t="shared" si="41"/>
        <v>19</v>
      </c>
      <c r="B26" s="58">
        <v>9</v>
      </c>
      <c r="C26" s="52" t="s">
        <v>104</v>
      </c>
      <c r="D26" s="52"/>
      <c r="E26" s="52"/>
      <c r="F26" s="53"/>
      <c r="G26" s="54">
        <v>40</v>
      </c>
      <c r="H26" s="55">
        <f t="shared" si="0"/>
        <v>0</v>
      </c>
      <c r="I26" s="53">
        <v>22829</v>
      </c>
      <c r="J26" s="56">
        <v>50</v>
      </c>
      <c r="K26" s="55">
        <f t="shared" si="1"/>
        <v>1141450</v>
      </c>
      <c r="L26" s="53"/>
      <c r="M26" s="57">
        <v>60</v>
      </c>
      <c r="N26" s="55">
        <f t="shared" si="2"/>
        <v>0</v>
      </c>
      <c r="O26" s="53">
        <v>20438</v>
      </c>
      <c r="P26" s="57">
        <v>12</v>
      </c>
      <c r="Q26" s="55">
        <f t="shared" si="3"/>
        <v>245256</v>
      </c>
      <c r="R26" s="53"/>
      <c r="S26" s="59">
        <v>12</v>
      </c>
      <c r="T26" s="55">
        <f t="shared" si="4"/>
        <v>0</v>
      </c>
      <c r="U26" s="53">
        <v>2454</v>
      </c>
      <c r="V26" s="57">
        <v>8</v>
      </c>
      <c r="W26" s="55">
        <f t="shared" si="5"/>
        <v>19632</v>
      </c>
      <c r="X26" s="53">
        <v>1279</v>
      </c>
      <c r="Y26" s="57">
        <v>12</v>
      </c>
      <c r="Z26" s="55">
        <f t="shared" si="6"/>
        <v>15348</v>
      </c>
      <c r="AA26" s="53">
        <v>2126</v>
      </c>
      <c r="AB26" s="57">
        <v>10</v>
      </c>
      <c r="AC26" s="55">
        <f t="shared" si="7"/>
        <v>21260</v>
      </c>
      <c r="AD26" s="53">
        <v>680</v>
      </c>
      <c r="AE26" s="57">
        <v>25</v>
      </c>
      <c r="AF26" s="55">
        <f t="shared" si="8"/>
        <v>17000</v>
      </c>
      <c r="AG26" s="53">
        <v>789</v>
      </c>
      <c r="AH26" s="57">
        <v>7.5</v>
      </c>
      <c r="AI26" s="55">
        <f t="shared" si="9"/>
        <v>5917.5</v>
      </c>
      <c r="AJ26" s="53"/>
      <c r="AK26" s="56">
        <v>15</v>
      </c>
      <c r="AL26" s="55">
        <f t="shared" si="10"/>
        <v>0</v>
      </c>
      <c r="AM26" s="53">
        <v>614</v>
      </c>
      <c r="AN26" s="57">
        <v>10</v>
      </c>
      <c r="AO26" s="55">
        <f t="shared" si="11"/>
        <v>6140</v>
      </c>
      <c r="AP26" s="53">
        <f t="shared" si="12"/>
        <v>7942</v>
      </c>
      <c r="AQ26" s="53"/>
      <c r="AR26" s="61"/>
      <c r="AS26" s="53"/>
      <c r="AT26" s="53"/>
      <c r="AU26" s="55"/>
      <c r="AV26" s="53"/>
      <c r="AW26" s="53"/>
      <c r="AX26" s="66">
        <v>5069</v>
      </c>
      <c r="AY26" s="53"/>
      <c r="AZ26" s="68">
        <f t="shared" si="13"/>
        <v>0.89526479477857113</v>
      </c>
      <c r="BA26" s="68">
        <f t="shared" si="14"/>
        <v>0.34789084059748565</v>
      </c>
      <c r="BB26" s="68">
        <f t="shared" si="15"/>
        <v>0.24801839710343479</v>
      </c>
      <c r="BC26" s="55">
        <f t="shared" si="16"/>
        <v>1214690</v>
      </c>
      <c r="BD26" s="55">
        <f t="shared" si="17"/>
        <v>1158450</v>
      </c>
      <c r="BE26" s="55">
        <f t="shared" si="18"/>
        <v>1214690</v>
      </c>
      <c r="BF26" s="55">
        <f t="shared" si="19"/>
        <v>1220607.5</v>
      </c>
      <c r="BG26" s="62">
        <v>1571502.5</v>
      </c>
      <c r="BH26" s="63">
        <v>1067451.74</v>
      </c>
      <c r="BI26" s="69">
        <f t="shared" si="20"/>
        <v>67.925551502463406</v>
      </c>
      <c r="BJ26" s="70">
        <f t="shared" si="21"/>
        <v>81401</v>
      </c>
      <c r="BK26" s="71">
        <f t="shared" si="22"/>
        <v>5.1798199493796541E-2</v>
      </c>
      <c r="BL26" s="72">
        <f t="shared" si="23"/>
        <v>9</v>
      </c>
      <c r="BM26" s="61">
        <f t="shared" si="24"/>
        <v>127975</v>
      </c>
      <c r="BN26" s="69">
        <f t="shared" si="25"/>
        <v>2.6389158820082046</v>
      </c>
      <c r="BO26" s="73">
        <f t="shared" si="26"/>
        <v>1562.5</v>
      </c>
      <c r="BP26" s="69">
        <f t="shared" si="27"/>
        <v>216.1377664</v>
      </c>
      <c r="BQ26" s="61">
        <f t="shared" si="28"/>
        <v>38217.86</v>
      </c>
      <c r="BR26" s="69">
        <f t="shared" si="29"/>
        <v>8.8365821634178374</v>
      </c>
      <c r="BS26" s="64">
        <f t="shared" si="30"/>
        <v>88558.900000000023</v>
      </c>
      <c r="BT26" s="69">
        <f t="shared" si="31"/>
        <v>3.8134536449752643</v>
      </c>
      <c r="BU26" s="65">
        <v>337715.26</v>
      </c>
      <c r="BV26" s="74">
        <f t="shared" si="32"/>
        <v>21.489960085968683</v>
      </c>
      <c r="BW26" s="75">
        <f t="shared" si="33"/>
        <v>166335.5</v>
      </c>
      <c r="BX26" s="69">
        <f t="shared" si="34"/>
        <v>10.584488411567911</v>
      </c>
      <c r="BY26" s="55">
        <v>22239</v>
      </c>
      <c r="BZ26" s="55">
        <v>22274</v>
      </c>
      <c r="CA26" s="55">
        <v>31488</v>
      </c>
      <c r="CB26" s="55">
        <v>5400</v>
      </c>
      <c r="CC26" s="64">
        <v>127975</v>
      </c>
      <c r="CD26" s="64">
        <v>1562.5</v>
      </c>
      <c r="CE26" s="64">
        <v>38217.86</v>
      </c>
      <c r="CF26" s="76">
        <f t="shared" si="35"/>
        <v>1.4151425148862315E-2</v>
      </c>
      <c r="CG26" s="76">
        <f t="shared" si="36"/>
        <v>1.4173696828353757E-2</v>
      </c>
      <c r="CH26" s="76">
        <f t="shared" si="37"/>
        <v>2.0036875537900831E-2</v>
      </c>
      <c r="CI26" s="76">
        <f t="shared" si="38"/>
        <v>3.4362019786796393E-3</v>
      </c>
      <c r="CJ26" s="76">
        <f t="shared" si="39"/>
        <v>8.1434805226208676E-2</v>
      </c>
      <c r="CK26" s="63">
        <f t="shared" si="40"/>
        <v>33267.1</v>
      </c>
    </row>
    <row r="27" spans="1:89" ht="18.75" customHeight="1" x14ac:dyDescent="0.35">
      <c r="A27" s="50">
        <f t="shared" si="41"/>
        <v>20</v>
      </c>
      <c r="B27" s="51">
        <v>5</v>
      </c>
      <c r="C27" s="52" t="s">
        <v>206</v>
      </c>
      <c r="D27" s="52"/>
      <c r="E27" s="52"/>
      <c r="F27" s="53"/>
      <c r="G27" s="54">
        <v>40</v>
      </c>
      <c r="H27" s="55">
        <f t="shared" si="0"/>
        <v>0</v>
      </c>
      <c r="I27" s="53">
        <v>10774</v>
      </c>
      <c r="J27" s="56">
        <v>50</v>
      </c>
      <c r="K27" s="55">
        <f t="shared" si="1"/>
        <v>538700</v>
      </c>
      <c r="L27" s="53"/>
      <c r="M27" s="57">
        <v>60</v>
      </c>
      <c r="N27" s="55">
        <f t="shared" si="2"/>
        <v>0</v>
      </c>
      <c r="O27" s="53">
        <v>3439</v>
      </c>
      <c r="P27" s="57">
        <v>12</v>
      </c>
      <c r="Q27" s="55">
        <f t="shared" si="3"/>
        <v>41268</v>
      </c>
      <c r="R27" s="53">
        <v>2500</v>
      </c>
      <c r="S27" s="59">
        <v>12</v>
      </c>
      <c r="T27" s="55">
        <f t="shared" si="4"/>
        <v>30000</v>
      </c>
      <c r="U27" s="53">
        <v>771</v>
      </c>
      <c r="V27" s="57">
        <v>8</v>
      </c>
      <c r="W27" s="55">
        <f t="shared" si="5"/>
        <v>6168</v>
      </c>
      <c r="X27" s="53">
        <v>201</v>
      </c>
      <c r="Y27" s="57">
        <v>12</v>
      </c>
      <c r="Z27" s="55">
        <f t="shared" si="6"/>
        <v>2412</v>
      </c>
      <c r="AA27" s="53">
        <v>716</v>
      </c>
      <c r="AB27" s="57">
        <v>10</v>
      </c>
      <c r="AC27" s="55">
        <f t="shared" si="7"/>
        <v>7160</v>
      </c>
      <c r="AD27" s="53">
        <v>104</v>
      </c>
      <c r="AE27" s="57">
        <v>25</v>
      </c>
      <c r="AF27" s="55">
        <f t="shared" si="8"/>
        <v>2600</v>
      </c>
      <c r="AG27" s="53">
        <v>268</v>
      </c>
      <c r="AH27" s="57">
        <v>7.5</v>
      </c>
      <c r="AI27" s="55">
        <f t="shared" si="9"/>
        <v>2010</v>
      </c>
      <c r="AJ27" s="53"/>
      <c r="AK27" s="56">
        <v>15</v>
      </c>
      <c r="AL27" s="55">
        <f t="shared" si="10"/>
        <v>0</v>
      </c>
      <c r="AM27" s="53">
        <v>162</v>
      </c>
      <c r="AN27" s="57">
        <v>10</v>
      </c>
      <c r="AO27" s="55">
        <f t="shared" si="11"/>
        <v>1620</v>
      </c>
      <c r="AP27" s="53">
        <f t="shared" si="12"/>
        <v>4722</v>
      </c>
      <c r="AQ27" s="53"/>
      <c r="AR27" s="61"/>
      <c r="AS27" s="53"/>
      <c r="AT27" s="53"/>
      <c r="AU27" s="55"/>
      <c r="AV27" s="53"/>
      <c r="AW27" s="53"/>
      <c r="AX27" s="66">
        <v>2334</v>
      </c>
      <c r="AY27" s="53"/>
      <c r="AZ27" s="68">
        <f t="shared" si="13"/>
        <v>0.31919435678485242</v>
      </c>
      <c r="BA27" s="68">
        <f t="shared" si="14"/>
        <v>0.43827733432337107</v>
      </c>
      <c r="BB27" s="68">
        <f t="shared" si="15"/>
        <v>0.67868566443733647</v>
      </c>
      <c r="BC27" s="55">
        <f t="shared" si="16"/>
        <v>587040</v>
      </c>
      <c r="BD27" s="55">
        <f t="shared" si="17"/>
        <v>571300</v>
      </c>
      <c r="BE27" s="55">
        <f t="shared" si="18"/>
        <v>587040</v>
      </c>
      <c r="BF27" s="55">
        <f t="shared" si="19"/>
        <v>589050</v>
      </c>
      <c r="BG27" s="62">
        <v>677210</v>
      </c>
      <c r="BH27" s="63">
        <v>454569.8</v>
      </c>
      <c r="BI27" s="69">
        <f t="shared" si="20"/>
        <v>67.123905435536983</v>
      </c>
      <c r="BJ27" s="70">
        <f t="shared" si="21"/>
        <v>49354.5</v>
      </c>
      <c r="BK27" s="71">
        <f t="shared" si="22"/>
        <v>7.2879165989870195E-2</v>
      </c>
      <c r="BL27" s="72">
        <f t="shared" si="23"/>
        <v>5</v>
      </c>
      <c r="BM27" s="61">
        <f t="shared" si="24"/>
        <v>74412.5</v>
      </c>
      <c r="BN27" s="69">
        <f t="shared" si="25"/>
        <v>2.5922738787166133</v>
      </c>
      <c r="BO27" s="73">
        <f t="shared" si="26"/>
        <v>1750</v>
      </c>
      <c r="BP27" s="69">
        <f t="shared" si="27"/>
        <v>110.22718857142857</v>
      </c>
      <c r="BQ27" s="61">
        <f t="shared" si="28"/>
        <v>16000</v>
      </c>
      <c r="BR27" s="69">
        <f t="shared" si="29"/>
        <v>12.056098749999999</v>
      </c>
      <c r="BS27" s="64">
        <f t="shared" si="30"/>
        <v>51380.579999999987</v>
      </c>
      <c r="BT27" s="69">
        <f t="shared" si="31"/>
        <v>3.7542896557415277</v>
      </c>
      <c r="BU27" s="65">
        <v>192897.58</v>
      </c>
      <c r="BV27" s="74">
        <f t="shared" si="32"/>
        <v>28.484160009450537</v>
      </c>
      <c r="BW27" s="75">
        <f t="shared" si="33"/>
        <v>29742.620000000024</v>
      </c>
      <c r="BX27" s="69">
        <f t="shared" si="34"/>
        <v>4.3919345550124813</v>
      </c>
      <c r="BY27" s="55">
        <v>18423.5</v>
      </c>
      <c r="BZ27" s="55">
        <v>11137</v>
      </c>
      <c r="CA27" s="55">
        <v>15744</v>
      </c>
      <c r="CB27" s="55">
        <v>4050</v>
      </c>
      <c r="CC27" s="55">
        <v>74412.5</v>
      </c>
      <c r="CD27" s="64">
        <v>1750</v>
      </c>
      <c r="CE27" s="64">
        <v>16000</v>
      </c>
      <c r="CF27" s="76">
        <f t="shared" si="35"/>
        <v>2.7205002879461319E-2</v>
      </c>
      <c r="CG27" s="76">
        <f t="shared" si="36"/>
        <v>1.6445415749915093E-2</v>
      </c>
      <c r="CH27" s="76">
        <f t="shared" si="37"/>
        <v>2.3248327697464596E-2</v>
      </c>
      <c r="CI27" s="76">
        <f t="shared" si="38"/>
        <v>5.980419663029193E-3</v>
      </c>
      <c r="CJ27" s="76">
        <f t="shared" si="39"/>
        <v>0.10988098226547156</v>
      </c>
      <c r="CK27" s="63">
        <f t="shared" si="40"/>
        <v>5948.5240000000049</v>
      </c>
    </row>
    <row r="28" spans="1:89" ht="18.75" customHeight="1" x14ac:dyDescent="0.35">
      <c r="A28" s="50">
        <f t="shared" si="41"/>
        <v>21</v>
      </c>
      <c r="B28" s="51">
        <v>4</v>
      </c>
      <c r="C28" s="52" t="s">
        <v>215</v>
      </c>
      <c r="D28" s="52"/>
      <c r="E28" s="52"/>
      <c r="F28" s="53"/>
      <c r="G28" s="54">
        <v>40</v>
      </c>
      <c r="H28" s="55">
        <f t="shared" si="0"/>
        <v>0</v>
      </c>
      <c r="I28" s="53">
        <v>9611</v>
      </c>
      <c r="J28" s="56">
        <v>50</v>
      </c>
      <c r="K28" s="55">
        <f t="shared" si="1"/>
        <v>480550</v>
      </c>
      <c r="L28" s="53"/>
      <c r="M28" s="57">
        <v>60</v>
      </c>
      <c r="N28" s="55">
        <f t="shared" si="2"/>
        <v>0</v>
      </c>
      <c r="O28" s="53">
        <v>4221</v>
      </c>
      <c r="P28" s="57">
        <v>12</v>
      </c>
      <c r="Q28" s="55">
        <f t="shared" si="3"/>
        <v>50652</v>
      </c>
      <c r="R28" s="53">
        <v>1830</v>
      </c>
      <c r="S28" s="59">
        <v>12</v>
      </c>
      <c r="T28" s="55">
        <f t="shared" si="4"/>
        <v>21960</v>
      </c>
      <c r="U28" s="53">
        <v>1174</v>
      </c>
      <c r="V28" s="57">
        <v>8</v>
      </c>
      <c r="W28" s="55">
        <f t="shared" si="5"/>
        <v>9392</v>
      </c>
      <c r="X28" s="53">
        <v>931</v>
      </c>
      <c r="Y28" s="57">
        <v>12</v>
      </c>
      <c r="Z28" s="55">
        <f t="shared" si="6"/>
        <v>11172</v>
      </c>
      <c r="AA28" s="53">
        <v>1887</v>
      </c>
      <c r="AB28" s="57">
        <v>10</v>
      </c>
      <c r="AC28" s="55">
        <f t="shared" si="7"/>
        <v>18870</v>
      </c>
      <c r="AD28" s="53">
        <v>315</v>
      </c>
      <c r="AE28" s="57">
        <v>25</v>
      </c>
      <c r="AF28" s="55">
        <f t="shared" si="8"/>
        <v>7875</v>
      </c>
      <c r="AG28" s="53">
        <v>360</v>
      </c>
      <c r="AH28" s="57">
        <v>7.5</v>
      </c>
      <c r="AI28" s="55">
        <f t="shared" si="9"/>
        <v>2700</v>
      </c>
      <c r="AJ28" s="53"/>
      <c r="AK28" s="56">
        <v>15</v>
      </c>
      <c r="AL28" s="55">
        <f t="shared" si="10"/>
        <v>0</v>
      </c>
      <c r="AM28" s="53"/>
      <c r="AN28" s="57">
        <v>10</v>
      </c>
      <c r="AO28" s="55">
        <f t="shared" si="11"/>
        <v>0</v>
      </c>
      <c r="AP28" s="53">
        <f t="shared" si="12"/>
        <v>6497</v>
      </c>
      <c r="AQ28" s="53"/>
      <c r="AR28" s="61"/>
      <c r="AS28" s="53"/>
      <c r="AT28" s="53"/>
      <c r="AU28" s="55"/>
      <c r="AV28" s="53"/>
      <c r="AW28" s="53"/>
      <c r="AX28" s="66">
        <v>1976</v>
      </c>
      <c r="AY28" s="53"/>
      <c r="AZ28" s="68">
        <f t="shared" si="13"/>
        <v>0.43918426802621996</v>
      </c>
      <c r="BA28" s="68">
        <f t="shared" si="14"/>
        <v>0.67599625429195709</v>
      </c>
      <c r="BB28" s="68">
        <f t="shared" si="15"/>
        <v>0.4681355129116323</v>
      </c>
      <c r="BC28" s="55">
        <f t="shared" si="16"/>
        <v>549819</v>
      </c>
      <c r="BD28" s="55">
        <f t="shared" si="17"/>
        <v>510385</v>
      </c>
      <c r="BE28" s="55">
        <f t="shared" si="18"/>
        <v>549819</v>
      </c>
      <c r="BF28" s="55">
        <f t="shared" si="19"/>
        <v>552519</v>
      </c>
      <c r="BG28" s="62">
        <v>641258</v>
      </c>
      <c r="BH28" s="63">
        <v>426800.29</v>
      </c>
      <c r="BI28" s="69">
        <f t="shared" si="20"/>
        <v>66.556719760221313</v>
      </c>
      <c r="BJ28" s="70">
        <f t="shared" si="21"/>
        <v>42804</v>
      </c>
      <c r="BK28" s="71">
        <f t="shared" si="22"/>
        <v>6.6750044443889975E-2</v>
      </c>
      <c r="BL28" s="72">
        <f t="shared" si="23"/>
        <v>4</v>
      </c>
      <c r="BM28" s="61">
        <f t="shared" si="24"/>
        <v>61209</v>
      </c>
      <c r="BN28" s="69">
        <f t="shared" si="25"/>
        <v>2.4651332320410395</v>
      </c>
      <c r="BO28" s="73">
        <f t="shared" si="26"/>
        <v>6631.5</v>
      </c>
      <c r="BP28" s="69">
        <f t="shared" si="27"/>
        <v>22.7532745231094</v>
      </c>
      <c r="BQ28" s="61">
        <f t="shared" si="28"/>
        <v>12000</v>
      </c>
      <c r="BR28" s="69">
        <f t="shared" si="29"/>
        <v>12.574028333333333</v>
      </c>
      <c r="BS28" s="64">
        <f t="shared" si="30"/>
        <v>28243.839999999997</v>
      </c>
      <c r="BT28" s="69">
        <f t="shared" si="31"/>
        <v>5.3423450918855231</v>
      </c>
      <c r="BU28" s="65">
        <v>150888.34</v>
      </c>
      <c r="BV28" s="74">
        <f t="shared" si="32"/>
        <v>23.530051866799322</v>
      </c>
      <c r="BW28" s="75">
        <f t="shared" si="33"/>
        <v>63569.370000000024</v>
      </c>
      <c r="BX28" s="69">
        <f t="shared" si="34"/>
        <v>9.9132283729793667</v>
      </c>
      <c r="BY28" s="55">
        <v>18426</v>
      </c>
      <c r="BZ28" s="55">
        <v>8650</v>
      </c>
      <c r="CA28" s="55">
        <v>9648</v>
      </c>
      <c r="CB28" s="55">
        <v>6080</v>
      </c>
      <c r="CC28" s="64">
        <v>61209</v>
      </c>
      <c r="CD28" s="64">
        <v>6631.5</v>
      </c>
      <c r="CE28" s="64">
        <v>12000</v>
      </c>
      <c r="CF28" s="76">
        <f t="shared" si="35"/>
        <v>2.8734144447320736E-2</v>
      </c>
      <c r="CG28" s="76">
        <f t="shared" si="36"/>
        <v>1.3489110467237836E-2</v>
      </c>
      <c r="CH28" s="76">
        <f t="shared" si="37"/>
        <v>1.5045426333862501E-2</v>
      </c>
      <c r="CI28" s="76">
        <f t="shared" si="38"/>
        <v>9.4813631954689063E-3</v>
      </c>
      <c r="CJ28" s="76">
        <f t="shared" si="39"/>
        <v>9.5451440761752673E-2</v>
      </c>
      <c r="CK28" s="63">
        <f t="shared" si="40"/>
        <v>12713.874000000005</v>
      </c>
    </row>
    <row r="29" spans="1:89" ht="18.75" customHeight="1" x14ac:dyDescent="0.35">
      <c r="A29" s="50">
        <f t="shared" si="41"/>
        <v>22</v>
      </c>
      <c r="B29" s="58">
        <v>7</v>
      </c>
      <c r="C29" s="52" t="s">
        <v>103</v>
      </c>
      <c r="D29" s="52"/>
      <c r="E29" s="52"/>
      <c r="F29" s="53"/>
      <c r="G29" s="54">
        <v>40</v>
      </c>
      <c r="H29" s="55">
        <f t="shared" si="0"/>
        <v>0</v>
      </c>
      <c r="I29" s="53">
        <v>26010</v>
      </c>
      <c r="J29" s="56">
        <v>50</v>
      </c>
      <c r="K29" s="55">
        <f t="shared" si="1"/>
        <v>1300500</v>
      </c>
      <c r="L29" s="53"/>
      <c r="M29" s="57">
        <v>60</v>
      </c>
      <c r="N29" s="55">
        <f t="shared" si="2"/>
        <v>0</v>
      </c>
      <c r="O29" s="53">
        <v>8655</v>
      </c>
      <c r="P29" s="57">
        <v>12</v>
      </c>
      <c r="Q29" s="55">
        <f t="shared" si="3"/>
        <v>103860</v>
      </c>
      <c r="R29" s="53">
        <v>330</v>
      </c>
      <c r="S29" s="59">
        <v>12</v>
      </c>
      <c r="T29" s="55">
        <f t="shared" si="4"/>
        <v>3960</v>
      </c>
      <c r="U29" s="53">
        <v>910</v>
      </c>
      <c r="V29" s="57">
        <v>8</v>
      </c>
      <c r="W29" s="55">
        <f t="shared" si="5"/>
        <v>7280</v>
      </c>
      <c r="X29" s="53">
        <v>771</v>
      </c>
      <c r="Y29" s="57">
        <v>12</v>
      </c>
      <c r="Z29" s="55">
        <f t="shared" si="6"/>
        <v>9252</v>
      </c>
      <c r="AA29" s="53">
        <v>1570</v>
      </c>
      <c r="AB29" s="57">
        <v>10</v>
      </c>
      <c r="AC29" s="55">
        <f t="shared" si="7"/>
        <v>15700</v>
      </c>
      <c r="AD29" s="53">
        <v>210</v>
      </c>
      <c r="AE29" s="57">
        <v>25</v>
      </c>
      <c r="AF29" s="55">
        <f t="shared" si="8"/>
        <v>5250</v>
      </c>
      <c r="AG29" s="53">
        <v>169</v>
      </c>
      <c r="AH29" s="57">
        <v>7.5</v>
      </c>
      <c r="AI29" s="55">
        <f t="shared" si="9"/>
        <v>1267.5</v>
      </c>
      <c r="AJ29" s="53"/>
      <c r="AK29" s="56">
        <v>15</v>
      </c>
      <c r="AL29" s="55">
        <f t="shared" si="10"/>
        <v>0</v>
      </c>
      <c r="AM29" s="53">
        <v>277</v>
      </c>
      <c r="AN29" s="57">
        <v>10</v>
      </c>
      <c r="AO29" s="55">
        <f t="shared" si="11"/>
        <v>2770</v>
      </c>
      <c r="AP29" s="53">
        <f t="shared" si="12"/>
        <v>4237</v>
      </c>
      <c r="AQ29" s="53"/>
      <c r="AR29" s="61"/>
      <c r="AS29" s="53"/>
      <c r="AT29" s="53"/>
      <c r="AU29" s="55"/>
      <c r="AV29" s="53"/>
      <c r="AW29" s="53"/>
      <c r="AX29" s="66">
        <v>4357</v>
      </c>
      <c r="AY29" s="53"/>
      <c r="AZ29" s="68">
        <f t="shared" si="13"/>
        <v>0.33275663206459055</v>
      </c>
      <c r="BA29" s="68">
        <f t="shared" si="14"/>
        <v>0.16289888504421376</v>
      </c>
      <c r="BB29" s="68">
        <f t="shared" si="15"/>
        <v>0.50340843443096472</v>
      </c>
      <c r="BC29" s="55">
        <f t="shared" si="16"/>
        <v>1341942</v>
      </c>
      <c r="BD29" s="55">
        <f t="shared" si="17"/>
        <v>1309710</v>
      </c>
      <c r="BE29" s="55">
        <f t="shared" si="18"/>
        <v>1341942</v>
      </c>
      <c r="BF29" s="55">
        <f t="shared" si="19"/>
        <v>1343209.5</v>
      </c>
      <c r="BG29" s="62">
        <v>1534824.5</v>
      </c>
      <c r="BH29" s="63">
        <v>1031408.11</v>
      </c>
      <c r="BI29" s="69">
        <f t="shared" si="20"/>
        <v>67.200393921259391</v>
      </c>
      <c r="BJ29" s="70">
        <f t="shared" si="21"/>
        <v>88738</v>
      </c>
      <c r="BK29" s="71">
        <f t="shared" si="22"/>
        <v>5.781638226390054E-2</v>
      </c>
      <c r="BL29" s="72">
        <f t="shared" si="23"/>
        <v>7</v>
      </c>
      <c r="BM29" s="61">
        <f t="shared" si="24"/>
        <v>114398.74</v>
      </c>
      <c r="BN29" s="69">
        <f t="shared" si="25"/>
        <v>2.9277668617678834</v>
      </c>
      <c r="BO29" s="73">
        <f t="shared" si="26"/>
        <v>3654.84</v>
      </c>
      <c r="BP29" s="69">
        <f t="shared" si="27"/>
        <v>91.640903568966081</v>
      </c>
      <c r="BQ29" s="61">
        <f t="shared" si="28"/>
        <v>20000</v>
      </c>
      <c r="BR29" s="69">
        <f t="shared" si="29"/>
        <v>16.746642000000001</v>
      </c>
      <c r="BS29" s="64">
        <f t="shared" si="30"/>
        <v>108141.26000000004</v>
      </c>
      <c r="BT29" s="69">
        <f t="shared" si="31"/>
        <v>3.097179004572352</v>
      </c>
      <c r="BU29" s="65">
        <v>334932.84000000003</v>
      </c>
      <c r="BV29" s="74">
        <f t="shared" si="32"/>
        <v>21.822223974141668</v>
      </c>
      <c r="BW29" s="75">
        <f t="shared" si="33"/>
        <v>168483.55</v>
      </c>
      <c r="BX29" s="69">
        <f t="shared" si="34"/>
        <v>10.977382104598929</v>
      </c>
      <c r="BY29" s="55">
        <v>28582</v>
      </c>
      <c r="BZ29" s="55">
        <v>27680</v>
      </c>
      <c r="CA29" s="55">
        <v>28636</v>
      </c>
      <c r="CB29" s="55">
        <v>3840</v>
      </c>
      <c r="CC29" s="64">
        <v>114398.74</v>
      </c>
      <c r="CD29" s="64">
        <v>3654.84</v>
      </c>
      <c r="CE29" s="64">
        <v>20000</v>
      </c>
      <c r="CF29" s="76">
        <f t="shared" si="35"/>
        <v>1.8622324571962463E-2</v>
      </c>
      <c r="CG29" s="76">
        <f t="shared" si="36"/>
        <v>1.803463523028203E-2</v>
      </c>
      <c r="CH29" s="76">
        <f t="shared" si="37"/>
        <v>1.8657507747628473E-2</v>
      </c>
      <c r="CI29" s="76">
        <f t="shared" si="38"/>
        <v>2.5019147140275646E-3</v>
      </c>
      <c r="CJ29" s="76">
        <f t="shared" si="39"/>
        <v>7.4535388247972331E-2</v>
      </c>
      <c r="CK29" s="63">
        <f t="shared" si="40"/>
        <v>33696.71</v>
      </c>
    </row>
    <row r="30" spans="1:89" ht="18.75" customHeight="1" x14ac:dyDescent="0.35">
      <c r="A30" s="50">
        <f t="shared" si="41"/>
        <v>23</v>
      </c>
      <c r="B30" s="58">
        <v>2</v>
      </c>
      <c r="C30" s="52" t="s">
        <v>217</v>
      </c>
      <c r="D30" s="52"/>
      <c r="E30" s="52"/>
      <c r="F30" s="53"/>
      <c r="G30" s="54">
        <v>40</v>
      </c>
      <c r="H30" s="55">
        <f t="shared" si="0"/>
        <v>0</v>
      </c>
      <c r="I30" s="53">
        <v>7326</v>
      </c>
      <c r="J30" s="56">
        <v>50</v>
      </c>
      <c r="K30" s="55">
        <f t="shared" si="1"/>
        <v>366300</v>
      </c>
      <c r="L30" s="53"/>
      <c r="M30" s="57">
        <v>60</v>
      </c>
      <c r="N30" s="55">
        <f t="shared" si="2"/>
        <v>0</v>
      </c>
      <c r="O30" s="53">
        <v>2712</v>
      </c>
      <c r="P30" s="57">
        <v>12</v>
      </c>
      <c r="Q30" s="55">
        <f t="shared" si="3"/>
        <v>32544</v>
      </c>
      <c r="R30" s="53">
        <v>2290</v>
      </c>
      <c r="S30" s="59">
        <v>12</v>
      </c>
      <c r="T30" s="55">
        <f t="shared" si="4"/>
        <v>27480</v>
      </c>
      <c r="U30" s="53">
        <v>222</v>
      </c>
      <c r="V30" s="57">
        <v>8</v>
      </c>
      <c r="W30" s="55">
        <f t="shared" si="5"/>
        <v>1776</v>
      </c>
      <c r="X30" s="53">
        <v>177</v>
      </c>
      <c r="Y30" s="57">
        <v>12</v>
      </c>
      <c r="Z30" s="55">
        <f t="shared" si="6"/>
        <v>2124</v>
      </c>
      <c r="AA30" s="53">
        <v>233</v>
      </c>
      <c r="AB30" s="57">
        <v>10</v>
      </c>
      <c r="AC30" s="55">
        <f t="shared" si="7"/>
        <v>2330</v>
      </c>
      <c r="AD30" s="53">
        <v>84</v>
      </c>
      <c r="AE30" s="57">
        <v>25</v>
      </c>
      <c r="AF30" s="55">
        <f t="shared" si="8"/>
        <v>2100</v>
      </c>
      <c r="AG30" s="53">
        <v>83</v>
      </c>
      <c r="AH30" s="57">
        <v>7.5</v>
      </c>
      <c r="AI30" s="55">
        <f t="shared" si="9"/>
        <v>622.5</v>
      </c>
      <c r="AJ30" s="53"/>
      <c r="AK30" s="56">
        <v>15</v>
      </c>
      <c r="AL30" s="55">
        <f t="shared" si="10"/>
        <v>0</v>
      </c>
      <c r="AM30" s="53">
        <v>90</v>
      </c>
      <c r="AN30" s="57">
        <v>10</v>
      </c>
      <c r="AO30" s="55">
        <f t="shared" si="11"/>
        <v>900</v>
      </c>
      <c r="AP30" s="53">
        <f t="shared" si="12"/>
        <v>3179</v>
      </c>
      <c r="AQ30" s="53"/>
      <c r="AR30" s="61"/>
      <c r="AS30" s="53"/>
      <c r="AT30" s="53"/>
      <c r="AU30" s="55"/>
      <c r="AV30" s="53"/>
      <c r="AW30" s="53"/>
      <c r="AX30" s="66">
        <v>893</v>
      </c>
      <c r="AY30" s="53"/>
      <c r="AZ30" s="68">
        <f t="shared" si="13"/>
        <v>0.3701883701883702</v>
      </c>
      <c r="BA30" s="68">
        <f t="shared" si="14"/>
        <v>0.43393393393393392</v>
      </c>
      <c r="BB30" s="68">
        <f t="shared" si="15"/>
        <v>0.32927728613569324</v>
      </c>
      <c r="BC30" s="55">
        <f t="shared" si="16"/>
        <v>402110</v>
      </c>
      <c r="BD30" s="55">
        <f t="shared" si="17"/>
        <v>395880</v>
      </c>
      <c r="BE30" s="55">
        <f t="shared" si="18"/>
        <v>402110</v>
      </c>
      <c r="BF30" s="55">
        <f t="shared" si="19"/>
        <v>402732.5</v>
      </c>
      <c r="BG30" s="62">
        <v>453453.5</v>
      </c>
      <c r="BH30" s="63">
        <v>302381.15000000002</v>
      </c>
      <c r="BI30" s="69">
        <f t="shared" si="20"/>
        <v>66.684048088723543</v>
      </c>
      <c r="BJ30" s="70">
        <f t="shared" si="21"/>
        <v>29946</v>
      </c>
      <c r="BK30" s="71">
        <f t="shared" si="22"/>
        <v>6.6039847525711015E-2</v>
      </c>
      <c r="BL30" s="72">
        <f t="shared" si="23"/>
        <v>2</v>
      </c>
      <c r="BM30" s="61">
        <f t="shared" si="24"/>
        <v>47705.7</v>
      </c>
      <c r="BN30" s="69">
        <f t="shared" si="25"/>
        <v>3.0738121440414874</v>
      </c>
      <c r="BO30" s="73">
        <f t="shared" si="26"/>
        <v>2499.7199999999998</v>
      </c>
      <c r="BP30" s="69">
        <f t="shared" si="27"/>
        <v>58.661914134383053</v>
      </c>
      <c r="BQ30" s="61">
        <f t="shared" si="28"/>
        <v>14000</v>
      </c>
      <c r="BR30" s="69">
        <f t="shared" si="29"/>
        <v>10.474168571428571</v>
      </c>
      <c r="BS30" s="64">
        <f t="shared" si="30"/>
        <v>52486.939999999988</v>
      </c>
      <c r="BT30" s="69">
        <f t="shared" si="31"/>
        <v>2.7938066117018829</v>
      </c>
      <c r="BU30" s="65">
        <v>146638.35999999999</v>
      </c>
      <c r="BV30" s="74">
        <f t="shared" si="32"/>
        <v>32.338125077874579</v>
      </c>
      <c r="BW30" s="75">
        <f t="shared" si="33"/>
        <v>4433.9899999999907</v>
      </c>
      <c r="BX30" s="69">
        <f t="shared" si="34"/>
        <v>0.97782683340187937</v>
      </c>
      <c r="BY30" s="55">
        <v>10719</v>
      </c>
      <c r="BZ30" s="55">
        <v>8650</v>
      </c>
      <c r="CA30" s="55">
        <v>8907</v>
      </c>
      <c r="CB30" s="55">
        <v>1670</v>
      </c>
      <c r="CC30" s="64">
        <v>47705.7</v>
      </c>
      <c r="CD30" s="64">
        <v>2499.7199999999998</v>
      </c>
      <c r="CE30" s="64">
        <v>14000</v>
      </c>
      <c r="CF30" s="76">
        <f t="shared" si="35"/>
        <v>2.3638586977496039E-2</v>
      </c>
      <c r="CG30" s="76">
        <f t="shared" si="36"/>
        <v>1.907582585645496E-2</v>
      </c>
      <c r="CH30" s="76">
        <f t="shared" si="37"/>
        <v>1.9642587387681428E-2</v>
      </c>
      <c r="CI30" s="76">
        <f t="shared" si="38"/>
        <v>3.6828473040785882E-3</v>
      </c>
      <c r="CJ30" s="76">
        <f t="shared" si="39"/>
        <v>0.10520527463124664</v>
      </c>
      <c r="CK30" s="63">
        <f t="shared" si="40"/>
        <v>886.79799999999818</v>
      </c>
    </row>
    <row r="31" spans="1:89" ht="18.75" customHeight="1" x14ac:dyDescent="0.35">
      <c r="A31" s="50">
        <f t="shared" si="41"/>
        <v>24</v>
      </c>
      <c r="B31" s="58">
        <v>5</v>
      </c>
      <c r="C31" s="52" t="s">
        <v>211</v>
      </c>
      <c r="D31" s="52"/>
      <c r="E31" s="52"/>
      <c r="F31" s="53"/>
      <c r="G31" s="54">
        <v>40</v>
      </c>
      <c r="H31" s="55">
        <f t="shared" si="0"/>
        <v>0</v>
      </c>
      <c r="I31" s="53">
        <v>11174</v>
      </c>
      <c r="J31" s="56">
        <v>50</v>
      </c>
      <c r="K31" s="55">
        <f t="shared" si="1"/>
        <v>558700</v>
      </c>
      <c r="L31" s="53"/>
      <c r="M31" s="57">
        <v>60</v>
      </c>
      <c r="N31" s="55">
        <f t="shared" si="2"/>
        <v>0</v>
      </c>
      <c r="O31" s="53">
        <v>4439</v>
      </c>
      <c r="P31" s="57">
        <v>12</v>
      </c>
      <c r="Q31" s="55">
        <f t="shared" si="3"/>
        <v>53268</v>
      </c>
      <c r="R31" s="53">
        <v>4685</v>
      </c>
      <c r="S31" s="59">
        <v>12</v>
      </c>
      <c r="T31" s="55">
        <f t="shared" si="4"/>
        <v>56220</v>
      </c>
      <c r="U31" s="53">
        <v>539</v>
      </c>
      <c r="V31" s="57">
        <v>8</v>
      </c>
      <c r="W31" s="55">
        <f t="shared" si="5"/>
        <v>4312</v>
      </c>
      <c r="X31" s="53">
        <v>624</v>
      </c>
      <c r="Y31" s="57">
        <v>12</v>
      </c>
      <c r="Z31" s="55">
        <f t="shared" si="6"/>
        <v>7488</v>
      </c>
      <c r="AA31" s="53">
        <v>761</v>
      </c>
      <c r="AB31" s="57">
        <v>10</v>
      </c>
      <c r="AC31" s="55">
        <f t="shared" si="7"/>
        <v>7610</v>
      </c>
      <c r="AD31" s="53">
        <v>145</v>
      </c>
      <c r="AE31" s="57">
        <v>25</v>
      </c>
      <c r="AF31" s="55">
        <f t="shared" si="8"/>
        <v>3625</v>
      </c>
      <c r="AG31" s="53"/>
      <c r="AH31" s="57">
        <v>7.5</v>
      </c>
      <c r="AI31" s="55">
        <f t="shared" si="9"/>
        <v>0</v>
      </c>
      <c r="AJ31" s="53"/>
      <c r="AK31" s="56">
        <v>15</v>
      </c>
      <c r="AL31" s="55">
        <f t="shared" si="10"/>
        <v>0</v>
      </c>
      <c r="AM31" s="53">
        <v>212</v>
      </c>
      <c r="AN31" s="57">
        <v>10</v>
      </c>
      <c r="AO31" s="55">
        <f t="shared" si="11"/>
        <v>2120</v>
      </c>
      <c r="AP31" s="53">
        <f t="shared" si="12"/>
        <v>6966</v>
      </c>
      <c r="AQ31" s="53"/>
      <c r="AR31" s="61"/>
      <c r="AS31" s="53"/>
      <c r="AT31" s="53"/>
      <c r="AU31" s="55"/>
      <c r="AV31" s="53"/>
      <c r="AW31" s="53"/>
      <c r="AX31" s="66">
        <v>1178</v>
      </c>
      <c r="AY31" s="53"/>
      <c r="AZ31" s="68">
        <f t="shared" si="13"/>
        <v>0.39726149991050652</v>
      </c>
      <c r="BA31" s="68">
        <f t="shared" si="14"/>
        <v>0.62341149096115989</v>
      </c>
      <c r="BB31" s="68">
        <f t="shared" si="15"/>
        <v>0.26537508447848612</v>
      </c>
      <c r="BC31" s="55">
        <f t="shared" si="16"/>
        <v>637955</v>
      </c>
      <c r="BD31" s="55">
        <f t="shared" si="17"/>
        <v>618545</v>
      </c>
      <c r="BE31" s="55">
        <f t="shared" si="18"/>
        <v>637955</v>
      </c>
      <c r="BF31" s="55">
        <f t="shared" si="19"/>
        <v>637955</v>
      </c>
      <c r="BG31" s="62">
        <v>716363</v>
      </c>
      <c r="BH31" s="63">
        <v>477019.61</v>
      </c>
      <c r="BI31" s="69">
        <f t="shared" si="20"/>
        <v>66.589091005537696</v>
      </c>
      <c r="BJ31" s="70">
        <f t="shared" si="21"/>
        <v>58059</v>
      </c>
      <c r="BK31" s="71">
        <f t="shared" si="22"/>
        <v>8.1046899407144143E-2</v>
      </c>
      <c r="BL31" s="72">
        <f t="shared" si="23"/>
        <v>5</v>
      </c>
      <c r="BM31" s="61">
        <f t="shared" si="24"/>
        <v>76549.98</v>
      </c>
      <c r="BN31" s="69">
        <f t="shared" si="25"/>
        <v>2.4536180153149618</v>
      </c>
      <c r="BO31" s="73">
        <f t="shared" si="26"/>
        <v>3462.48</v>
      </c>
      <c r="BP31" s="69">
        <f t="shared" si="27"/>
        <v>54.2456302996696</v>
      </c>
      <c r="BQ31" s="61">
        <f t="shared" si="28"/>
        <v>15000</v>
      </c>
      <c r="BR31" s="69">
        <f t="shared" si="29"/>
        <v>12.521627333333333</v>
      </c>
      <c r="BS31" s="64">
        <f t="shared" si="30"/>
        <v>34752.950000000012</v>
      </c>
      <c r="BT31" s="69">
        <f t="shared" si="31"/>
        <v>5.4045601884156582</v>
      </c>
      <c r="BU31" s="65">
        <v>187824.41</v>
      </c>
      <c r="BV31" s="74">
        <f t="shared" si="32"/>
        <v>26.21916681905682</v>
      </c>
      <c r="BW31" s="75">
        <f t="shared" si="33"/>
        <v>51518.98000000001</v>
      </c>
      <c r="BX31" s="69">
        <f t="shared" si="34"/>
        <v>7.1917421754054871</v>
      </c>
      <c r="BY31" s="55">
        <v>22129</v>
      </c>
      <c r="BZ31" s="55">
        <v>15570</v>
      </c>
      <c r="CA31" s="55">
        <v>13320</v>
      </c>
      <c r="CB31" s="55">
        <v>7040</v>
      </c>
      <c r="CC31" s="64">
        <v>76549.98</v>
      </c>
      <c r="CD31" s="64">
        <v>3462.48</v>
      </c>
      <c r="CE31" s="64">
        <v>15000</v>
      </c>
      <c r="CF31" s="76">
        <f t="shared" si="35"/>
        <v>3.0890763481642686E-2</v>
      </c>
      <c r="CG31" s="76">
        <f t="shared" si="36"/>
        <v>2.1734790881159413E-2</v>
      </c>
      <c r="CH31" s="76">
        <f t="shared" si="37"/>
        <v>1.8593925146887822E-2</v>
      </c>
      <c r="CI31" s="76">
        <f t="shared" si="38"/>
        <v>9.8274198974542242E-3</v>
      </c>
      <c r="CJ31" s="76">
        <f t="shared" si="39"/>
        <v>0.10685920406274473</v>
      </c>
      <c r="CK31" s="63">
        <f t="shared" si="40"/>
        <v>10303.796000000002</v>
      </c>
    </row>
    <row r="32" spans="1:89" ht="18.75" customHeight="1" x14ac:dyDescent="0.35">
      <c r="A32" s="50">
        <f t="shared" si="41"/>
        <v>25</v>
      </c>
      <c r="B32" s="58">
        <v>6</v>
      </c>
      <c r="C32" s="52" t="s">
        <v>210</v>
      </c>
      <c r="D32" s="52"/>
      <c r="E32" s="52"/>
      <c r="F32" s="53"/>
      <c r="G32" s="54">
        <v>40</v>
      </c>
      <c r="H32" s="55">
        <f t="shared" si="0"/>
        <v>0</v>
      </c>
      <c r="I32" s="53">
        <v>13382</v>
      </c>
      <c r="J32" s="56">
        <v>50</v>
      </c>
      <c r="K32" s="55">
        <f t="shared" si="1"/>
        <v>669100</v>
      </c>
      <c r="L32" s="53"/>
      <c r="M32" s="57">
        <v>60</v>
      </c>
      <c r="N32" s="55">
        <f t="shared" si="2"/>
        <v>0</v>
      </c>
      <c r="O32" s="53">
        <v>7809</v>
      </c>
      <c r="P32" s="57">
        <v>12</v>
      </c>
      <c r="Q32" s="55">
        <f t="shared" si="3"/>
        <v>93708</v>
      </c>
      <c r="R32" s="53">
        <v>3440</v>
      </c>
      <c r="S32" s="59">
        <v>12</v>
      </c>
      <c r="T32" s="55">
        <f t="shared" si="4"/>
        <v>41280</v>
      </c>
      <c r="U32" s="53">
        <v>839</v>
      </c>
      <c r="V32" s="57">
        <v>8</v>
      </c>
      <c r="W32" s="55">
        <f t="shared" si="5"/>
        <v>6712</v>
      </c>
      <c r="X32" s="53">
        <v>930</v>
      </c>
      <c r="Y32" s="57">
        <v>12</v>
      </c>
      <c r="Z32" s="55">
        <f t="shared" si="6"/>
        <v>11160</v>
      </c>
      <c r="AA32" s="53">
        <v>1390</v>
      </c>
      <c r="AB32" s="57">
        <v>10</v>
      </c>
      <c r="AC32" s="55">
        <f t="shared" si="7"/>
        <v>13900</v>
      </c>
      <c r="AD32" s="53">
        <v>200</v>
      </c>
      <c r="AE32" s="57">
        <v>25</v>
      </c>
      <c r="AF32" s="55">
        <f t="shared" si="8"/>
        <v>5000</v>
      </c>
      <c r="AG32" s="53">
        <v>85</v>
      </c>
      <c r="AH32" s="57">
        <v>7.5</v>
      </c>
      <c r="AI32" s="55">
        <f t="shared" si="9"/>
        <v>637.5</v>
      </c>
      <c r="AJ32" s="53"/>
      <c r="AK32" s="56">
        <v>15</v>
      </c>
      <c r="AL32" s="55">
        <f t="shared" si="10"/>
        <v>0</v>
      </c>
      <c r="AM32" s="53">
        <v>247</v>
      </c>
      <c r="AN32" s="57">
        <v>10</v>
      </c>
      <c r="AO32" s="55">
        <f t="shared" si="11"/>
        <v>2470</v>
      </c>
      <c r="AP32" s="53">
        <f t="shared" si="12"/>
        <v>7131</v>
      </c>
      <c r="AQ32" s="53"/>
      <c r="AR32" s="61"/>
      <c r="AS32" s="53"/>
      <c r="AT32" s="53"/>
      <c r="AU32" s="55"/>
      <c r="AV32" s="53"/>
      <c r="AW32" s="53"/>
      <c r="AX32" s="66">
        <v>2874</v>
      </c>
      <c r="AY32" s="53"/>
      <c r="AZ32" s="68">
        <f t="shared" si="13"/>
        <v>0.58354506052906885</v>
      </c>
      <c r="BA32" s="68">
        <f t="shared" si="14"/>
        <v>0.53287998804364067</v>
      </c>
      <c r="BB32" s="68">
        <f t="shared" si="15"/>
        <v>0.36803688052247407</v>
      </c>
      <c r="BC32" s="55">
        <f t="shared" si="16"/>
        <v>747152</v>
      </c>
      <c r="BD32" s="55">
        <f t="shared" si="17"/>
        <v>715380</v>
      </c>
      <c r="BE32" s="55">
        <f t="shared" si="18"/>
        <v>747152</v>
      </c>
      <c r="BF32" s="55">
        <f t="shared" si="19"/>
        <v>747789.5</v>
      </c>
      <c r="BG32" s="62">
        <v>900413.5</v>
      </c>
      <c r="BH32" s="63">
        <v>593503.62</v>
      </c>
      <c r="BI32" s="69">
        <f t="shared" si="20"/>
        <v>65.914562587078052</v>
      </c>
      <c r="BJ32" s="70">
        <f t="shared" si="21"/>
        <v>61999</v>
      </c>
      <c r="BK32" s="71">
        <f t="shared" si="22"/>
        <v>6.8856142205775447E-2</v>
      </c>
      <c r="BL32" s="72">
        <f t="shared" si="23"/>
        <v>6</v>
      </c>
      <c r="BM32" s="61">
        <f t="shared" si="24"/>
        <v>98636.5</v>
      </c>
      <c r="BN32" s="69">
        <f t="shared" si="25"/>
        <v>2.4609643488972135</v>
      </c>
      <c r="BO32" s="73">
        <f t="shared" si="26"/>
        <v>7117.32</v>
      </c>
      <c r="BP32" s="69">
        <f t="shared" si="27"/>
        <v>34.105661962648867</v>
      </c>
      <c r="BQ32" s="61">
        <f t="shared" si="28"/>
        <v>9316.9</v>
      </c>
      <c r="BR32" s="69">
        <f t="shared" si="29"/>
        <v>26.053827989996673</v>
      </c>
      <c r="BS32" s="64">
        <f t="shared" si="30"/>
        <v>65671.19</v>
      </c>
      <c r="BT32" s="69">
        <f t="shared" si="31"/>
        <v>3.6963074675516006</v>
      </c>
      <c r="BU32" s="65">
        <v>242740.91</v>
      </c>
      <c r="BV32" s="74">
        <f t="shared" si="32"/>
        <v>26.958826139323765</v>
      </c>
      <c r="BW32" s="75">
        <f t="shared" si="33"/>
        <v>64168.97</v>
      </c>
      <c r="BX32" s="69">
        <f t="shared" si="34"/>
        <v>7.1266112735981855</v>
      </c>
      <c r="BY32" s="55">
        <v>22133</v>
      </c>
      <c r="BZ32" s="55">
        <v>15570</v>
      </c>
      <c r="CA32" s="55">
        <v>18216</v>
      </c>
      <c r="CB32" s="55">
        <v>6080</v>
      </c>
      <c r="CC32" s="64">
        <v>98636.5</v>
      </c>
      <c r="CD32" s="64">
        <v>7117.32</v>
      </c>
      <c r="CE32" s="64">
        <v>9316.9</v>
      </c>
      <c r="CF32" s="76">
        <f t="shared" si="35"/>
        <v>2.4580928651114182E-2</v>
      </c>
      <c r="CG32" s="76">
        <f t="shared" si="36"/>
        <v>1.7292055261277181E-2</v>
      </c>
      <c r="CH32" s="76">
        <f t="shared" si="37"/>
        <v>2.0230705114927753E-2</v>
      </c>
      <c r="CI32" s="76">
        <f t="shared" si="38"/>
        <v>6.7524531784563429E-3</v>
      </c>
      <c r="CJ32" s="76">
        <f t="shared" si="39"/>
        <v>0.10954578091065938</v>
      </c>
      <c r="CK32" s="63">
        <f t="shared" si="40"/>
        <v>12833.794000000002</v>
      </c>
    </row>
    <row r="33" spans="1:90" ht="18.75" customHeight="1" x14ac:dyDescent="0.35">
      <c r="A33" s="50">
        <f t="shared" si="41"/>
        <v>26</v>
      </c>
      <c r="B33" s="58">
        <v>4</v>
      </c>
      <c r="C33" s="52" t="s">
        <v>216</v>
      </c>
      <c r="D33" s="52"/>
      <c r="E33" s="52"/>
      <c r="F33" s="53"/>
      <c r="G33" s="54">
        <v>40</v>
      </c>
      <c r="H33" s="55">
        <f t="shared" si="0"/>
        <v>0</v>
      </c>
      <c r="I33" s="53">
        <v>10252</v>
      </c>
      <c r="J33" s="56">
        <v>50</v>
      </c>
      <c r="K33" s="55">
        <f t="shared" si="1"/>
        <v>512600</v>
      </c>
      <c r="L33" s="53"/>
      <c r="M33" s="57">
        <v>60</v>
      </c>
      <c r="N33" s="55">
        <f t="shared" si="2"/>
        <v>0</v>
      </c>
      <c r="O33" s="53">
        <v>3712</v>
      </c>
      <c r="P33" s="57">
        <v>12</v>
      </c>
      <c r="Q33" s="55">
        <f t="shared" si="3"/>
        <v>44544</v>
      </c>
      <c r="R33" s="53">
        <v>3657</v>
      </c>
      <c r="S33" s="59">
        <v>12</v>
      </c>
      <c r="T33" s="55">
        <f t="shared" si="4"/>
        <v>43884</v>
      </c>
      <c r="U33" s="53">
        <v>439</v>
      </c>
      <c r="V33" s="57">
        <v>8</v>
      </c>
      <c r="W33" s="55">
        <f t="shared" si="5"/>
        <v>3512</v>
      </c>
      <c r="X33" s="53">
        <v>671</v>
      </c>
      <c r="Y33" s="57">
        <v>12</v>
      </c>
      <c r="Z33" s="55">
        <f t="shared" si="6"/>
        <v>8052</v>
      </c>
      <c r="AA33" s="53">
        <v>807</v>
      </c>
      <c r="AB33" s="57">
        <v>10</v>
      </c>
      <c r="AC33" s="55">
        <f t="shared" si="7"/>
        <v>8070</v>
      </c>
      <c r="AD33" s="53">
        <v>198</v>
      </c>
      <c r="AE33" s="57">
        <v>25</v>
      </c>
      <c r="AF33" s="55">
        <f t="shared" si="8"/>
        <v>4950</v>
      </c>
      <c r="AG33" s="53">
        <v>120</v>
      </c>
      <c r="AH33" s="57">
        <v>7.5</v>
      </c>
      <c r="AI33" s="55">
        <f t="shared" si="9"/>
        <v>900</v>
      </c>
      <c r="AJ33" s="53"/>
      <c r="AK33" s="56">
        <v>15</v>
      </c>
      <c r="AL33" s="55">
        <f t="shared" si="10"/>
        <v>0</v>
      </c>
      <c r="AM33" s="53">
        <v>189</v>
      </c>
      <c r="AN33" s="57">
        <v>10</v>
      </c>
      <c r="AO33" s="55">
        <f t="shared" si="11"/>
        <v>1890</v>
      </c>
      <c r="AP33" s="53">
        <f t="shared" si="12"/>
        <v>6081</v>
      </c>
      <c r="AQ33" s="53"/>
      <c r="AR33" s="61"/>
      <c r="AS33" s="53"/>
      <c r="AT33" s="53"/>
      <c r="AU33" s="55"/>
      <c r="AV33" s="53"/>
      <c r="AW33" s="53"/>
      <c r="AX33" s="66">
        <v>989</v>
      </c>
      <c r="AY33" s="53"/>
      <c r="AZ33" s="68">
        <f t="shared" si="13"/>
        <v>0.36207569254779554</v>
      </c>
      <c r="BA33" s="68">
        <f t="shared" si="14"/>
        <v>0.59315255559890756</v>
      </c>
      <c r="BB33" s="68">
        <f t="shared" si="15"/>
        <v>0.26643318965517243</v>
      </c>
      <c r="BC33" s="55">
        <f t="shared" si="16"/>
        <v>581068</v>
      </c>
      <c r="BD33" s="55">
        <f t="shared" si="17"/>
        <v>561434</v>
      </c>
      <c r="BE33" s="55">
        <f t="shared" si="18"/>
        <v>581068</v>
      </c>
      <c r="BF33" s="55">
        <f t="shared" si="19"/>
        <v>581968</v>
      </c>
      <c r="BG33" s="62">
        <v>647507</v>
      </c>
      <c r="BH33" s="63">
        <v>433072.03</v>
      </c>
      <c r="BI33" s="69">
        <f t="shared" si="20"/>
        <v>66.882988137579986</v>
      </c>
      <c r="BJ33" s="70">
        <f t="shared" si="21"/>
        <v>47539</v>
      </c>
      <c r="BK33" s="71">
        <f t="shared" si="22"/>
        <v>7.3418511305669287E-2</v>
      </c>
      <c r="BL33" s="72">
        <f t="shared" si="23"/>
        <v>4</v>
      </c>
      <c r="BM33" s="61">
        <f t="shared" si="24"/>
        <v>63800.78</v>
      </c>
      <c r="BN33" s="69">
        <f t="shared" si="25"/>
        <v>2.8160629070679075</v>
      </c>
      <c r="BO33" s="73">
        <f t="shared" si="26"/>
        <v>3398.36</v>
      </c>
      <c r="BP33" s="69">
        <f t="shared" si="27"/>
        <v>52.868739627349662</v>
      </c>
      <c r="BQ33" s="61">
        <f t="shared" si="28"/>
        <v>30000</v>
      </c>
      <c r="BR33" s="69">
        <f t="shared" si="29"/>
        <v>5.9889003333333335</v>
      </c>
      <c r="BS33" s="64">
        <f t="shared" si="30"/>
        <v>34928.87000000001</v>
      </c>
      <c r="BT33" s="69">
        <f t="shared" si="31"/>
        <v>5.1437968076264697</v>
      </c>
      <c r="BU33" s="65">
        <v>179667.01</v>
      </c>
      <c r="BV33" s="74">
        <f t="shared" si="32"/>
        <v>27.747500799219161</v>
      </c>
      <c r="BW33" s="75">
        <f t="shared" si="33"/>
        <v>34767.959999999963</v>
      </c>
      <c r="BX33" s="69">
        <f t="shared" si="34"/>
        <v>5.3695110632008554</v>
      </c>
      <c r="BY33" s="55">
        <v>18426</v>
      </c>
      <c r="BZ33" s="55">
        <v>12110</v>
      </c>
      <c r="CA33" s="55">
        <v>12203</v>
      </c>
      <c r="CB33" s="55">
        <v>4800</v>
      </c>
      <c r="CC33" s="64">
        <v>63800.78</v>
      </c>
      <c r="CD33" s="64">
        <v>3398.36</v>
      </c>
      <c r="CE33" s="64">
        <v>30000</v>
      </c>
      <c r="CF33" s="76">
        <f t="shared" si="35"/>
        <v>2.8456835215681067E-2</v>
      </c>
      <c r="CG33" s="76">
        <f t="shared" si="36"/>
        <v>1.8702500513507962E-2</v>
      </c>
      <c r="CH33" s="76">
        <f t="shared" si="37"/>
        <v>1.8846128304404432E-2</v>
      </c>
      <c r="CI33" s="76">
        <f t="shared" si="38"/>
        <v>7.4130472720758235E-3</v>
      </c>
      <c r="CJ33" s="76">
        <f t="shared" si="39"/>
        <v>9.8532957944856198E-2</v>
      </c>
      <c r="CK33" s="63">
        <f t="shared" si="40"/>
        <v>6953.5919999999933</v>
      </c>
    </row>
    <row r="34" spans="1:90" ht="18.75" customHeight="1" x14ac:dyDescent="0.35">
      <c r="A34" s="50">
        <f t="shared" si="41"/>
        <v>27</v>
      </c>
      <c r="B34" s="58">
        <v>4</v>
      </c>
      <c r="C34" s="52" t="s">
        <v>214</v>
      </c>
      <c r="D34" s="52"/>
      <c r="E34" s="52"/>
      <c r="F34" s="53"/>
      <c r="G34" s="54">
        <v>40</v>
      </c>
      <c r="H34" s="55">
        <f t="shared" si="0"/>
        <v>0</v>
      </c>
      <c r="I34" s="53">
        <v>9962</v>
      </c>
      <c r="J34" s="56">
        <v>50</v>
      </c>
      <c r="K34" s="55">
        <f t="shared" si="1"/>
        <v>498100</v>
      </c>
      <c r="L34" s="53"/>
      <c r="M34" s="57">
        <v>60</v>
      </c>
      <c r="N34" s="55">
        <f t="shared" si="2"/>
        <v>0</v>
      </c>
      <c r="O34" s="53">
        <v>4438</v>
      </c>
      <c r="P34" s="57">
        <v>12</v>
      </c>
      <c r="Q34" s="55">
        <f t="shared" si="3"/>
        <v>53256</v>
      </c>
      <c r="R34" s="53">
        <v>4531</v>
      </c>
      <c r="S34" s="59">
        <v>12</v>
      </c>
      <c r="T34" s="55">
        <f t="shared" si="4"/>
        <v>54372</v>
      </c>
      <c r="U34" s="53">
        <v>621</v>
      </c>
      <c r="V34" s="57">
        <v>8</v>
      </c>
      <c r="W34" s="55">
        <f t="shared" si="5"/>
        <v>4968</v>
      </c>
      <c r="X34" s="53">
        <v>775</v>
      </c>
      <c r="Y34" s="57">
        <v>12</v>
      </c>
      <c r="Z34" s="55">
        <f t="shared" si="6"/>
        <v>9300</v>
      </c>
      <c r="AA34" s="53">
        <v>896</v>
      </c>
      <c r="AB34" s="57">
        <v>10</v>
      </c>
      <c r="AC34" s="55">
        <f t="shared" si="7"/>
        <v>8960</v>
      </c>
      <c r="AD34" s="53">
        <v>134</v>
      </c>
      <c r="AE34" s="57">
        <v>25</v>
      </c>
      <c r="AF34" s="55">
        <f t="shared" si="8"/>
        <v>3350</v>
      </c>
      <c r="AG34" s="53">
        <v>206</v>
      </c>
      <c r="AH34" s="57">
        <v>7.5</v>
      </c>
      <c r="AI34" s="55">
        <f t="shared" si="9"/>
        <v>1545</v>
      </c>
      <c r="AJ34" s="53"/>
      <c r="AK34" s="56">
        <v>15</v>
      </c>
      <c r="AL34" s="55">
        <f t="shared" si="10"/>
        <v>0</v>
      </c>
      <c r="AM34" s="53">
        <v>230</v>
      </c>
      <c r="AN34" s="57">
        <v>10</v>
      </c>
      <c r="AO34" s="55">
        <f t="shared" si="11"/>
        <v>2300</v>
      </c>
      <c r="AP34" s="53">
        <f t="shared" si="12"/>
        <v>7393</v>
      </c>
      <c r="AQ34" s="53"/>
      <c r="AR34" s="61"/>
      <c r="AS34" s="53"/>
      <c r="AT34" s="53"/>
      <c r="AU34" s="55"/>
      <c r="AV34" s="53"/>
      <c r="AW34" s="53"/>
      <c r="AX34" s="66">
        <v>1744</v>
      </c>
      <c r="AY34" s="53"/>
      <c r="AZ34" s="68">
        <f t="shared" si="13"/>
        <v>0.44549287291708495</v>
      </c>
      <c r="BA34" s="68">
        <f t="shared" si="14"/>
        <v>0.74212005621361177</v>
      </c>
      <c r="BB34" s="68">
        <f t="shared" si="15"/>
        <v>0.39296980621901756</v>
      </c>
      <c r="BC34" s="55">
        <f t="shared" si="16"/>
        <v>579050</v>
      </c>
      <c r="BD34" s="55">
        <f t="shared" si="17"/>
        <v>555822</v>
      </c>
      <c r="BE34" s="55">
        <f t="shared" si="18"/>
        <v>579050</v>
      </c>
      <c r="BF34" s="55">
        <f t="shared" si="19"/>
        <v>580595</v>
      </c>
      <c r="BG34" s="62">
        <v>670061</v>
      </c>
      <c r="BH34" s="63">
        <v>443869.26</v>
      </c>
      <c r="BI34" s="69">
        <f t="shared" si="20"/>
        <v>66.24311219426292</v>
      </c>
      <c r="BJ34" s="70">
        <f t="shared" si="21"/>
        <v>51447</v>
      </c>
      <c r="BK34" s="71">
        <f t="shared" si="22"/>
        <v>7.6779576784800185E-2</v>
      </c>
      <c r="BL34" s="72">
        <f t="shared" si="23"/>
        <v>4</v>
      </c>
      <c r="BM34" s="61">
        <f t="shared" si="24"/>
        <v>63906.720000000001</v>
      </c>
      <c r="BN34" s="69">
        <f t="shared" si="25"/>
        <v>2.8867017427901169</v>
      </c>
      <c r="BO34" s="73">
        <f t="shared" si="26"/>
        <v>2308.3200000000002</v>
      </c>
      <c r="BP34" s="69">
        <f t="shared" si="27"/>
        <v>79.919439245858456</v>
      </c>
      <c r="BQ34" s="61">
        <f t="shared" si="28"/>
        <v>20000</v>
      </c>
      <c r="BR34" s="69">
        <f t="shared" si="29"/>
        <v>9.2239820000000012</v>
      </c>
      <c r="BS34" s="64">
        <f t="shared" si="30"/>
        <v>46817.600000000006</v>
      </c>
      <c r="BT34" s="69">
        <f t="shared" si="31"/>
        <v>3.9403907932059736</v>
      </c>
      <c r="BU34" s="65">
        <v>184479.64</v>
      </c>
      <c r="BV34" s="74">
        <f t="shared" si="32"/>
        <v>27.531768003211653</v>
      </c>
      <c r="BW34" s="75">
        <f t="shared" si="33"/>
        <v>41712.099999999977</v>
      </c>
      <c r="BX34" s="69">
        <f t="shared" si="34"/>
        <v>6.2251198025254384</v>
      </c>
      <c r="BY34" s="55">
        <v>22133</v>
      </c>
      <c r="BZ34" s="55">
        <v>12110</v>
      </c>
      <c r="CA34" s="55">
        <v>10854</v>
      </c>
      <c r="CB34" s="55">
        <v>6350</v>
      </c>
      <c r="CC34" s="55">
        <v>63906.720000000001</v>
      </c>
      <c r="CD34" s="64">
        <v>2308.3200000000002</v>
      </c>
      <c r="CE34" s="64">
        <v>20000</v>
      </c>
      <c r="CF34" s="76">
        <f t="shared" si="35"/>
        <v>3.3031321028980945E-2</v>
      </c>
      <c r="CG34" s="76">
        <f t="shared" si="36"/>
        <v>1.8072981415124891E-2</v>
      </c>
      <c r="CH34" s="76">
        <f t="shared" si="37"/>
        <v>1.619852520889889E-2</v>
      </c>
      <c r="CI34" s="76">
        <f t="shared" si="38"/>
        <v>9.476749131795463E-3</v>
      </c>
      <c r="CJ34" s="76">
        <f t="shared" si="39"/>
        <v>9.5374480830849734E-2</v>
      </c>
      <c r="CK34" s="63">
        <f t="shared" si="40"/>
        <v>8342.4199999999964</v>
      </c>
    </row>
    <row r="35" spans="1:90" ht="18.75" customHeight="1" x14ac:dyDescent="0.35">
      <c r="A35" s="50">
        <f t="shared" si="41"/>
        <v>28</v>
      </c>
      <c r="B35" s="58">
        <v>2</v>
      </c>
      <c r="C35" s="52" t="s">
        <v>218</v>
      </c>
      <c r="D35" s="52"/>
      <c r="E35" s="52"/>
      <c r="F35" s="53"/>
      <c r="G35" s="54">
        <v>40</v>
      </c>
      <c r="H35" s="55">
        <f t="shared" si="0"/>
        <v>0</v>
      </c>
      <c r="I35" s="53">
        <v>3753</v>
      </c>
      <c r="J35" s="56">
        <v>50</v>
      </c>
      <c r="K35" s="55">
        <f t="shared" si="1"/>
        <v>187650</v>
      </c>
      <c r="L35" s="53"/>
      <c r="M35" s="57">
        <v>60</v>
      </c>
      <c r="N35" s="55">
        <f t="shared" si="2"/>
        <v>0</v>
      </c>
      <c r="O35" s="53">
        <v>1739</v>
      </c>
      <c r="P35" s="57">
        <v>12</v>
      </c>
      <c r="Q35" s="55">
        <f t="shared" si="3"/>
        <v>20868</v>
      </c>
      <c r="R35" s="53">
        <v>870</v>
      </c>
      <c r="S35" s="59">
        <v>12</v>
      </c>
      <c r="T35" s="55">
        <f t="shared" si="4"/>
        <v>10440</v>
      </c>
      <c r="U35" s="53">
        <v>828</v>
      </c>
      <c r="V35" s="57">
        <v>8</v>
      </c>
      <c r="W35" s="55">
        <f t="shared" si="5"/>
        <v>6624</v>
      </c>
      <c r="X35" s="53">
        <v>725</v>
      </c>
      <c r="Y35" s="57">
        <v>12</v>
      </c>
      <c r="Z35" s="55">
        <f t="shared" si="6"/>
        <v>8700</v>
      </c>
      <c r="AA35" s="53">
        <v>844</v>
      </c>
      <c r="AB35" s="57">
        <v>10</v>
      </c>
      <c r="AC35" s="55">
        <f t="shared" si="7"/>
        <v>8440</v>
      </c>
      <c r="AD35" s="53">
        <v>392</v>
      </c>
      <c r="AE35" s="57">
        <v>25</v>
      </c>
      <c r="AF35" s="55">
        <f t="shared" si="8"/>
        <v>9800</v>
      </c>
      <c r="AG35" s="53">
        <v>473</v>
      </c>
      <c r="AH35" s="57">
        <v>7.5</v>
      </c>
      <c r="AI35" s="55">
        <f t="shared" si="9"/>
        <v>3547.5</v>
      </c>
      <c r="AJ35" s="53"/>
      <c r="AK35" s="56">
        <v>15</v>
      </c>
      <c r="AL35" s="55">
        <f t="shared" si="10"/>
        <v>0</v>
      </c>
      <c r="AM35" s="53"/>
      <c r="AN35" s="57">
        <v>10</v>
      </c>
      <c r="AO35" s="55">
        <f t="shared" si="11"/>
        <v>0</v>
      </c>
      <c r="AP35" s="53">
        <f t="shared" si="12"/>
        <v>4132</v>
      </c>
      <c r="AQ35" s="53"/>
      <c r="AR35" s="61"/>
      <c r="AS35" s="53"/>
      <c r="AT35" s="53"/>
      <c r="AU35" s="55"/>
      <c r="AV35" s="53"/>
      <c r="AW35" s="53"/>
      <c r="AX35" s="66">
        <v>895</v>
      </c>
      <c r="AY35" s="53"/>
      <c r="AZ35" s="68">
        <f t="shared" si="13"/>
        <v>0.46336264321875831</v>
      </c>
      <c r="BA35" s="68">
        <f t="shared" si="14"/>
        <v>1.1009858779642951</v>
      </c>
      <c r="BB35" s="68">
        <f t="shared" si="15"/>
        <v>0.51466359976998277</v>
      </c>
      <c r="BC35" s="55">
        <f t="shared" si="16"/>
        <v>231654</v>
      </c>
      <c r="BD35" s="55">
        <f t="shared" si="17"/>
        <v>207890</v>
      </c>
      <c r="BE35" s="55">
        <f t="shared" si="18"/>
        <v>231654</v>
      </c>
      <c r="BF35" s="55">
        <f t="shared" si="19"/>
        <v>235201.5</v>
      </c>
      <c r="BG35" s="62">
        <v>273920.5</v>
      </c>
      <c r="BH35" s="63">
        <v>182620.65</v>
      </c>
      <c r="BI35" s="69">
        <f t="shared" si="20"/>
        <v>66.669216068165767</v>
      </c>
      <c r="BJ35" s="70">
        <f t="shared" si="21"/>
        <v>22314</v>
      </c>
      <c r="BK35" s="71">
        <f t="shared" si="22"/>
        <v>8.1461591958250645E-2</v>
      </c>
      <c r="BL35" s="72">
        <f t="shared" si="23"/>
        <v>2</v>
      </c>
      <c r="BM35" s="61">
        <f t="shared" si="24"/>
        <v>32843</v>
      </c>
      <c r="BN35" s="69">
        <f t="shared" si="25"/>
        <v>2.7271823524038608</v>
      </c>
      <c r="BO35" s="73">
        <f t="shared" si="26"/>
        <v>1500</v>
      </c>
      <c r="BP35" s="69">
        <f t="shared" si="27"/>
        <v>59.712566666666667</v>
      </c>
      <c r="BQ35" s="61">
        <f t="shared" si="28"/>
        <v>12000</v>
      </c>
      <c r="BR35" s="69">
        <f t="shared" si="29"/>
        <v>7.4640708333333334</v>
      </c>
      <c r="BS35" s="64">
        <f t="shared" si="30"/>
        <v>20911.850000000006</v>
      </c>
      <c r="BT35" s="69">
        <f t="shared" si="31"/>
        <v>4.2831624174809964</v>
      </c>
      <c r="BU35" s="65">
        <v>89568.85</v>
      </c>
      <c r="BV35" s="74">
        <f t="shared" si="32"/>
        <v>32.698848753561712</v>
      </c>
      <c r="BW35" s="75">
        <f t="shared" si="33"/>
        <v>1731</v>
      </c>
      <c r="BX35" s="69">
        <f t="shared" si="34"/>
        <v>0.63193517827252799</v>
      </c>
      <c r="BY35" s="55">
        <v>9082</v>
      </c>
      <c r="BZ35" s="55">
        <v>6364</v>
      </c>
      <c r="CA35" s="55">
        <v>5248</v>
      </c>
      <c r="CB35" s="55">
        <v>1620</v>
      </c>
      <c r="CC35" s="64">
        <v>32843</v>
      </c>
      <c r="CD35" s="64">
        <v>1500</v>
      </c>
      <c r="CE35" s="64">
        <v>12000</v>
      </c>
      <c r="CF35" s="76">
        <f t="shared" si="35"/>
        <v>3.3155605367250714E-2</v>
      </c>
      <c r="CG35" s="76">
        <f t="shared" si="36"/>
        <v>2.3233018339262668E-2</v>
      </c>
      <c r="CH35" s="76">
        <f t="shared" si="37"/>
        <v>1.91588435330689E-2</v>
      </c>
      <c r="CI35" s="76">
        <f t="shared" si="38"/>
        <v>5.9141247186683728E-3</v>
      </c>
      <c r="CJ35" s="76">
        <f t="shared" si="39"/>
        <v>0.1198997519353243</v>
      </c>
      <c r="CK35" s="63">
        <f t="shared" si="40"/>
        <v>346.20000000000005</v>
      </c>
    </row>
    <row r="36" spans="1:90" ht="18.75" customHeight="1" x14ac:dyDescent="0.35">
      <c r="A36" s="50">
        <f t="shared" si="41"/>
        <v>29</v>
      </c>
      <c r="B36" s="51">
        <v>2</v>
      </c>
      <c r="C36" s="52" t="s">
        <v>220</v>
      </c>
      <c r="D36" s="52"/>
      <c r="E36" s="52"/>
      <c r="F36" s="53"/>
      <c r="G36" s="54">
        <v>40</v>
      </c>
      <c r="H36" s="55">
        <f t="shared" si="0"/>
        <v>0</v>
      </c>
      <c r="I36" s="53">
        <v>4280</v>
      </c>
      <c r="J36" s="56">
        <v>50</v>
      </c>
      <c r="K36" s="55">
        <f t="shared" si="1"/>
        <v>214000</v>
      </c>
      <c r="L36" s="53"/>
      <c r="M36" s="57">
        <v>60</v>
      </c>
      <c r="N36" s="55">
        <f t="shared" si="2"/>
        <v>0</v>
      </c>
      <c r="O36" s="53">
        <v>1638</v>
      </c>
      <c r="P36" s="57">
        <v>12</v>
      </c>
      <c r="Q36" s="55">
        <f t="shared" si="3"/>
        <v>19656</v>
      </c>
      <c r="R36" s="53">
        <v>4040</v>
      </c>
      <c r="S36" s="59">
        <v>12</v>
      </c>
      <c r="T36" s="55">
        <f t="shared" si="4"/>
        <v>48480</v>
      </c>
      <c r="U36" s="53">
        <v>354</v>
      </c>
      <c r="V36" s="57">
        <v>8</v>
      </c>
      <c r="W36" s="55">
        <f t="shared" si="5"/>
        <v>2832</v>
      </c>
      <c r="X36" s="53">
        <v>239</v>
      </c>
      <c r="Y36" s="57">
        <v>12</v>
      </c>
      <c r="Z36" s="55">
        <f t="shared" si="6"/>
        <v>2868</v>
      </c>
      <c r="AA36" s="53">
        <v>564</v>
      </c>
      <c r="AB36" s="57">
        <v>10</v>
      </c>
      <c r="AC36" s="55">
        <f t="shared" si="7"/>
        <v>5640</v>
      </c>
      <c r="AD36" s="53">
        <v>266</v>
      </c>
      <c r="AE36" s="57">
        <v>25</v>
      </c>
      <c r="AF36" s="55">
        <f t="shared" si="8"/>
        <v>6650</v>
      </c>
      <c r="AG36" s="53"/>
      <c r="AH36" s="57">
        <v>7.5</v>
      </c>
      <c r="AI36" s="55">
        <f t="shared" si="9"/>
        <v>0</v>
      </c>
      <c r="AJ36" s="53"/>
      <c r="AK36" s="56">
        <v>15</v>
      </c>
      <c r="AL36" s="55">
        <f t="shared" si="10"/>
        <v>0</v>
      </c>
      <c r="AM36" s="53"/>
      <c r="AN36" s="57">
        <v>10</v>
      </c>
      <c r="AO36" s="55">
        <f t="shared" si="11"/>
        <v>0</v>
      </c>
      <c r="AP36" s="53">
        <f t="shared" si="12"/>
        <v>5463</v>
      </c>
      <c r="AQ36" s="53"/>
      <c r="AR36" s="61"/>
      <c r="AS36" s="53"/>
      <c r="AT36" s="53"/>
      <c r="AU36" s="55"/>
      <c r="AV36" s="53"/>
      <c r="AW36" s="53"/>
      <c r="AX36" s="66">
        <v>476</v>
      </c>
      <c r="AY36" s="53"/>
      <c r="AZ36" s="68">
        <f t="shared" si="13"/>
        <v>0.38271028037383176</v>
      </c>
      <c r="BA36" s="68">
        <f t="shared" si="14"/>
        <v>1.2764018691588785</v>
      </c>
      <c r="BB36" s="68">
        <f t="shared" si="15"/>
        <v>0.29059829059829062</v>
      </c>
      <c r="BC36" s="55">
        <f t="shared" si="16"/>
        <v>280470</v>
      </c>
      <c r="BD36" s="55">
        <f t="shared" si="17"/>
        <v>269130</v>
      </c>
      <c r="BE36" s="55">
        <f t="shared" si="18"/>
        <v>280470</v>
      </c>
      <c r="BF36" s="55">
        <f t="shared" si="19"/>
        <v>280470</v>
      </c>
      <c r="BG36" s="62">
        <v>309718</v>
      </c>
      <c r="BH36" s="63">
        <v>204263.09</v>
      </c>
      <c r="BI36" s="69">
        <f t="shared" si="20"/>
        <v>65.951313775757299</v>
      </c>
      <c r="BJ36" s="70">
        <f t="shared" si="21"/>
        <v>25554</v>
      </c>
      <c r="BK36" s="71">
        <f t="shared" si="22"/>
        <v>8.2507313104178637E-2</v>
      </c>
      <c r="BL36" s="72">
        <f t="shared" si="23"/>
        <v>2</v>
      </c>
      <c r="BM36" s="61">
        <f t="shared" si="24"/>
        <v>32050</v>
      </c>
      <c r="BN36" s="69">
        <f t="shared" si="25"/>
        <v>2.6980511700468015</v>
      </c>
      <c r="BO36" s="73">
        <f t="shared" si="26"/>
        <v>1875</v>
      </c>
      <c r="BP36" s="69">
        <f t="shared" si="27"/>
        <v>46.118687999999999</v>
      </c>
      <c r="BQ36" s="61">
        <f t="shared" si="28"/>
        <v>10000</v>
      </c>
      <c r="BR36" s="69">
        <f t="shared" si="29"/>
        <v>8.6472540000000002</v>
      </c>
      <c r="BS36" s="64">
        <f t="shared" si="30"/>
        <v>16993.539999999994</v>
      </c>
      <c r="BT36" s="69">
        <f t="shared" si="31"/>
        <v>5.0885536503871487</v>
      </c>
      <c r="BU36" s="65">
        <v>86472.54</v>
      </c>
      <c r="BV36" s="74">
        <f t="shared" si="32"/>
        <v>27.919765722366797</v>
      </c>
      <c r="BW36" s="75">
        <f t="shared" si="33"/>
        <v>18982.37000000001</v>
      </c>
      <c r="BX36" s="69">
        <f t="shared" si="34"/>
        <v>6.1289205018759034</v>
      </c>
      <c r="BY36" s="55">
        <v>11010</v>
      </c>
      <c r="BZ36" s="55">
        <v>6364</v>
      </c>
      <c r="CA36" s="55">
        <v>6560</v>
      </c>
      <c r="CB36" s="55">
        <v>1620</v>
      </c>
      <c r="CC36" s="64">
        <v>32050</v>
      </c>
      <c r="CD36" s="64">
        <v>1875</v>
      </c>
      <c r="CE36" s="64">
        <v>10000</v>
      </c>
      <c r="CF36" s="76">
        <f t="shared" si="35"/>
        <v>3.5548466669680159E-2</v>
      </c>
      <c r="CG36" s="76">
        <f t="shared" si="36"/>
        <v>2.0547724058659813E-2</v>
      </c>
      <c r="CH36" s="76">
        <f t="shared" si="37"/>
        <v>2.118055779773859E-2</v>
      </c>
      <c r="CI36" s="76">
        <f t="shared" si="38"/>
        <v>5.2305645781000783E-3</v>
      </c>
      <c r="CJ36" s="76">
        <f t="shared" si="39"/>
        <v>0.1034812313136466</v>
      </c>
      <c r="CK36" s="63">
        <f t="shared" si="40"/>
        <v>3796.474000000002</v>
      </c>
    </row>
    <row r="37" spans="1:90" ht="18.75" customHeight="1" x14ac:dyDescent="0.35">
      <c r="A37" s="50">
        <f t="shared" si="41"/>
        <v>30</v>
      </c>
      <c r="B37" s="51">
        <v>5</v>
      </c>
      <c r="C37" s="52" t="s">
        <v>209</v>
      </c>
      <c r="D37" s="52"/>
      <c r="E37" s="52"/>
      <c r="F37" s="53"/>
      <c r="G37" s="54">
        <v>40</v>
      </c>
      <c r="H37" s="55">
        <f t="shared" si="0"/>
        <v>0</v>
      </c>
      <c r="I37" s="53">
        <v>9083</v>
      </c>
      <c r="J37" s="56">
        <v>50</v>
      </c>
      <c r="K37" s="55">
        <f t="shared" si="1"/>
        <v>454150</v>
      </c>
      <c r="L37" s="53"/>
      <c r="M37" s="57">
        <v>60</v>
      </c>
      <c r="N37" s="55">
        <f t="shared" si="2"/>
        <v>0</v>
      </c>
      <c r="O37" s="53">
        <v>7994</v>
      </c>
      <c r="P37" s="57">
        <v>12</v>
      </c>
      <c r="Q37" s="55">
        <f t="shared" si="3"/>
        <v>95928</v>
      </c>
      <c r="R37" s="53">
        <v>8170</v>
      </c>
      <c r="S37" s="59">
        <v>12</v>
      </c>
      <c r="T37" s="55">
        <f t="shared" si="4"/>
        <v>98040</v>
      </c>
      <c r="U37" s="53">
        <v>539</v>
      </c>
      <c r="V37" s="57">
        <v>8</v>
      </c>
      <c r="W37" s="55">
        <f t="shared" si="5"/>
        <v>4312</v>
      </c>
      <c r="X37" s="53">
        <v>270</v>
      </c>
      <c r="Y37" s="57">
        <v>12</v>
      </c>
      <c r="Z37" s="55">
        <f t="shared" si="6"/>
        <v>3240</v>
      </c>
      <c r="AA37" s="53">
        <v>722</v>
      </c>
      <c r="AB37" s="57">
        <v>10</v>
      </c>
      <c r="AC37" s="55">
        <f t="shared" si="7"/>
        <v>7220</v>
      </c>
      <c r="AD37" s="53">
        <v>350</v>
      </c>
      <c r="AE37" s="57">
        <v>25</v>
      </c>
      <c r="AF37" s="55">
        <f t="shared" si="8"/>
        <v>8750</v>
      </c>
      <c r="AG37" s="53">
        <v>890</v>
      </c>
      <c r="AH37" s="57">
        <v>7.5</v>
      </c>
      <c r="AI37" s="55">
        <f t="shared" si="9"/>
        <v>6675</v>
      </c>
      <c r="AJ37" s="53"/>
      <c r="AK37" s="56">
        <v>15</v>
      </c>
      <c r="AL37" s="55">
        <f t="shared" si="10"/>
        <v>0</v>
      </c>
      <c r="AM37" s="53">
        <v>406</v>
      </c>
      <c r="AN37" s="57">
        <v>10</v>
      </c>
      <c r="AO37" s="55">
        <f t="shared" si="11"/>
        <v>4060</v>
      </c>
      <c r="AP37" s="53">
        <f t="shared" si="12"/>
        <v>11347</v>
      </c>
      <c r="AQ37" s="53"/>
      <c r="AR37" s="61"/>
      <c r="AS37" s="53"/>
      <c r="AT37" s="53"/>
      <c r="AU37" s="55"/>
      <c r="AV37" s="53"/>
      <c r="AW37" s="53"/>
      <c r="AX37" s="66">
        <v>2856</v>
      </c>
      <c r="AY37" s="53"/>
      <c r="AZ37" s="68">
        <f t="shared" si="13"/>
        <v>0.88010569195199828</v>
      </c>
      <c r="BA37" s="68">
        <f t="shared" si="14"/>
        <v>1.2492568534625124</v>
      </c>
      <c r="BB37" s="68">
        <f t="shared" si="15"/>
        <v>0.35726795096322239</v>
      </c>
      <c r="BC37" s="55">
        <f t="shared" si="16"/>
        <v>575712</v>
      </c>
      <c r="BD37" s="55">
        <f t="shared" si="17"/>
        <v>560940</v>
      </c>
      <c r="BE37" s="55">
        <f t="shared" si="18"/>
        <v>575712</v>
      </c>
      <c r="BF37" s="55">
        <f t="shared" si="19"/>
        <v>582387</v>
      </c>
      <c r="BG37" s="62">
        <v>736294</v>
      </c>
      <c r="BH37" s="63">
        <v>487405.33</v>
      </c>
      <c r="BI37" s="69">
        <f t="shared" si="20"/>
        <v>66.197107405465758</v>
      </c>
      <c r="BJ37" s="70">
        <f t="shared" si="21"/>
        <v>50581.5</v>
      </c>
      <c r="BK37" s="71">
        <f t="shared" si="22"/>
        <v>6.8697422496991678E-2</v>
      </c>
      <c r="BL37" s="72">
        <f t="shared" si="23"/>
        <v>5</v>
      </c>
      <c r="BM37" s="61">
        <f t="shared" si="24"/>
        <v>64762.5</v>
      </c>
      <c r="BN37" s="69">
        <f t="shared" si="25"/>
        <v>3.4637608183748312</v>
      </c>
      <c r="BO37" s="73">
        <f t="shared" si="26"/>
        <v>4562.5</v>
      </c>
      <c r="BP37" s="69">
        <f t="shared" si="27"/>
        <v>49.166424109589038</v>
      </c>
      <c r="BQ37" s="61">
        <f t="shared" si="28"/>
        <v>44000</v>
      </c>
      <c r="BR37" s="69">
        <f t="shared" si="29"/>
        <v>5.0982229545454549</v>
      </c>
      <c r="BS37" s="64">
        <f t="shared" si="30"/>
        <v>60415.31</v>
      </c>
      <c r="BT37" s="69">
        <f t="shared" si="31"/>
        <v>3.7129960932088242</v>
      </c>
      <c r="BU37" s="65">
        <v>224321.81</v>
      </c>
      <c r="BV37" s="74">
        <f t="shared" si="32"/>
        <v>30.466336816543393</v>
      </c>
      <c r="BW37" s="75">
        <f t="shared" si="33"/>
        <v>24566.859999999986</v>
      </c>
      <c r="BX37" s="69">
        <f t="shared" si="34"/>
        <v>3.336555777990855</v>
      </c>
      <c r="BY37" s="55">
        <v>18532.5</v>
      </c>
      <c r="BZ37" s="55">
        <v>15910</v>
      </c>
      <c r="CA37" s="55">
        <v>13169</v>
      </c>
      <c r="CB37" s="55">
        <v>2970</v>
      </c>
      <c r="CC37" s="64">
        <v>64762.5</v>
      </c>
      <c r="CD37" s="64">
        <v>4562.5</v>
      </c>
      <c r="CE37" s="64">
        <v>44000</v>
      </c>
      <c r="CF37" s="76">
        <f t="shared" si="35"/>
        <v>2.5169972864100481E-2</v>
      </c>
      <c r="CG37" s="76">
        <f t="shared" si="36"/>
        <v>2.1608216283169494E-2</v>
      </c>
      <c r="CH37" s="76">
        <f t="shared" si="37"/>
        <v>1.7885518556446201E-2</v>
      </c>
      <c r="CI37" s="76">
        <f t="shared" si="38"/>
        <v>4.033714793275512E-3</v>
      </c>
      <c r="CJ37" s="76">
        <f t="shared" si="39"/>
        <v>8.7957392020035469E-2</v>
      </c>
      <c r="CK37" s="63">
        <f t="shared" si="40"/>
        <v>4913.3719999999976</v>
      </c>
    </row>
    <row r="38" spans="1:90" ht="18.75" customHeight="1" x14ac:dyDescent="0.35">
      <c r="A38" s="50">
        <f t="shared" si="41"/>
        <v>31</v>
      </c>
      <c r="B38" s="51" t="s">
        <v>106</v>
      </c>
      <c r="C38" s="52" t="s">
        <v>107</v>
      </c>
      <c r="D38" s="52"/>
      <c r="E38" s="52"/>
      <c r="F38" s="53"/>
      <c r="G38" s="54">
        <v>40</v>
      </c>
      <c r="H38" s="55">
        <f t="shared" si="0"/>
        <v>0</v>
      </c>
      <c r="I38" s="53">
        <v>24837</v>
      </c>
      <c r="J38" s="56">
        <v>50</v>
      </c>
      <c r="K38" s="55">
        <f t="shared" si="1"/>
        <v>1241850</v>
      </c>
      <c r="L38" s="53"/>
      <c r="M38" s="57">
        <v>60</v>
      </c>
      <c r="N38" s="55">
        <f t="shared" si="2"/>
        <v>0</v>
      </c>
      <c r="O38" s="53">
        <v>12398</v>
      </c>
      <c r="P38" s="57">
        <v>12</v>
      </c>
      <c r="Q38" s="55">
        <f t="shared" si="3"/>
        <v>148776</v>
      </c>
      <c r="R38" s="53"/>
      <c r="S38" s="59">
        <v>12</v>
      </c>
      <c r="T38" s="55">
        <f t="shared" si="4"/>
        <v>0</v>
      </c>
      <c r="U38" s="53">
        <v>816</v>
      </c>
      <c r="V38" s="57">
        <v>8</v>
      </c>
      <c r="W38" s="55">
        <f t="shared" si="5"/>
        <v>6528</v>
      </c>
      <c r="X38" s="53">
        <v>474</v>
      </c>
      <c r="Y38" s="57">
        <v>12</v>
      </c>
      <c r="Z38" s="55">
        <f t="shared" si="6"/>
        <v>5688</v>
      </c>
      <c r="AA38" s="53">
        <v>1049</v>
      </c>
      <c r="AB38" s="57">
        <v>10</v>
      </c>
      <c r="AC38" s="55">
        <f t="shared" si="7"/>
        <v>10490</v>
      </c>
      <c r="AD38" s="53">
        <v>490</v>
      </c>
      <c r="AE38" s="57">
        <v>25</v>
      </c>
      <c r="AF38" s="55">
        <f t="shared" si="8"/>
        <v>12250</v>
      </c>
      <c r="AG38" s="53">
        <v>165</v>
      </c>
      <c r="AH38" s="57">
        <v>7.5</v>
      </c>
      <c r="AI38" s="55">
        <f t="shared" si="9"/>
        <v>1237.5</v>
      </c>
      <c r="AJ38" s="53"/>
      <c r="AK38" s="56">
        <v>15</v>
      </c>
      <c r="AL38" s="55">
        <f t="shared" si="10"/>
        <v>0</v>
      </c>
      <c r="AM38" s="53">
        <v>369</v>
      </c>
      <c r="AN38" s="57">
        <v>10</v>
      </c>
      <c r="AO38" s="55">
        <f>AM38*AX37</f>
        <v>1053864</v>
      </c>
      <c r="AP38" s="53">
        <f t="shared" si="12"/>
        <v>3363</v>
      </c>
      <c r="AQ38" s="53"/>
      <c r="AR38" s="61"/>
      <c r="AS38" s="53"/>
      <c r="AT38" s="53"/>
      <c r="AU38" s="55"/>
      <c r="AV38" s="53"/>
      <c r="AW38" s="53"/>
      <c r="AX38" s="66">
        <v>3514</v>
      </c>
      <c r="AY38" s="53"/>
      <c r="AZ38" s="68">
        <f t="shared" si="13"/>
        <v>0.49917461851270284</v>
      </c>
      <c r="BA38" s="68">
        <f t="shared" si="14"/>
        <v>0.13540282642831261</v>
      </c>
      <c r="BB38" s="68">
        <f t="shared" si="15"/>
        <v>0.28343281174382967</v>
      </c>
      <c r="BC38" s="55">
        <f t="shared" si="16"/>
        <v>1276806</v>
      </c>
      <c r="BD38" s="55">
        <f t="shared" si="17"/>
        <v>1254100</v>
      </c>
      <c r="BE38" s="55">
        <f t="shared" si="18"/>
        <v>1276806</v>
      </c>
      <c r="BF38" s="55">
        <f t="shared" si="19"/>
        <v>1278043.5</v>
      </c>
      <c r="BG38" s="62">
        <v>1499043.5</v>
      </c>
      <c r="BH38" s="63">
        <v>1025984.25</v>
      </c>
      <c r="BI38" s="69">
        <f t="shared" si="20"/>
        <v>68.442593560493748</v>
      </c>
      <c r="BJ38" s="70">
        <f t="shared" si="21"/>
        <v>91838</v>
      </c>
      <c r="BK38" s="71">
        <f t="shared" si="22"/>
        <v>6.1264399598810845E-2</v>
      </c>
      <c r="BL38" s="72" t="str">
        <f t="shared" si="23"/>
        <v>,9</v>
      </c>
      <c r="BM38" s="61">
        <f t="shared" si="24"/>
        <v>132852.5</v>
      </c>
      <c r="BN38" s="69">
        <f t="shared" si="25"/>
        <v>2.5794163451948586</v>
      </c>
      <c r="BO38" s="73">
        <f t="shared" si="26"/>
        <v>2978</v>
      </c>
      <c r="BP38" s="69">
        <f t="shared" si="27"/>
        <v>115.07115849563465</v>
      </c>
      <c r="BQ38" s="61">
        <f t="shared" si="28"/>
        <v>30500</v>
      </c>
      <c r="BR38" s="69">
        <f t="shared" si="29"/>
        <v>11.235472459016393</v>
      </c>
      <c r="BS38" s="64">
        <f t="shared" si="30"/>
        <v>84513.409999999974</v>
      </c>
      <c r="BT38" s="69">
        <f t="shared" si="31"/>
        <v>4.0547637351279526</v>
      </c>
      <c r="BU38" s="65">
        <v>342681.91</v>
      </c>
      <c r="BV38" s="74">
        <f t="shared" si="32"/>
        <v>22.860037750739053</v>
      </c>
      <c r="BW38" s="75">
        <f t="shared" si="33"/>
        <v>130377.34000000003</v>
      </c>
      <c r="BX38" s="69">
        <f t="shared" si="34"/>
        <v>8.6973686887672059</v>
      </c>
      <c r="BY38" s="55">
        <v>33140</v>
      </c>
      <c r="BZ38" s="55">
        <v>22274</v>
      </c>
      <c r="CA38" s="55">
        <v>28864</v>
      </c>
      <c r="CB38" s="55">
        <v>7560</v>
      </c>
      <c r="CC38" s="64">
        <v>132852.5</v>
      </c>
      <c r="CD38" s="64">
        <v>2978</v>
      </c>
      <c r="CE38" s="64">
        <v>30500</v>
      </c>
      <c r="CF38" s="76">
        <f t="shared" si="35"/>
        <v>2.2107430504851928E-2</v>
      </c>
      <c r="CG38" s="76">
        <f t="shared" si="36"/>
        <v>1.4858808300092693E-2</v>
      </c>
      <c r="CH38" s="76">
        <f t="shared" si="37"/>
        <v>1.9254944903199941E-2</v>
      </c>
      <c r="CI38" s="76">
        <f t="shared" si="38"/>
        <v>5.0432158906662814E-3</v>
      </c>
      <c r="CJ38" s="76">
        <f t="shared" si="39"/>
        <v>8.8624846443748961E-2</v>
      </c>
      <c r="CK38" s="63">
        <f t="shared" si="40"/>
        <v>26075.468000000008</v>
      </c>
    </row>
    <row r="39" spans="1:90" ht="18.75" customHeight="1" x14ac:dyDescent="0.35">
      <c r="A39" s="50">
        <f t="shared" si="41"/>
        <v>32</v>
      </c>
      <c r="B39" s="58" t="s">
        <v>221</v>
      </c>
      <c r="C39" s="52" t="s">
        <v>222</v>
      </c>
      <c r="D39" s="52"/>
      <c r="E39" s="52"/>
      <c r="F39" s="53"/>
      <c r="G39" s="54">
        <v>40</v>
      </c>
      <c r="H39" s="55">
        <f t="shared" si="0"/>
        <v>0</v>
      </c>
      <c r="I39" s="53">
        <v>3653</v>
      </c>
      <c r="J39" s="56">
        <v>50</v>
      </c>
      <c r="K39" s="55">
        <f t="shared" si="1"/>
        <v>182650</v>
      </c>
      <c r="L39" s="53"/>
      <c r="M39" s="57">
        <v>60</v>
      </c>
      <c r="N39" s="55">
        <f t="shared" si="2"/>
        <v>0</v>
      </c>
      <c r="O39" s="53">
        <v>2452</v>
      </c>
      <c r="P39" s="57">
        <v>12</v>
      </c>
      <c r="Q39" s="55">
        <f t="shared" si="3"/>
        <v>29424</v>
      </c>
      <c r="R39" s="53">
        <v>570</v>
      </c>
      <c r="S39" s="59">
        <v>12</v>
      </c>
      <c r="T39" s="55">
        <f t="shared" si="4"/>
        <v>6840</v>
      </c>
      <c r="U39" s="53">
        <v>234</v>
      </c>
      <c r="V39" s="57">
        <v>8</v>
      </c>
      <c r="W39" s="55">
        <f t="shared" si="5"/>
        <v>1872</v>
      </c>
      <c r="X39" s="53">
        <v>185</v>
      </c>
      <c r="Y39" s="57">
        <v>12</v>
      </c>
      <c r="Z39" s="55">
        <f t="shared" si="6"/>
        <v>2220</v>
      </c>
      <c r="AA39" s="53">
        <v>359</v>
      </c>
      <c r="AB39" s="57">
        <v>10</v>
      </c>
      <c r="AC39" s="55">
        <f t="shared" si="7"/>
        <v>3590</v>
      </c>
      <c r="AD39" s="53">
        <v>140</v>
      </c>
      <c r="AE39" s="57">
        <v>25</v>
      </c>
      <c r="AF39" s="55">
        <f t="shared" si="8"/>
        <v>3500</v>
      </c>
      <c r="AG39" s="53"/>
      <c r="AH39" s="57">
        <v>7.5</v>
      </c>
      <c r="AI39" s="55">
        <f t="shared" si="9"/>
        <v>0</v>
      </c>
      <c r="AJ39" s="53"/>
      <c r="AK39" s="56">
        <v>15</v>
      </c>
      <c r="AL39" s="55">
        <f t="shared" si="10"/>
        <v>0</v>
      </c>
      <c r="AM39" s="53">
        <v>132</v>
      </c>
      <c r="AN39" s="57">
        <v>10</v>
      </c>
      <c r="AO39" s="55">
        <f t="shared" ref="AO39:AO42" si="42">AM39*AN39</f>
        <v>1320</v>
      </c>
      <c r="AP39" s="53">
        <f t="shared" si="12"/>
        <v>1620</v>
      </c>
      <c r="AQ39" s="53"/>
      <c r="AR39" s="61"/>
      <c r="AS39" s="53"/>
      <c r="AT39" s="53"/>
      <c r="AU39" s="55"/>
      <c r="AV39" s="53"/>
      <c r="AW39" s="53"/>
      <c r="AX39" s="66">
        <v>1056</v>
      </c>
      <c r="AY39" s="53"/>
      <c r="AZ39" s="68">
        <f t="shared" si="13"/>
        <v>0.67122912674514101</v>
      </c>
      <c r="BA39" s="68">
        <f t="shared" si="14"/>
        <v>0.44347111962770325</v>
      </c>
      <c r="BB39" s="68">
        <f t="shared" si="15"/>
        <v>0.43066884176182707</v>
      </c>
      <c r="BC39" s="55">
        <f t="shared" si="16"/>
        <v>200672</v>
      </c>
      <c r="BD39" s="55">
        <f t="shared" si="17"/>
        <v>192990</v>
      </c>
      <c r="BE39" s="55">
        <f t="shared" si="18"/>
        <v>200672</v>
      </c>
      <c r="BF39" s="55">
        <f t="shared" si="19"/>
        <v>200672</v>
      </c>
      <c r="BG39" s="62">
        <v>252628</v>
      </c>
      <c r="BH39" s="63">
        <v>171210.75</v>
      </c>
      <c r="BI39" s="69">
        <f t="shared" si="20"/>
        <v>67.771881976661334</v>
      </c>
      <c r="BJ39" s="70">
        <f t="shared" si="21"/>
        <v>17980.5</v>
      </c>
      <c r="BK39" s="71">
        <f t="shared" si="22"/>
        <v>7.117382079579461E-2</v>
      </c>
      <c r="BL39" s="72" t="str">
        <f t="shared" si="23"/>
        <v>,2</v>
      </c>
      <c r="BM39" s="61">
        <f t="shared" si="24"/>
        <v>34787.5</v>
      </c>
      <c r="BN39" s="69">
        <f t="shared" si="25"/>
        <v>2.3514730865971973</v>
      </c>
      <c r="BO39" s="73">
        <f t="shared" si="26"/>
        <v>0</v>
      </c>
      <c r="BP39" s="69" t="e">
        <f t="shared" si="27"/>
        <v>#DIV/0!</v>
      </c>
      <c r="BQ39" s="61">
        <f t="shared" si="28"/>
        <v>15000</v>
      </c>
      <c r="BR39" s="69">
        <f t="shared" si="29"/>
        <v>5.4534579999999995</v>
      </c>
      <c r="BS39" s="64">
        <f t="shared" si="30"/>
        <v>14033.869999999995</v>
      </c>
      <c r="BT39" s="69">
        <f t="shared" si="31"/>
        <v>5.8288889664789556</v>
      </c>
      <c r="BU39" s="65">
        <v>81801.87</v>
      </c>
      <c r="BV39" s="74">
        <f t="shared" si="32"/>
        <v>32.380365596845948</v>
      </c>
      <c r="BW39" s="75">
        <f t="shared" si="33"/>
        <v>-384.61999999999534</v>
      </c>
      <c r="BX39" s="69">
        <f t="shared" si="34"/>
        <v>-0.15224757350728949</v>
      </c>
      <c r="BY39" s="55">
        <v>3706.5</v>
      </c>
      <c r="BZ39" s="55">
        <v>6364</v>
      </c>
      <c r="CA39" s="55">
        <v>6560</v>
      </c>
      <c r="CB39" s="55">
        <v>1350</v>
      </c>
      <c r="CC39" s="64">
        <v>34787.5</v>
      </c>
      <c r="CD39" s="64"/>
      <c r="CE39" s="64">
        <v>15000</v>
      </c>
      <c r="CF39" s="76">
        <f t="shared" si="35"/>
        <v>1.4671770350079959E-2</v>
      </c>
      <c r="CG39" s="76">
        <f t="shared" si="36"/>
        <v>2.5191190208527954E-2</v>
      </c>
      <c r="CH39" s="76">
        <f t="shared" si="37"/>
        <v>2.5967034532989219E-2</v>
      </c>
      <c r="CI39" s="76">
        <f t="shared" si="38"/>
        <v>5.3438257041974763E-3</v>
      </c>
      <c r="CJ39" s="76">
        <f t="shared" si="39"/>
        <v>0.13770247161834792</v>
      </c>
      <c r="CK39" s="63">
        <f t="shared" si="40"/>
        <v>-76.923999999999069</v>
      </c>
    </row>
    <row r="40" spans="1:90" ht="18.75" customHeight="1" x14ac:dyDescent="0.35">
      <c r="A40" s="50">
        <f t="shared" si="41"/>
        <v>33</v>
      </c>
      <c r="B40" s="58">
        <v>3</v>
      </c>
      <c r="C40" s="52" t="s">
        <v>212</v>
      </c>
      <c r="D40" s="52"/>
      <c r="E40" s="52"/>
      <c r="F40" s="53"/>
      <c r="G40" s="54">
        <v>40</v>
      </c>
      <c r="H40" s="55">
        <f t="shared" si="0"/>
        <v>0</v>
      </c>
      <c r="I40" s="53">
        <v>10690</v>
      </c>
      <c r="J40" s="56">
        <v>50</v>
      </c>
      <c r="K40" s="55">
        <f t="shared" si="1"/>
        <v>534500</v>
      </c>
      <c r="L40" s="53"/>
      <c r="M40" s="57">
        <v>60</v>
      </c>
      <c r="N40" s="55">
        <f t="shared" si="2"/>
        <v>0</v>
      </c>
      <c r="O40" s="53">
        <v>3580</v>
      </c>
      <c r="P40" s="57">
        <v>12</v>
      </c>
      <c r="Q40" s="55">
        <f t="shared" si="3"/>
        <v>42960</v>
      </c>
      <c r="R40" s="53">
        <v>2750</v>
      </c>
      <c r="S40" s="59">
        <v>12</v>
      </c>
      <c r="T40" s="55">
        <f t="shared" si="4"/>
        <v>33000</v>
      </c>
      <c r="U40" s="53">
        <v>597</v>
      </c>
      <c r="V40" s="57">
        <v>8</v>
      </c>
      <c r="W40" s="55">
        <f t="shared" si="5"/>
        <v>4776</v>
      </c>
      <c r="X40" s="53">
        <v>416</v>
      </c>
      <c r="Y40" s="57">
        <v>12</v>
      </c>
      <c r="Z40" s="55">
        <f t="shared" si="6"/>
        <v>4992</v>
      </c>
      <c r="AA40" s="53">
        <v>914</v>
      </c>
      <c r="AB40" s="57">
        <v>10</v>
      </c>
      <c r="AC40" s="55">
        <f t="shared" si="7"/>
        <v>9140</v>
      </c>
      <c r="AD40" s="53">
        <v>420</v>
      </c>
      <c r="AE40" s="57">
        <v>25</v>
      </c>
      <c r="AF40" s="55">
        <f t="shared" si="8"/>
        <v>10500</v>
      </c>
      <c r="AG40" s="53"/>
      <c r="AH40" s="57">
        <v>7.5</v>
      </c>
      <c r="AI40" s="55">
        <f t="shared" si="9"/>
        <v>0</v>
      </c>
      <c r="AJ40" s="53"/>
      <c r="AK40" s="56">
        <v>15</v>
      </c>
      <c r="AL40" s="55">
        <f t="shared" si="10"/>
        <v>0</v>
      </c>
      <c r="AM40" s="53">
        <v>198</v>
      </c>
      <c r="AN40" s="57">
        <v>10</v>
      </c>
      <c r="AO40" s="55">
        <f t="shared" si="42"/>
        <v>1980</v>
      </c>
      <c r="AP40" s="53">
        <f t="shared" si="12"/>
        <v>5295</v>
      </c>
      <c r="AQ40" s="53"/>
      <c r="AR40" s="61"/>
      <c r="AS40" s="53"/>
      <c r="AT40" s="53"/>
      <c r="AU40" s="55"/>
      <c r="AV40" s="53"/>
      <c r="AW40" s="53"/>
      <c r="AX40" s="66">
        <v>1284</v>
      </c>
      <c r="AY40" s="53"/>
      <c r="AZ40" s="68">
        <f t="shared" si="13"/>
        <v>0.33489242282507015</v>
      </c>
      <c r="BA40" s="68">
        <f t="shared" si="14"/>
        <v>0.49532273152478951</v>
      </c>
      <c r="BB40" s="68">
        <f t="shared" si="15"/>
        <v>0.35865921787709498</v>
      </c>
      <c r="BC40" s="55">
        <f t="shared" si="16"/>
        <v>596908</v>
      </c>
      <c r="BD40" s="55">
        <f t="shared" si="17"/>
        <v>578000</v>
      </c>
      <c r="BE40" s="55">
        <f t="shared" si="18"/>
        <v>596908</v>
      </c>
      <c r="BF40" s="55">
        <f t="shared" si="19"/>
        <v>596908</v>
      </c>
      <c r="BG40" s="62">
        <v>666770</v>
      </c>
      <c r="BH40" s="63">
        <v>447277.69</v>
      </c>
      <c r="BI40" s="69">
        <f t="shared" si="20"/>
        <v>67.081255905334672</v>
      </c>
      <c r="BJ40" s="70">
        <f t="shared" si="21"/>
        <v>42084</v>
      </c>
      <c r="BK40" s="71">
        <f t="shared" si="22"/>
        <v>6.3116216986367116E-2</v>
      </c>
      <c r="BL40" s="72">
        <f t="shared" si="23"/>
        <v>3</v>
      </c>
      <c r="BM40" s="61">
        <f t="shared" si="24"/>
        <v>60512.5</v>
      </c>
      <c r="BN40" s="69">
        <f t="shared" si="25"/>
        <v>2.5465898781243541</v>
      </c>
      <c r="BO40" s="73">
        <f t="shared" si="26"/>
        <v>937</v>
      </c>
      <c r="BP40" s="69">
        <f t="shared" si="27"/>
        <v>164.46160085378867</v>
      </c>
      <c r="BQ40" s="61">
        <f t="shared" si="28"/>
        <v>16500</v>
      </c>
      <c r="BR40" s="69">
        <f t="shared" si="29"/>
        <v>9.339425454545454</v>
      </c>
      <c r="BS40" s="64">
        <f t="shared" si="30"/>
        <v>34067.01999999999</v>
      </c>
      <c r="BT40" s="69">
        <f t="shared" si="31"/>
        <v>4.5234517137102115</v>
      </c>
      <c r="BU40" s="65">
        <v>154100.51999999999</v>
      </c>
      <c r="BV40" s="74">
        <f t="shared" si="32"/>
        <v>23.111495718163685</v>
      </c>
      <c r="BW40" s="75">
        <f t="shared" si="33"/>
        <v>65391.790000000008</v>
      </c>
      <c r="BX40" s="69">
        <f t="shared" si="34"/>
        <v>9.8072483765016436</v>
      </c>
      <c r="BY40" s="55">
        <v>14828</v>
      </c>
      <c r="BZ40" s="55">
        <v>9546</v>
      </c>
      <c r="CA40" s="55">
        <v>13120</v>
      </c>
      <c r="CB40" s="55">
        <v>4590</v>
      </c>
      <c r="CC40" s="64">
        <v>60512.5</v>
      </c>
      <c r="CD40" s="64">
        <v>937</v>
      </c>
      <c r="CE40" s="64">
        <v>16500</v>
      </c>
      <c r="CF40" s="76">
        <f t="shared" si="35"/>
        <v>2.2238553024281238E-2</v>
      </c>
      <c r="CG40" s="76">
        <f t="shared" si="36"/>
        <v>1.4316780898960661E-2</v>
      </c>
      <c r="CH40" s="76">
        <f t="shared" si="37"/>
        <v>1.9676950072738727E-2</v>
      </c>
      <c r="CI40" s="76">
        <f t="shared" si="38"/>
        <v>6.8839329903864904E-3</v>
      </c>
      <c r="CJ40" s="76">
        <f t="shared" si="39"/>
        <v>9.0754683024131255E-2</v>
      </c>
      <c r="CK40" s="63">
        <f t="shared" si="40"/>
        <v>13078.358000000002</v>
      </c>
    </row>
    <row r="41" spans="1:90" ht="18.75" customHeight="1" x14ac:dyDescent="0.35">
      <c r="A41" s="50">
        <f t="shared" si="41"/>
        <v>34</v>
      </c>
      <c r="B41" s="51">
        <v>2</v>
      </c>
      <c r="C41" s="52" t="s">
        <v>223</v>
      </c>
      <c r="D41" s="52"/>
      <c r="E41" s="52"/>
      <c r="F41" s="53"/>
      <c r="G41" s="54">
        <v>40</v>
      </c>
      <c r="H41" s="55">
        <f t="shared" si="0"/>
        <v>0</v>
      </c>
      <c r="I41" s="53">
        <v>4158</v>
      </c>
      <c r="J41" s="56">
        <v>50</v>
      </c>
      <c r="K41" s="55">
        <f t="shared" si="1"/>
        <v>207900</v>
      </c>
      <c r="L41" s="53"/>
      <c r="M41" s="57">
        <v>60</v>
      </c>
      <c r="N41" s="55">
        <f t="shared" si="2"/>
        <v>0</v>
      </c>
      <c r="O41" s="53">
        <v>3949</v>
      </c>
      <c r="P41" s="57">
        <v>12</v>
      </c>
      <c r="Q41" s="55">
        <f t="shared" si="3"/>
        <v>47388</v>
      </c>
      <c r="R41" s="53">
        <v>3916</v>
      </c>
      <c r="S41" s="59">
        <v>12</v>
      </c>
      <c r="T41" s="55">
        <f t="shared" si="4"/>
        <v>46992</v>
      </c>
      <c r="U41" s="53">
        <v>211</v>
      </c>
      <c r="V41" s="57">
        <v>8</v>
      </c>
      <c r="W41" s="55">
        <f t="shared" si="5"/>
        <v>1688</v>
      </c>
      <c r="X41" s="53">
        <v>102</v>
      </c>
      <c r="Y41" s="57">
        <v>12</v>
      </c>
      <c r="Z41" s="55">
        <f t="shared" si="6"/>
        <v>1224</v>
      </c>
      <c r="AA41" s="53">
        <v>280</v>
      </c>
      <c r="AB41" s="57">
        <v>10</v>
      </c>
      <c r="AC41" s="55">
        <f t="shared" si="7"/>
        <v>2800</v>
      </c>
      <c r="AD41" s="53">
        <v>106</v>
      </c>
      <c r="AE41" s="57">
        <v>25</v>
      </c>
      <c r="AF41" s="55">
        <f t="shared" si="8"/>
        <v>2650</v>
      </c>
      <c r="AG41" s="53">
        <v>84</v>
      </c>
      <c r="AH41" s="57">
        <v>7.5</v>
      </c>
      <c r="AI41" s="55">
        <f t="shared" si="9"/>
        <v>630</v>
      </c>
      <c r="AJ41" s="53"/>
      <c r="AK41" s="56">
        <v>15</v>
      </c>
      <c r="AL41" s="55">
        <f t="shared" si="10"/>
        <v>0</v>
      </c>
      <c r="AM41" s="53">
        <v>171</v>
      </c>
      <c r="AN41" s="57">
        <v>10</v>
      </c>
      <c r="AO41" s="55">
        <f t="shared" si="42"/>
        <v>1710</v>
      </c>
      <c r="AP41" s="53">
        <f t="shared" si="12"/>
        <v>4870</v>
      </c>
      <c r="AQ41" s="53"/>
      <c r="AR41" s="61"/>
      <c r="AS41" s="53"/>
      <c r="AT41" s="53"/>
      <c r="AU41" s="55"/>
      <c r="AV41" s="53"/>
      <c r="AW41" s="53"/>
      <c r="AX41" s="66">
        <v>881</v>
      </c>
      <c r="AY41" s="53"/>
      <c r="AZ41" s="68">
        <f t="shared" si="13"/>
        <v>0.94973544973544977</v>
      </c>
      <c r="BA41" s="68">
        <f t="shared" si="14"/>
        <v>1.1712361712361712</v>
      </c>
      <c r="BB41" s="68">
        <f t="shared" si="15"/>
        <v>0.22309445429222588</v>
      </c>
      <c r="BC41" s="55">
        <f t="shared" si="16"/>
        <v>263254</v>
      </c>
      <c r="BD41" s="55">
        <f t="shared" si="17"/>
        <v>257542</v>
      </c>
      <c r="BE41" s="55">
        <f t="shared" si="18"/>
        <v>263254</v>
      </c>
      <c r="BF41" s="55">
        <f t="shared" si="19"/>
        <v>263884</v>
      </c>
      <c r="BG41" s="62">
        <v>330541</v>
      </c>
      <c r="BH41" s="63">
        <v>217829.62</v>
      </c>
      <c r="BI41" s="69">
        <f t="shared" si="20"/>
        <v>65.900938158957587</v>
      </c>
      <c r="BJ41" s="70">
        <f t="shared" si="21"/>
        <v>20645</v>
      </c>
      <c r="BK41" s="71">
        <f t="shared" si="22"/>
        <v>6.2458212445657274E-2</v>
      </c>
      <c r="BL41" s="72">
        <f t="shared" si="23"/>
        <v>2</v>
      </c>
      <c r="BM41" s="61">
        <f t="shared" si="24"/>
        <v>42700</v>
      </c>
      <c r="BN41" s="69">
        <f t="shared" si="25"/>
        <v>2.626835362997658</v>
      </c>
      <c r="BO41" s="73">
        <f t="shared" si="26"/>
        <v>2187.5</v>
      </c>
      <c r="BP41" s="69">
        <f t="shared" si="27"/>
        <v>51.275826285714281</v>
      </c>
      <c r="BQ41" s="61">
        <f t="shared" si="28"/>
        <v>20000</v>
      </c>
      <c r="BR41" s="69">
        <f t="shared" si="29"/>
        <v>5.6082934999999994</v>
      </c>
      <c r="BS41" s="64">
        <f t="shared" si="30"/>
        <v>26633.369999999995</v>
      </c>
      <c r="BT41" s="69">
        <f t="shared" si="31"/>
        <v>4.211478682570025</v>
      </c>
      <c r="BU41" s="65">
        <v>112165.87</v>
      </c>
      <c r="BV41" s="74">
        <f t="shared" si="32"/>
        <v>33.93402633863878</v>
      </c>
      <c r="BW41" s="75">
        <f t="shared" si="33"/>
        <v>545.51000000000931</v>
      </c>
      <c r="BX41" s="69">
        <f t="shared" si="34"/>
        <v>0.16503550240363807</v>
      </c>
      <c r="BY41" s="55">
        <v>7413</v>
      </c>
      <c r="BZ41" s="55">
        <v>6364</v>
      </c>
      <c r="CA41" s="55">
        <v>5248</v>
      </c>
      <c r="CB41" s="55">
        <v>1620</v>
      </c>
      <c r="CC41" s="64">
        <v>42700</v>
      </c>
      <c r="CD41" s="64">
        <v>2187.5</v>
      </c>
      <c r="CE41" s="64">
        <v>20000</v>
      </c>
      <c r="CF41" s="76">
        <f t="shared" si="35"/>
        <v>2.242686988906066E-2</v>
      </c>
      <c r="CG41" s="76">
        <f t="shared" si="36"/>
        <v>1.9253284766488878E-2</v>
      </c>
      <c r="CH41" s="76">
        <f t="shared" si="37"/>
        <v>1.5877001642761412E-2</v>
      </c>
      <c r="CI41" s="76">
        <f t="shared" si="38"/>
        <v>4.90105614734632E-3</v>
      </c>
      <c r="CJ41" s="76">
        <f t="shared" si="39"/>
        <v>0.12918215894548635</v>
      </c>
      <c r="CK41" s="63">
        <f t="shared" si="40"/>
        <v>109.10200000000187</v>
      </c>
    </row>
    <row r="42" spans="1:90" ht="18.75" customHeight="1" x14ac:dyDescent="0.35">
      <c r="A42" s="50">
        <f t="shared" si="41"/>
        <v>35</v>
      </c>
      <c r="B42" s="51">
        <v>6</v>
      </c>
      <c r="C42" s="52" t="s">
        <v>115</v>
      </c>
      <c r="D42" s="52"/>
      <c r="E42" s="52"/>
      <c r="F42" s="53"/>
      <c r="G42" s="54">
        <v>40</v>
      </c>
      <c r="H42" s="55">
        <f t="shared" si="0"/>
        <v>0</v>
      </c>
      <c r="I42" s="53">
        <v>15814</v>
      </c>
      <c r="J42" s="56">
        <v>50</v>
      </c>
      <c r="K42" s="55">
        <f t="shared" si="1"/>
        <v>790700</v>
      </c>
      <c r="L42" s="53"/>
      <c r="M42" s="57">
        <v>60</v>
      </c>
      <c r="N42" s="55">
        <f t="shared" si="2"/>
        <v>0</v>
      </c>
      <c r="O42" s="53">
        <v>5225</v>
      </c>
      <c r="P42" s="57">
        <v>12</v>
      </c>
      <c r="Q42" s="55">
        <f t="shared" si="3"/>
        <v>62700</v>
      </c>
      <c r="R42" s="53"/>
      <c r="S42" s="59">
        <v>12</v>
      </c>
      <c r="T42" s="55">
        <f t="shared" si="4"/>
        <v>0</v>
      </c>
      <c r="U42" s="53">
        <v>750</v>
      </c>
      <c r="V42" s="57">
        <v>8</v>
      </c>
      <c r="W42" s="55">
        <f t="shared" si="5"/>
        <v>6000</v>
      </c>
      <c r="X42" s="53">
        <v>249</v>
      </c>
      <c r="Y42" s="57">
        <v>12</v>
      </c>
      <c r="Z42" s="55">
        <f t="shared" si="6"/>
        <v>2988</v>
      </c>
      <c r="AA42" s="53">
        <v>854</v>
      </c>
      <c r="AB42" s="57">
        <v>10</v>
      </c>
      <c r="AC42" s="55">
        <f t="shared" si="7"/>
        <v>8540</v>
      </c>
      <c r="AD42" s="53">
        <v>318</v>
      </c>
      <c r="AE42" s="57">
        <v>25</v>
      </c>
      <c r="AF42" s="55">
        <f t="shared" si="8"/>
        <v>7950</v>
      </c>
      <c r="AG42" s="53">
        <v>395</v>
      </c>
      <c r="AH42" s="57">
        <v>7.5</v>
      </c>
      <c r="AI42" s="55">
        <f t="shared" si="9"/>
        <v>2962.5</v>
      </c>
      <c r="AJ42" s="53"/>
      <c r="AK42" s="56">
        <v>15</v>
      </c>
      <c r="AL42" s="55">
        <f t="shared" si="10"/>
        <v>0</v>
      </c>
      <c r="AM42" s="53">
        <v>147</v>
      </c>
      <c r="AN42" s="57">
        <v>10</v>
      </c>
      <c r="AO42" s="55">
        <f t="shared" si="42"/>
        <v>1470</v>
      </c>
      <c r="AP42" s="53">
        <f t="shared" si="12"/>
        <v>2713</v>
      </c>
      <c r="AQ42" s="53"/>
      <c r="AR42" s="61"/>
      <c r="AS42" s="53"/>
      <c r="AT42" s="53"/>
      <c r="AU42" s="55"/>
      <c r="AV42" s="53"/>
      <c r="AW42" s="53"/>
      <c r="AX42" s="66">
        <v>2043</v>
      </c>
      <c r="AY42" s="53"/>
      <c r="AZ42" s="68">
        <f t="shared" si="13"/>
        <v>0.33040343998988236</v>
      </c>
      <c r="BA42" s="68">
        <f t="shared" si="14"/>
        <v>0.17155684836221069</v>
      </c>
      <c r="BB42" s="68">
        <f t="shared" si="15"/>
        <v>0.39100478468899519</v>
      </c>
      <c r="BC42" s="55">
        <f t="shared" si="16"/>
        <v>816178</v>
      </c>
      <c r="BD42" s="55">
        <f t="shared" si="17"/>
        <v>798650</v>
      </c>
      <c r="BE42" s="55">
        <f t="shared" si="18"/>
        <v>816178</v>
      </c>
      <c r="BF42" s="55">
        <f t="shared" si="19"/>
        <v>819140.5</v>
      </c>
      <c r="BG42" s="62">
        <v>919274.5</v>
      </c>
      <c r="BH42" s="63">
        <v>623433.82999999996</v>
      </c>
      <c r="BI42" s="69">
        <f t="shared" si="20"/>
        <v>67.818027150758553</v>
      </c>
      <c r="BJ42" s="70">
        <f t="shared" si="21"/>
        <v>67959.5</v>
      </c>
      <c r="BK42" s="71">
        <f t="shared" si="22"/>
        <v>7.3927319859302093E-2</v>
      </c>
      <c r="BL42" s="72">
        <f t="shared" si="23"/>
        <v>6</v>
      </c>
      <c r="BM42" s="61">
        <f t="shared" si="24"/>
        <v>83162.5</v>
      </c>
      <c r="BN42" s="69">
        <f t="shared" si="25"/>
        <v>2.7479497369607695</v>
      </c>
      <c r="BO42" s="73">
        <f t="shared" si="26"/>
        <v>0</v>
      </c>
      <c r="BP42" s="69" t="e">
        <f t="shared" si="27"/>
        <v>#DIV/0!</v>
      </c>
      <c r="BQ42" s="61">
        <f t="shared" si="28"/>
        <v>10000</v>
      </c>
      <c r="BR42" s="69">
        <f t="shared" si="29"/>
        <v>22.852636999999998</v>
      </c>
      <c r="BS42" s="64">
        <f t="shared" si="30"/>
        <v>67404.37</v>
      </c>
      <c r="BT42" s="69">
        <f t="shared" si="31"/>
        <v>3.390379140106198</v>
      </c>
      <c r="BU42" s="65">
        <v>228526.37</v>
      </c>
      <c r="BV42" s="74">
        <f t="shared" si="32"/>
        <v>24.859426645686352</v>
      </c>
      <c r="BW42" s="75">
        <f t="shared" si="33"/>
        <v>67314.300000000047</v>
      </c>
      <c r="BX42" s="69">
        <f t="shared" si="34"/>
        <v>7.3225462035550901</v>
      </c>
      <c r="BY42" s="55">
        <v>22239</v>
      </c>
      <c r="BZ42" s="55">
        <v>20683</v>
      </c>
      <c r="CA42" s="55">
        <v>20717.5</v>
      </c>
      <c r="CB42" s="55">
        <v>4320</v>
      </c>
      <c r="CC42" s="64">
        <v>83162.5</v>
      </c>
      <c r="CD42" s="64"/>
      <c r="CE42" s="64">
        <v>10000</v>
      </c>
      <c r="CF42" s="76">
        <f t="shared" si="35"/>
        <v>2.4191903506515192E-2</v>
      </c>
      <c r="CG42" s="76">
        <f t="shared" si="36"/>
        <v>2.2499264365540433E-2</v>
      </c>
      <c r="CH42" s="76">
        <f t="shared" si="37"/>
        <v>2.2536793960889812E-2</v>
      </c>
      <c r="CI42" s="76">
        <f t="shared" si="38"/>
        <v>4.6993580263566537E-3</v>
      </c>
      <c r="CJ42" s="76">
        <f t="shared" si="39"/>
        <v>9.0465361543260472E-2</v>
      </c>
      <c r="CK42" s="63">
        <f t="shared" si="40"/>
        <v>13462.86000000001</v>
      </c>
    </row>
    <row r="43" spans="1:90" ht="18.75" customHeight="1" x14ac:dyDescent="0.3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9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80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81"/>
      <c r="BW43" s="78"/>
      <c r="BX43" s="78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78"/>
    </row>
    <row r="44" spans="1:90" ht="18.75" customHeight="1" x14ac:dyDescent="0.35">
      <c r="A44" s="383" t="s">
        <v>224</v>
      </c>
      <c r="B44" s="384"/>
      <c r="C44" s="387" t="s">
        <v>225</v>
      </c>
      <c r="D44" s="83"/>
      <c r="E44" s="83"/>
      <c r="F44" s="388" t="s">
        <v>226</v>
      </c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  <c r="AM44" s="389"/>
      <c r="AN44" s="389"/>
      <c r="AO44" s="389"/>
      <c r="AP44" s="389"/>
      <c r="AQ44" s="389"/>
      <c r="AR44" s="389"/>
      <c r="AS44" s="389"/>
      <c r="AT44" s="389"/>
      <c r="AU44" s="389"/>
      <c r="AV44" s="389"/>
      <c r="AW44" s="389"/>
      <c r="AX44" s="390"/>
      <c r="AY44" s="84"/>
      <c r="AZ44" s="391"/>
      <c r="BA44" s="391"/>
      <c r="BB44" s="391"/>
      <c r="BC44" s="392" t="s">
        <v>227</v>
      </c>
      <c r="BD44" s="392" t="s">
        <v>228</v>
      </c>
      <c r="BE44" s="392" t="s">
        <v>229</v>
      </c>
      <c r="BF44" s="392" t="s">
        <v>230</v>
      </c>
      <c r="BG44" s="398" t="s">
        <v>231</v>
      </c>
      <c r="BH44" s="400" t="s">
        <v>232</v>
      </c>
      <c r="BI44" s="85"/>
      <c r="BJ44" s="86"/>
      <c r="BK44" s="86"/>
      <c r="BL44" s="86"/>
      <c r="BM44" s="86"/>
      <c r="BN44" s="86"/>
      <c r="BO44" s="86"/>
      <c r="BP44" s="86"/>
      <c r="BQ44" s="86"/>
      <c r="BR44" s="86"/>
      <c r="BS44" s="402"/>
      <c r="BT44" s="87"/>
      <c r="BU44" s="403" t="s">
        <v>64</v>
      </c>
      <c r="BV44" s="88"/>
      <c r="BW44" s="395" t="s">
        <v>233</v>
      </c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396" t="s">
        <v>68</v>
      </c>
      <c r="CL44" s="89"/>
    </row>
    <row r="45" spans="1:90" ht="26.25" customHeight="1" x14ac:dyDescent="0.35">
      <c r="A45" s="385"/>
      <c r="B45" s="386"/>
      <c r="C45" s="377"/>
      <c r="D45" s="90"/>
      <c r="E45" s="90"/>
      <c r="F45" s="91" t="s">
        <v>234</v>
      </c>
      <c r="G45" s="92" t="s">
        <v>70</v>
      </c>
      <c r="H45" s="93" t="s">
        <v>71</v>
      </c>
      <c r="I45" s="91" t="s">
        <v>235</v>
      </c>
      <c r="J45" s="94" t="s">
        <v>70</v>
      </c>
      <c r="K45" s="95" t="s">
        <v>71</v>
      </c>
      <c r="L45" s="91" t="s">
        <v>73</v>
      </c>
      <c r="M45" s="94" t="s">
        <v>70</v>
      </c>
      <c r="N45" s="95" t="s">
        <v>71</v>
      </c>
      <c r="O45" s="96" t="s">
        <v>236</v>
      </c>
      <c r="P45" s="92" t="s">
        <v>70</v>
      </c>
      <c r="Q45" s="93" t="s">
        <v>71</v>
      </c>
      <c r="R45" s="96" t="s">
        <v>31</v>
      </c>
      <c r="S45" s="92" t="s">
        <v>70</v>
      </c>
      <c r="T45" s="93" t="s">
        <v>71</v>
      </c>
      <c r="U45" s="91" t="s">
        <v>237</v>
      </c>
      <c r="V45" s="92" t="s">
        <v>70</v>
      </c>
      <c r="W45" s="93" t="s">
        <v>71</v>
      </c>
      <c r="X45" s="91" t="s">
        <v>238</v>
      </c>
      <c r="Y45" s="92" t="s">
        <v>70</v>
      </c>
      <c r="Z45" s="93" t="s">
        <v>71</v>
      </c>
      <c r="AA45" s="91" t="s">
        <v>239</v>
      </c>
      <c r="AB45" s="92" t="s">
        <v>70</v>
      </c>
      <c r="AC45" s="93" t="s">
        <v>71</v>
      </c>
      <c r="AD45" s="91" t="s">
        <v>240</v>
      </c>
      <c r="AE45" s="92" t="s">
        <v>70</v>
      </c>
      <c r="AF45" s="93" t="s">
        <v>71</v>
      </c>
      <c r="AG45" s="97" t="s">
        <v>241</v>
      </c>
      <c r="AH45" s="92" t="s">
        <v>70</v>
      </c>
      <c r="AI45" s="98" t="s">
        <v>71</v>
      </c>
      <c r="AJ45" s="97" t="s">
        <v>82</v>
      </c>
      <c r="AK45" s="99" t="s">
        <v>70</v>
      </c>
      <c r="AL45" s="98" t="s">
        <v>71</v>
      </c>
      <c r="AM45" s="97" t="s">
        <v>83</v>
      </c>
      <c r="AN45" s="99" t="s">
        <v>70</v>
      </c>
      <c r="AO45" s="98" t="s">
        <v>71</v>
      </c>
      <c r="AP45" s="91" t="s">
        <v>242</v>
      </c>
      <c r="AQ45" s="91" t="s">
        <v>84</v>
      </c>
      <c r="AR45" s="94" t="s">
        <v>85</v>
      </c>
      <c r="AS45" s="95" t="s">
        <v>86</v>
      </c>
      <c r="AT45" s="91" t="s">
        <v>87</v>
      </c>
      <c r="AU45" s="94" t="s">
        <v>243</v>
      </c>
      <c r="AV45" s="95" t="s">
        <v>86</v>
      </c>
      <c r="AW45" s="95" t="s">
        <v>41</v>
      </c>
      <c r="AX45" s="91" t="s">
        <v>42</v>
      </c>
      <c r="AY45" s="100" t="s">
        <v>89</v>
      </c>
      <c r="AZ45" s="377"/>
      <c r="BA45" s="377"/>
      <c r="BB45" s="377"/>
      <c r="BC45" s="377"/>
      <c r="BD45" s="377"/>
      <c r="BE45" s="377"/>
      <c r="BF45" s="377"/>
      <c r="BG45" s="399"/>
      <c r="BH45" s="401"/>
      <c r="BI45" s="101"/>
      <c r="BJ45" s="90"/>
      <c r="BK45" s="90"/>
      <c r="BL45" s="90"/>
      <c r="BM45" s="90"/>
      <c r="BN45" s="90"/>
      <c r="BO45" s="90"/>
      <c r="BP45" s="90"/>
      <c r="BQ45" s="90"/>
      <c r="BR45" s="90"/>
      <c r="BS45" s="401"/>
      <c r="BT45" s="102"/>
      <c r="BU45" s="399"/>
      <c r="BV45" s="103"/>
      <c r="BW45" s="377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397"/>
      <c r="CL45" s="104"/>
    </row>
    <row r="46" spans="1:90" ht="18.75" customHeight="1" x14ac:dyDescent="0.35">
      <c r="A46" s="393">
        <f>SUM(B8:B42)</f>
        <v>148</v>
      </c>
      <c r="B46" s="394"/>
      <c r="C46" s="105"/>
      <c r="D46" s="106"/>
      <c r="E46" s="106"/>
      <c r="F46" s="107">
        <f>SUM(F8:F42)</f>
        <v>0</v>
      </c>
      <c r="G46" s="108">
        <v>40</v>
      </c>
      <c r="H46" s="107">
        <f>F46*G46</f>
        <v>0</v>
      </c>
      <c r="I46" s="107">
        <f>SUM(I8:I42)</f>
        <v>402962.08</v>
      </c>
      <c r="J46" s="109">
        <v>50</v>
      </c>
      <c r="K46" s="107">
        <f>J46*I46</f>
        <v>20148104</v>
      </c>
      <c r="L46" s="107">
        <f>SUM(L8:L42)</f>
        <v>0</v>
      </c>
      <c r="M46" s="108">
        <v>60</v>
      </c>
      <c r="N46" s="107">
        <f>M46*L46</f>
        <v>0</v>
      </c>
      <c r="O46" s="110">
        <f>SUM(O8:O42)</f>
        <v>205220</v>
      </c>
      <c r="P46" s="111">
        <v>12</v>
      </c>
      <c r="Q46" s="110">
        <f>O46*P46</f>
        <v>2462640</v>
      </c>
      <c r="R46" s="110">
        <f>SUM(R8:R42)</f>
        <v>75291</v>
      </c>
      <c r="S46" s="112">
        <v>12</v>
      </c>
      <c r="T46" s="110">
        <f>R46*S46</f>
        <v>903492</v>
      </c>
      <c r="U46" s="113">
        <f>SUM(U8:U42)</f>
        <v>28065</v>
      </c>
      <c r="V46" s="111">
        <v>8</v>
      </c>
      <c r="W46" s="110">
        <f>U46*V46</f>
        <v>224520</v>
      </c>
      <c r="X46" s="110">
        <f>SUM(X8:X42)</f>
        <v>17231</v>
      </c>
      <c r="Y46" s="111">
        <v>12</v>
      </c>
      <c r="Z46" s="110">
        <f>X46*Y46</f>
        <v>206772</v>
      </c>
      <c r="AA46" s="110">
        <f>SUM(AA8:AA42)</f>
        <v>33826</v>
      </c>
      <c r="AB46" s="111">
        <v>10</v>
      </c>
      <c r="AC46" s="110">
        <f>AA46*AB46</f>
        <v>338260</v>
      </c>
      <c r="AD46" s="110">
        <f>SUM(AD8:AD42)</f>
        <v>10038</v>
      </c>
      <c r="AE46" s="111">
        <v>25</v>
      </c>
      <c r="AF46" s="110">
        <f>AD46*AE46</f>
        <v>250950</v>
      </c>
      <c r="AG46" s="110">
        <f>SUM(AG8:AG42)</f>
        <v>11397</v>
      </c>
      <c r="AH46" s="111">
        <v>7.5</v>
      </c>
      <c r="AI46" s="110">
        <f>AG46*AH46</f>
        <v>85477.5</v>
      </c>
      <c r="AJ46" s="110">
        <f>SUM(AJ8:AJ42)</f>
        <v>0</v>
      </c>
      <c r="AK46" s="114">
        <v>15</v>
      </c>
      <c r="AL46" s="110">
        <f>AJ46*AK46</f>
        <v>0</v>
      </c>
      <c r="AM46" s="110">
        <f>SUM(AM8:AM42)</f>
        <v>8088</v>
      </c>
      <c r="AN46" s="111">
        <v>12</v>
      </c>
      <c r="AO46" s="110">
        <f>AM46*AN46</f>
        <v>97056</v>
      </c>
      <c r="AP46" s="110">
        <f>SUM(AM46,AG46,AD46,AA46,X46,U46,R46)</f>
        <v>183936</v>
      </c>
      <c r="AQ46" s="110">
        <f>SUM(AQ8:AQ42)</f>
        <v>0</v>
      </c>
      <c r="AR46" s="115">
        <v>4</v>
      </c>
      <c r="AS46" s="110">
        <f>SUM(AQ46*AR46)</f>
        <v>0</v>
      </c>
      <c r="AT46" s="110">
        <f>SUM(AT8:AT42)</f>
        <v>0</v>
      </c>
      <c r="AU46" s="116">
        <v>6</v>
      </c>
      <c r="AV46" s="110">
        <f>SUM(AT46*AU46)</f>
        <v>0</v>
      </c>
      <c r="AW46" s="110">
        <f>SUM(AW8:AW42)</f>
        <v>0</v>
      </c>
      <c r="AX46" s="110">
        <f>SUM(AS46+AV46+AW46)</f>
        <v>0</v>
      </c>
      <c r="AY46" s="107">
        <f>SUM(AY8:AY42)</f>
        <v>0</v>
      </c>
      <c r="AZ46" s="107"/>
      <c r="BA46" s="107"/>
      <c r="BB46" s="107"/>
      <c r="BC46" s="107">
        <f t="shared" ref="BC46:BH46" si="43">SUM(BC8:BC42)</f>
        <v>22072098</v>
      </c>
      <c r="BD46" s="107">
        <f t="shared" si="43"/>
        <v>21302546</v>
      </c>
      <c r="BE46" s="107">
        <f t="shared" si="43"/>
        <v>22072098</v>
      </c>
      <c r="BF46" s="107">
        <f t="shared" si="43"/>
        <v>22157575.5</v>
      </c>
      <c r="BG46" s="117">
        <f t="shared" si="43"/>
        <v>26142610</v>
      </c>
      <c r="BH46" s="118">
        <f t="shared" si="43"/>
        <v>17582748.929999996</v>
      </c>
      <c r="BI46" s="119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1"/>
      <c r="BU46" s="123">
        <f>SUM(BU8:BU45)</f>
        <v>6801706.4199999981</v>
      </c>
      <c r="BV46" s="124"/>
      <c r="BW46" s="125">
        <f>SUM(BW8:BW45)</f>
        <v>1758154.6500000004</v>
      </c>
      <c r="BX46" s="126"/>
      <c r="BY46" s="120"/>
      <c r="BZ46" s="120"/>
      <c r="CA46" s="120"/>
      <c r="CB46" s="120"/>
      <c r="CC46" s="120"/>
      <c r="CD46" s="120"/>
      <c r="CE46" s="120"/>
      <c r="CF46" s="120"/>
      <c r="CG46" s="120"/>
      <c r="CH46" s="120"/>
      <c r="CI46" s="120"/>
      <c r="CJ46" s="120"/>
      <c r="CK46" s="127">
        <f>SUM(CK8:CK42)</f>
        <v>351630.93000000005</v>
      </c>
      <c r="CL46" s="89"/>
    </row>
    <row r="47" spans="1:90" ht="15" customHeight="1" x14ac:dyDescent="0.35">
      <c r="A47" s="128"/>
      <c r="B47" s="128"/>
      <c r="C47" s="128"/>
      <c r="D47" s="128"/>
      <c r="E47" s="128"/>
      <c r="F47" s="129"/>
      <c r="G47" s="130"/>
      <c r="H47" s="129"/>
      <c r="I47" s="129"/>
      <c r="J47" s="129"/>
      <c r="K47" s="129"/>
      <c r="L47" s="129"/>
      <c r="M47" s="129"/>
      <c r="N47" s="129"/>
      <c r="O47" s="129"/>
      <c r="P47" s="130"/>
      <c r="Q47" s="129"/>
      <c r="R47" s="129"/>
      <c r="S47" s="131"/>
      <c r="T47" s="129"/>
      <c r="U47" s="132"/>
      <c r="V47" s="130"/>
      <c r="W47" s="129"/>
      <c r="X47" s="129"/>
      <c r="Y47" s="130"/>
      <c r="Z47" s="129"/>
      <c r="AA47" s="129"/>
      <c r="AB47" s="130"/>
      <c r="AC47" s="129"/>
      <c r="AD47" s="129"/>
      <c r="AE47" s="130"/>
      <c r="AF47" s="129"/>
      <c r="AG47" s="129"/>
      <c r="AH47" s="130"/>
      <c r="AI47" s="129"/>
      <c r="AJ47" s="129"/>
      <c r="AK47" s="133"/>
      <c r="AL47" s="129"/>
      <c r="AM47" s="129"/>
      <c r="AN47" s="130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5"/>
      <c r="BW47" s="137">
        <f>BW46*20%</f>
        <v>351630.93000000011</v>
      </c>
      <c r="BX47" s="138">
        <v>0.2</v>
      </c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78"/>
    </row>
    <row r="48" spans="1:90" ht="15" customHeight="1" x14ac:dyDescent="0.35">
      <c r="BV48" s="140"/>
      <c r="BY48" s="141"/>
      <c r="BZ48" s="141"/>
      <c r="CA48" s="141"/>
      <c r="CB48" s="141"/>
      <c r="CC48" s="141"/>
      <c r="CD48" s="141"/>
      <c r="CE48" s="141"/>
      <c r="CF48" s="141"/>
      <c r="CG48" s="141"/>
      <c r="CH48" s="141"/>
      <c r="CI48" s="141"/>
      <c r="CJ48" s="141"/>
      <c r="CK48" s="141"/>
    </row>
    <row r="49" spans="74:89" ht="15" customHeight="1" x14ac:dyDescent="0.35">
      <c r="BV49" s="140"/>
      <c r="BY49" s="141"/>
      <c r="BZ49" s="141"/>
      <c r="CA49" s="141"/>
      <c r="CB49" s="141"/>
      <c r="CC49" s="141"/>
      <c r="CD49" s="141"/>
      <c r="CE49" s="141"/>
      <c r="CF49" s="141"/>
      <c r="CG49" s="141"/>
      <c r="CH49" s="141"/>
      <c r="CI49" s="141"/>
      <c r="CJ49" s="141"/>
      <c r="CK49" s="141"/>
    </row>
    <row r="50" spans="74:89" ht="15" customHeight="1" x14ac:dyDescent="0.35">
      <c r="BV50" s="140"/>
      <c r="BY50" s="141"/>
      <c r="BZ50" s="141"/>
      <c r="CA50" s="141"/>
      <c r="CB50" s="141"/>
      <c r="CC50" s="141"/>
      <c r="CD50" s="141"/>
      <c r="CE50" s="141"/>
      <c r="CF50" s="141"/>
      <c r="CG50" s="141"/>
      <c r="CH50" s="141"/>
      <c r="CI50" s="141"/>
      <c r="CJ50" s="141"/>
      <c r="CK50" s="141"/>
    </row>
    <row r="51" spans="74:89" ht="15" customHeight="1" x14ac:dyDescent="0.35">
      <c r="BV51" s="140"/>
      <c r="BY51" s="141"/>
      <c r="BZ51" s="141"/>
      <c r="CA51" s="141"/>
      <c r="CB51" s="141"/>
      <c r="CC51" s="141"/>
      <c r="CD51" s="141"/>
      <c r="CE51" s="141"/>
      <c r="CF51" s="141"/>
      <c r="CG51" s="141"/>
      <c r="CH51" s="141"/>
      <c r="CI51" s="141"/>
      <c r="CJ51" s="141"/>
      <c r="CK51" s="141"/>
    </row>
    <row r="52" spans="74:89" ht="15" customHeight="1" x14ac:dyDescent="0.35">
      <c r="BV52" s="140"/>
      <c r="BY52" s="141"/>
      <c r="BZ52" s="141"/>
      <c r="CA52" s="141"/>
      <c r="CB52" s="141"/>
      <c r="CC52" s="141"/>
      <c r="CD52" s="141"/>
      <c r="CE52" s="141"/>
      <c r="CF52" s="141"/>
      <c r="CG52" s="141"/>
      <c r="CH52" s="141"/>
      <c r="CI52" s="141"/>
      <c r="CJ52" s="141"/>
      <c r="CK52" s="141"/>
    </row>
    <row r="53" spans="74:89" ht="15" customHeight="1" x14ac:dyDescent="0.35">
      <c r="BV53" s="140"/>
      <c r="BY53" s="141"/>
      <c r="BZ53" s="141"/>
      <c r="CA53" s="141"/>
      <c r="CB53" s="141"/>
      <c r="CC53" s="141"/>
      <c r="CD53" s="141"/>
      <c r="CE53" s="141"/>
      <c r="CF53" s="141"/>
      <c r="CG53" s="141"/>
      <c r="CH53" s="141"/>
      <c r="CI53" s="141"/>
      <c r="CJ53" s="141"/>
      <c r="CK53" s="141"/>
    </row>
    <row r="54" spans="74:89" ht="15" customHeight="1" x14ac:dyDescent="0.35">
      <c r="BV54" s="140"/>
      <c r="BY54" s="141"/>
      <c r="BZ54" s="141"/>
      <c r="CA54" s="141"/>
      <c r="CB54" s="141"/>
      <c r="CC54" s="141"/>
      <c r="CD54" s="141"/>
      <c r="CE54" s="141"/>
      <c r="CF54" s="141"/>
      <c r="CG54" s="141"/>
      <c r="CH54" s="141"/>
      <c r="CI54" s="141"/>
      <c r="CJ54" s="141"/>
      <c r="CK54" s="141"/>
    </row>
    <row r="55" spans="74:89" ht="15" customHeight="1" x14ac:dyDescent="0.35">
      <c r="BV55" s="140"/>
      <c r="BY55" s="141"/>
      <c r="BZ55" s="141"/>
      <c r="CA55" s="141"/>
      <c r="CB55" s="141"/>
      <c r="CC55" s="141"/>
      <c r="CD55" s="141"/>
      <c r="CE55" s="141"/>
      <c r="CF55" s="141"/>
      <c r="CG55" s="141"/>
      <c r="CH55" s="141"/>
      <c r="CI55" s="141"/>
      <c r="CJ55" s="141"/>
      <c r="CK55" s="141"/>
    </row>
    <row r="56" spans="74:89" ht="15" customHeight="1" x14ac:dyDescent="0.35">
      <c r="BV56" s="140"/>
      <c r="BY56" s="141"/>
      <c r="BZ56" s="141"/>
      <c r="CA56" s="141"/>
      <c r="CB56" s="141"/>
      <c r="CC56" s="141"/>
      <c r="CD56" s="141"/>
      <c r="CE56" s="141"/>
      <c r="CF56" s="141"/>
      <c r="CG56" s="141"/>
      <c r="CH56" s="141"/>
      <c r="CI56" s="141"/>
      <c r="CJ56" s="141"/>
      <c r="CK56" s="141"/>
    </row>
    <row r="57" spans="74:89" ht="15" customHeight="1" x14ac:dyDescent="0.35">
      <c r="BV57" s="140"/>
      <c r="BY57" s="141"/>
      <c r="BZ57" s="141"/>
      <c r="CA57" s="141"/>
      <c r="CB57" s="141"/>
      <c r="CC57" s="141"/>
      <c r="CD57" s="141"/>
      <c r="CE57" s="141"/>
      <c r="CF57" s="141"/>
      <c r="CG57" s="141"/>
      <c r="CH57" s="141"/>
      <c r="CI57" s="141"/>
      <c r="CJ57" s="141"/>
      <c r="CK57" s="141"/>
    </row>
    <row r="58" spans="74:89" ht="15" customHeight="1" x14ac:dyDescent="0.35">
      <c r="BV58" s="140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</row>
    <row r="59" spans="74:89" ht="15" customHeight="1" x14ac:dyDescent="0.35">
      <c r="BV59" s="140"/>
      <c r="BY59" s="141"/>
      <c r="BZ59" s="141"/>
      <c r="CA59" s="141"/>
      <c r="CB59" s="141"/>
      <c r="CC59" s="141"/>
      <c r="CD59" s="141"/>
      <c r="CE59" s="141"/>
      <c r="CF59" s="141"/>
      <c r="CG59" s="141"/>
      <c r="CH59" s="141"/>
      <c r="CI59" s="141"/>
      <c r="CJ59" s="141"/>
      <c r="CK59" s="141"/>
    </row>
    <row r="60" spans="74:89" ht="15" customHeight="1" x14ac:dyDescent="0.35">
      <c r="BV60" s="140"/>
      <c r="BY60" s="141"/>
      <c r="BZ60" s="141"/>
      <c r="CA60" s="141"/>
      <c r="CB60" s="141"/>
      <c r="CC60" s="141"/>
      <c r="CD60" s="141"/>
      <c r="CE60" s="141"/>
      <c r="CF60" s="141"/>
      <c r="CG60" s="141"/>
      <c r="CH60" s="141"/>
      <c r="CI60" s="141"/>
      <c r="CJ60" s="141"/>
      <c r="CK60" s="141"/>
    </row>
    <row r="61" spans="74:89" ht="15" customHeight="1" x14ac:dyDescent="0.35">
      <c r="BV61" s="140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</row>
    <row r="62" spans="74:89" ht="15" customHeight="1" x14ac:dyDescent="0.35">
      <c r="BV62" s="140"/>
      <c r="BY62" s="141"/>
      <c r="BZ62" s="141"/>
      <c r="CA62" s="141"/>
      <c r="CB62" s="141"/>
      <c r="CC62" s="141"/>
      <c r="CD62" s="141"/>
      <c r="CE62" s="141"/>
      <c r="CF62" s="141"/>
      <c r="CG62" s="141"/>
      <c r="CH62" s="141"/>
      <c r="CI62" s="141"/>
      <c r="CJ62" s="141"/>
      <c r="CK62" s="141"/>
    </row>
    <row r="63" spans="74:89" ht="15" customHeight="1" x14ac:dyDescent="0.35">
      <c r="BV63" s="140"/>
      <c r="BY63" s="141"/>
      <c r="BZ63" s="141"/>
      <c r="CA63" s="141"/>
      <c r="CB63" s="141"/>
      <c r="CC63" s="141"/>
      <c r="CD63" s="141"/>
      <c r="CE63" s="141"/>
      <c r="CF63" s="141"/>
      <c r="CG63" s="141"/>
      <c r="CH63" s="141"/>
      <c r="CI63" s="141"/>
      <c r="CJ63" s="141"/>
      <c r="CK63" s="141"/>
    </row>
    <row r="64" spans="74:89" ht="15" customHeight="1" x14ac:dyDescent="0.35">
      <c r="BV64" s="140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</row>
    <row r="65" spans="74:89" ht="15" customHeight="1" x14ac:dyDescent="0.35">
      <c r="BV65" s="140"/>
      <c r="BY65" s="141"/>
      <c r="BZ65" s="141"/>
      <c r="CA65" s="141"/>
      <c r="CB65" s="141"/>
      <c r="CC65" s="141"/>
      <c r="CD65" s="141"/>
      <c r="CE65" s="141"/>
      <c r="CF65" s="141"/>
      <c r="CG65" s="141"/>
      <c r="CH65" s="141"/>
      <c r="CI65" s="141"/>
      <c r="CJ65" s="141"/>
      <c r="CK65" s="141"/>
    </row>
    <row r="66" spans="74:89" ht="15" customHeight="1" x14ac:dyDescent="0.35">
      <c r="BV66" s="140"/>
      <c r="BY66" s="141"/>
      <c r="BZ66" s="141"/>
      <c r="CA66" s="141"/>
      <c r="CB66" s="141"/>
      <c r="CC66" s="141"/>
      <c r="CD66" s="141"/>
      <c r="CE66" s="141"/>
      <c r="CF66" s="141"/>
      <c r="CG66" s="141"/>
      <c r="CH66" s="141"/>
      <c r="CI66" s="141"/>
      <c r="CJ66" s="141"/>
      <c r="CK66" s="141"/>
    </row>
    <row r="67" spans="74:89" ht="15" customHeight="1" x14ac:dyDescent="0.35">
      <c r="BV67" s="140"/>
      <c r="BY67" s="141"/>
      <c r="BZ67" s="141"/>
      <c r="CA67" s="141"/>
      <c r="CB67" s="141"/>
      <c r="CC67" s="141"/>
      <c r="CD67" s="141"/>
      <c r="CE67" s="141"/>
      <c r="CF67" s="141"/>
      <c r="CG67" s="141"/>
      <c r="CH67" s="141"/>
      <c r="CI67" s="141"/>
      <c r="CJ67" s="141"/>
      <c r="CK67" s="141"/>
    </row>
    <row r="68" spans="74:89" ht="15" customHeight="1" x14ac:dyDescent="0.35">
      <c r="BV68" s="140"/>
      <c r="BY68" s="141"/>
      <c r="BZ68" s="141"/>
      <c r="CA68" s="141"/>
      <c r="CB68" s="141"/>
      <c r="CC68" s="141"/>
      <c r="CD68" s="141"/>
      <c r="CE68" s="141"/>
      <c r="CF68" s="141"/>
      <c r="CG68" s="141"/>
      <c r="CH68" s="141"/>
      <c r="CI68" s="141"/>
      <c r="CJ68" s="141"/>
      <c r="CK68" s="141"/>
    </row>
    <row r="69" spans="74:89" ht="15" customHeight="1" x14ac:dyDescent="0.35">
      <c r="BV69" s="140"/>
      <c r="BY69" s="141"/>
      <c r="BZ69" s="141"/>
      <c r="CA69" s="141"/>
      <c r="CB69" s="141"/>
      <c r="CC69" s="141"/>
      <c r="CD69" s="141"/>
      <c r="CE69" s="141"/>
      <c r="CF69" s="141"/>
      <c r="CG69" s="141"/>
      <c r="CH69" s="141"/>
      <c r="CI69" s="141"/>
      <c r="CJ69" s="141"/>
      <c r="CK69" s="141"/>
    </row>
    <row r="70" spans="74:89" ht="15" customHeight="1" x14ac:dyDescent="0.35">
      <c r="BV70" s="140"/>
      <c r="BY70" s="141"/>
      <c r="BZ70" s="141"/>
      <c r="CA70" s="141"/>
      <c r="CB70" s="141"/>
      <c r="CC70" s="141"/>
      <c r="CD70" s="141"/>
      <c r="CE70" s="141"/>
      <c r="CF70" s="141"/>
      <c r="CG70" s="141"/>
      <c r="CH70" s="141"/>
      <c r="CI70" s="141"/>
      <c r="CJ70" s="141"/>
      <c r="CK70" s="141"/>
    </row>
    <row r="71" spans="74:89" ht="15" customHeight="1" x14ac:dyDescent="0.35">
      <c r="BV71" s="140"/>
      <c r="BY71" s="141"/>
      <c r="BZ71" s="141"/>
      <c r="CA71" s="141"/>
      <c r="CB71" s="141"/>
      <c r="CC71" s="141"/>
      <c r="CD71" s="141"/>
      <c r="CE71" s="141"/>
      <c r="CF71" s="141"/>
      <c r="CG71" s="141"/>
      <c r="CH71" s="141"/>
      <c r="CI71" s="141"/>
      <c r="CJ71" s="141"/>
      <c r="CK71" s="141"/>
    </row>
    <row r="72" spans="74:89" ht="15" customHeight="1" x14ac:dyDescent="0.35">
      <c r="BV72" s="140"/>
      <c r="BY72" s="141"/>
      <c r="BZ72" s="141"/>
      <c r="CA72" s="141"/>
      <c r="CB72" s="141"/>
      <c r="CC72" s="141"/>
      <c r="CD72" s="141"/>
      <c r="CE72" s="141"/>
      <c r="CF72" s="141"/>
      <c r="CG72" s="141"/>
      <c r="CH72" s="141"/>
      <c r="CI72" s="141"/>
      <c r="CJ72" s="141"/>
      <c r="CK72" s="141"/>
    </row>
    <row r="73" spans="74:89" ht="15" customHeight="1" x14ac:dyDescent="0.35">
      <c r="BV73" s="140"/>
      <c r="BY73" s="141"/>
      <c r="BZ73" s="141"/>
      <c r="CA73" s="141"/>
      <c r="CB73" s="141"/>
      <c r="CC73" s="141"/>
      <c r="CD73" s="141"/>
      <c r="CE73" s="141"/>
      <c r="CF73" s="141"/>
      <c r="CG73" s="141"/>
      <c r="CH73" s="141"/>
      <c r="CI73" s="141"/>
      <c r="CJ73" s="141"/>
      <c r="CK73" s="141"/>
    </row>
    <row r="74" spans="74:89" ht="15" customHeight="1" x14ac:dyDescent="0.35">
      <c r="BV74" s="140"/>
      <c r="BY74" s="141"/>
      <c r="BZ74" s="141"/>
      <c r="CA74" s="141"/>
      <c r="CB74" s="141"/>
      <c r="CC74" s="141"/>
      <c r="CD74" s="141"/>
      <c r="CE74" s="141"/>
      <c r="CF74" s="141"/>
      <c r="CG74" s="141"/>
      <c r="CH74" s="141"/>
      <c r="CI74" s="141"/>
      <c r="CJ74" s="141"/>
      <c r="CK74" s="141"/>
    </row>
    <row r="75" spans="74:89" ht="15" customHeight="1" x14ac:dyDescent="0.35">
      <c r="BV75" s="140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/>
      <c r="CK75" s="141"/>
    </row>
    <row r="76" spans="74:89" ht="15" customHeight="1" x14ac:dyDescent="0.35">
      <c r="BV76" s="140"/>
      <c r="BY76" s="141"/>
      <c r="BZ76" s="141"/>
      <c r="CA76" s="141"/>
      <c r="CB76" s="141"/>
      <c r="CC76" s="141"/>
      <c r="CD76" s="141"/>
      <c r="CE76" s="141"/>
      <c r="CF76" s="141"/>
      <c r="CG76" s="141"/>
      <c r="CH76" s="141"/>
      <c r="CI76" s="141"/>
      <c r="CJ76" s="141"/>
      <c r="CK76" s="141"/>
    </row>
    <row r="77" spans="74:89" ht="15" customHeight="1" x14ac:dyDescent="0.35">
      <c r="BV77" s="140"/>
      <c r="BY77" s="141"/>
      <c r="BZ77" s="141"/>
      <c r="CA77" s="141"/>
      <c r="CB77" s="141"/>
      <c r="CC77" s="141"/>
      <c r="CD77" s="141"/>
      <c r="CE77" s="141"/>
      <c r="CF77" s="141"/>
      <c r="CG77" s="141"/>
      <c r="CH77" s="141"/>
      <c r="CI77" s="141"/>
      <c r="CJ77" s="141"/>
      <c r="CK77" s="141"/>
    </row>
    <row r="78" spans="74:89" ht="15" customHeight="1" x14ac:dyDescent="0.35">
      <c r="BV78" s="140"/>
      <c r="BY78" s="141"/>
      <c r="BZ78" s="141"/>
      <c r="CA78" s="141"/>
      <c r="CB78" s="141"/>
      <c r="CC78" s="141"/>
      <c r="CD78" s="141"/>
      <c r="CE78" s="141"/>
      <c r="CF78" s="141"/>
      <c r="CG78" s="141"/>
      <c r="CH78" s="141"/>
      <c r="CI78" s="141"/>
      <c r="CJ78" s="141"/>
      <c r="CK78" s="141"/>
    </row>
    <row r="79" spans="74:89" ht="15" customHeight="1" x14ac:dyDescent="0.35">
      <c r="BV79" s="140"/>
      <c r="BY79" s="141"/>
      <c r="BZ79" s="141"/>
      <c r="CA79" s="141"/>
      <c r="CB79" s="141"/>
      <c r="CC79" s="141"/>
      <c r="CD79" s="141"/>
      <c r="CE79" s="141"/>
      <c r="CF79" s="141"/>
      <c r="CG79" s="141"/>
      <c r="CH79" s="141"/>
      <c r="CI79" s="141"/>
      <c r="CJ79" s="141"/>
      <c r="CK79" s="141"/>
    </row>
    <row r="80" spans="74:89" ht="15" customHeight="1" x14ac:dyDescent="0.35">
      <c r="BV80" s="140"/>
      <c r="BY80" s="141"/>
      <c r="BZ80" s="141"/>
      <c r="CA80" s="141"/>
      <c r="CB80" s="141"/>
      <c r="CC80" s="141"/>
      <c r="CD80" s="141"/>
      <c r="CE80" s="141"/>
      <c r="CF80" s="141"/>
      <c r="CG80" s="141"/>
      <c r="CH80" s="141"/>
      <c r="CI80" s="141"/>
      <c r="CJ80" s="141"/>
      <c r="CK80" s="141"/>
    </row>
    <row r="81" spans="74:89" ht="15" customHeight="1" x14ac:dyDescent="0.35">
      <c r="BV81" s="140"/>
      <c r="BY81" s="141"/>
      <c r="BZ81" s="141"/>
      <c r="CA81" s="141"/>
      <c r="CB81" s="141"/>
      <c r="CC81" s="141"/>
      <c r="CD81" s="141"/>
      <c r="CE81" s="141"/>
      <c r="CF81" s="141"/>
      <c r="CG81" s="141"/>
      <c r="CH81" s="141"/>
      <c r="CI81" s="141"/>
      <c r="CJ81" s="141"/>
      <c r="CK81" s="141"/>
    </row>
    <row r="82" spans="74:89" ht="15" customHeight="1" x14ac:dyDescent="0.35">
      <c r="BV82" s="140"/>
      <c r="BY82" s="141"/>
      <c r="BZ82" s="141"/>
      <c r="CA82" s="141"/>
      <c r="CB82" s="141"/>
      <c r="CC82" s="141"/>
      <c r="CD82" s="141"/>
      <c r="CE82" s="141"/>
      <c r="CF82" s="141"/>
      <c r="CG82" s="141"/>
      <c r="CH82" s="141"/>
      <c r="CI82" s="141"/>
      <c r="CJ82" s="141"/>
      <c r="CK82" s="141"/>
    </row>
    <row r="83" spans="74:89" ht="15" customHeight="1" x14ac:dyDescent="0.35">
      <c r="BV83" s="140"/>
      <c r="BY83" s="141"/>
      <c r="BZ83" s="141"/>
      <c r="CA83" s="141"/>
      <c r="CB83" s="141"/>
      <c r="CC83" s="141"/>
      <c r="CD83" s="141"/>
      <c r="CE83" s="141"/>
      <c r="CF83" s="141"/>
      <c r="CG83" s="141"/>
      <c r="CH83" s="141"/>
      <c r="CI83" s="141"/>
      <c r="CJ83" s="141"/>
      <c r="CK83" s="141"/>
    </row>
    <row r="84" spans="74:89" ht="15" customHeight="1" x14ac:dyDescent="0.35">
      <c r="BV84" s="140"/>
      <c r="BY84" s="141"/>
      <c r="BZ84" s="141"/>
      <c r="CA84" s="141"/>
      <c r="CB84" s="141"/>
      <c r="CC84" s="141"/>
      <c r="CD84" s="141"/>
      <c r="CE84" s="141"/>
      <c r="CF84" s="141"/>
      <c r="CG84" s="141"/>
      <c r="CH84" s="141"/>
      <c r="CI84" s="141"/>
      <c r="CJ84" s="141"/>
      <c r="CK84" s="141"/>
    </row>
    <row r="85" spans="74:89" ht="15" customHeight="1" x14ac:dyDescent="0.35">
      <c r="BV85" s="140"/>
      <c r="BY85" s="141"/>
      <c r="BZ85" s="141"/>
      <c r="CA85" s="141"/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</row>
    <row r="86" spans="74:89" ht="15" customHeight="1" x14ac:dyDescent="0.35">
      <c r="BV86" s="140"/>
      <c r="BY86" s="141"/>
      <c r="BZ86" s="141"/>
      <c r="CA86" s="141"/>
      <c r="CB86" s="141"/>
      <c r="CC86" s="141"/>
      <c r="CD86" s="141"/>
      <c r="CE86" s="141"/>
      <c r="CF86" s="141"/>
      <c r="CG86" s="141"/>
      <c r="CH86" s="141"/>
      <c r="CI86" s="141"/>
      <c r="CJ86" s="141"/>
      <c r="CK86" s="141"/>
    </row>
    <row r="87" spans="74:89" ht="15" customHeight="1" x14ac:dyDescent="0.35">
      <c r="BV87" s="140"/>
      <c r="BY87" s="141"/>
      <c r="BZ87" s="141"/>
      <c r="CA87" s="141"/>
      <c r="CB87" s="141"/>
      <c r="CC87" s="141"/>
      <c r="CD87" s="141"/>
      <c r="CE87" s="141"/>
      <c r="CF87" s="141"/>
      <c r="CG87" s="141"/>
      <c r="CH87" s="141"/>
      <c r="CI87" s="141"/>
      <c r="CJ87" s="141"/>
      <c r="CK87" s="141"/>
    </row>
    <row r="88" spans="74:89" ht="15" customHeight="1" x14ac:dyDescent="0.35">
      <c r="BV88" s="140"/>
      <c r="BY88" s="141"/>
      <c r="BZ88" s="141"/>
      <c r="CA88" s="141"/>
      <c r="CB88" s="141"/>
      <c r="CC88" s="141"/>
      <c r="CD88" s="141"/>
      <c r="CE88" s="141"/>
      <c r="CF88" s="141"/>
      <c r="CG88" s="141"/>
      <c r="CH88" s="141"/>
      <c r="CI88" s="141"/>
      <c r="CJ88" s="141"/>
      <c r="CK88" s="141"/>
    </row>
    <row r="89" spans="74:89" ht="15" customHeight="1" x14ac:dyDescent="0.35">
      <c r="BV89" s="140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</row>
    <row r="90" spans="74:89" ht="15" customHeight="1" x14ac:dyDescent="0.35">
      <c r="BV90" s="140"/>
      <c r="BY90" s="141"/>
      <c r="BZ90" s="141"/>
      <c r="CA90" s="141"/>
      <c r="CB90" s="141"/>
      <c r="CC90" s="141"/>
      <c r="CD90" s="141"/>
      <c r="CE90" s="141"/>
      <c r="CF90" s="141"/>
      <c r="CG90" s="141"/>
      <c r="CH90" s="141"/>
      <c r="CI90" s="141"/>
      <c r="CJ90" s="141"/>
      <c r="CK90" s="141"/>
    </row>
    <row r="91" spans="74:89" ht="15" customHeight="1" x14ac:dyDescent="0.35">
      <c r="BV91" s="140"/>
      <c r="BY91" s="141"/>
      <c r="BZ91" s="141"/>
      <c r="CA91" s="141"/>
      <c r="CB91" s="141"/>
      <c r="CC91" s="141"/>
      <c r="CD91" s="141"/>
      <c r="CE91" s="141"/>
      <c r="CF91" s="141"/>
      <c r="CG91" s="141"/>
      <c r="CH91" s="141"/>
      <c r="CI91" s="141"/>
      <c r="CJ91" s="141"/>
      <c r="CK91" s="141"/>
    </row>
    <row r="92" spans="74:89" ht="15" customHeight="1" x14ac:dyDescent="0.35">
      <c r="BV92" s="140"/>
      <c r="BY92" s="141"/>
      <c r="BZ92" s="141"/>
      <c r="CA92" s="141"/>
      <c r="CB92" s="141"/>
      <c r="CC92" s="141"/>
      <c r="CD92" s="141"/>
      <c r="CE92" s="141"/>
      <c r="CF92" s="141"/>
      <c r="CG92" s="141"/>
      <c r="CH92" s="141"/>
      <c r="CI92" s="141"/>
      <c r="CJ92" s="141"/>
      <c r="CK92" s="141"/>
    </row>
    <row r="93" spans="74:89" ht="15" customHeight="1" x14ac:dyDescent="0.35">
      <c r="BV93" s="140"/>
      <c r="BY93" s="141"/>
      <c r="BZ93" s="141"/>
      <c r="CA93" s="141"/>
      <c r="CB93" s="141"/>
      <c r="CC93" s="141"/>
      <c r="CD93" s="141"/>
      <c r="CE93" s="141"/>
      <c r="CF93" s="141"/>
      <c r="CG93" s="141"/>
      <c r="CH93" s="141"/>
      <c r="CI93" s="141"/>
      <c r="CJ93" s="141"/>
      <c r="CK93" s="141"/>
    </row>
    <row r="94" spans="74:89" ht="15" customHeight="1" x14ac:dyDescent="0.35">
      <c r="BV94" s="140"/>
      <c r="BY94" s="141"/>
      <c r="BZ94" s="141"/>
      <c r="CA94" s="141"/>
      <c r="CB94" s="141"/>
      <c r="CC94" s="141"/>
      <c r="CD94" s="141"/>
      <c r="CE94" s="141"/>
      <c r="CF94" s="141"/>
      <c r="CG94" s="141"/>
      <c r="CH94" s="141"/>
      <c r="CI94" s="141"/>
      <c r="CJ94" s="141"/>
      <c r="CK94" s="141"/>
    </row>
    <row r="95" spans="74:89" ht="15" customHeight="1" x14ac:dyDescent="0.35">
      <c r="BV95" s="140"/>
      <c r="BY95" s="141"/>
      <c r="BZ95" s="141"/>
      <c r="CA95" s="141"/>
      <c r="CB95" s="141"/>
      <c r="CC95" s="141"/>
      <c r="CD95" s="141"/>
      <c r="CE95" s="141"/>
      <c r="CF95" s="141"/>
      <c r="CG95" s="141"/>
      <c r="CH95" s="141"/>
      <c r="CI95" s="141"/>
      <c r="CJ95" s="141"/>
      <c r="CK95" s="141"/>
    </row>
    <row r="96" spans="74:89" ht="15" customHeight="1" x14ac:dyDescent="0.35">
      <c r="BV96" s="140"/>
      <c r="BY96" s="141"/>
      <c r="BZ96" s="141"/>
      <c r="CA96" s="141"/>
      <c r="CB96" s="141"/>
      <c r="CC96" s="141"/>
      <c r="CD96" s="141"/>
      <c r="CE96" s="141"/>
      <c r="CF96" s="141"/>
      <c r="CG96" s="141"/>
      <c r="CH96" s="141"/>
      <c r="CI96" s="141"/>
      <c r="CJ96" s="141"/>
      <c r="CK96" s="141"/>
    </row>
    <row r="97" spans="74:89" ht="15" customHeight="1" x14ac:dyDescent="0.35">
      <c r="BV97" s="140"/>
      <c r="BY97" s="141"/>
      <c r="BZ97" s="141"/>
      <c r="CA97" s="141"/>
      <c r="CB97" s="141"/>
      <c r="CC97" s="141"/>
      <c r="CD97" s="141"/>
      <c r="CE97" s="141"/>
      <c r="CF97" s="141"/>
      <c r="CG97" s="141"/>
      <c r="CH97" s="141"/>
      <c r="CI97" s="141"/>
      <c r="CJ97" s="141"/>
      <c r="CK97" s="141"/>
    </row>
    <row r="98" spans="74:89" ht="15" customHeight="1" x14ac:dyDescent="0.35">
      <c r="BV98" s="140"/>
      <c r="BY98" s="141"/>
      <c r="BZ98" s="141"/>
      <c r="CA98" s="141"/>
      <c r="CB98" s="141"/>
      <c r="CC98" s="141"/>
      <c r="CD98" s="141"/>
      <c r="CE98" s="141"/>
      <c r="CF98" s="141"/>
      <c r="CG98" s="141"/>
      <c r="CH98" s="141"/>
      <c r="CI98" s="141"/>
      <c r="CJ98" s="141"/>
      <c r="CK98" s="141"/>
    </row>
    <row r="99" spans="74:89" ht="15" customHeight="1" x14ac:dyDescent="0.35">
      <c r="BV99" s="140"/>
      <c r="BY99" s="141"/>
      <c r="BZ99" s="141"/>
      <c r="CA99" s="141"/>
      <c r="CB99" s="141"/>
      <c r="CC99" s="141"/>
      <c r="CD99" s="141"/>
      <c r="CE99" s="141"/>
      <c r="CF99" s="141"/>
      <c r="CG99" s="141"/>
      <c r="CH99" s="141"/>
      <c r="CI99" s="141"/>
      <c r="CJ99" s="141"/>
      <c r="CK99" s="141"/>
    </row>
    <row r="100" spans="74:89" ht="15" customHeight="1" x14ac:dyDescent="0.35">
      <c r="BV100" s="140"/>
      <c r="BY100" s="141"/>
      <c r="BZ100" s="141"/>
      <c r="CA100" s="141"/>
      <c r="CB100" s="141"/>
      <c r="CC100" s="141"/>
      <c r="CD100" s="141"/>
      <c r="CE100" s="141"/>
      <c r="CF100" s="141"/>
      <c r="CG100" s="141"/>
      <c r="CH100" s="141"/>
      <c r="CI100" s="141"/>
      <c r="CJ100" s="141"/>
      <c r="CK100" s="141"/>
    </row>
    <row r="101" spans="74:89" ht="15" customHeight="1" x14ac:dyDescent="0.35">
      <c r="BV101" s="140"/>
      <c r="BY101" s="141"/>
      <c r="BZ101" s="141"/>
      <c r="CA101" s="141"/>
      <c r="CB101" s="141"/>
      <c r="CC101" s="141"/>
      <c r="CD101" s="141"/>
      <c r="CE101" s="141"/>
      <c r="CF101" s="141"/>
      <c r="CG101" s="141"/>
      <c r="CH101" s="141"/>
      <c r="CI101" s="141"/>
      <c r="CJ101" s="141"/>
      <c r="CK101" s="141"/>
    </row>
    <row r="102" spans="74:89" ht="15" customHeight="1" x14ac:dyDescent="0.35">
      <c r="BV102" s="140"/>
      <c r="BY102" s="141"/>
      <c r="BZ102" s="141"/>
      <c r="CA102" s="141"/>
      <c r="CB102" s="141"/>
      <c r="CC102" s="141"/>
      <c r="CD102" s="141"/>
      <c r="CE102" s="141"/>
      <c r="CF102" s="141"/>
      <c r="CG102" s="141"/>
      <c r="CH102" s="141"/>
      <c r="CI102" s="141"/>
      <c r="CJ102" s="141"/>
      <c r="CK102" s="141"/>
    </row>
    <row r="103" spans="74:89" ht="15" customHeight="1" x14ac:dyDescent="0.35">
      <c r="BV103" s="140"/>
      <c r="BY103" s="141"/>
      <c r="BZ103" s="141"/>
      <c r="CA103" s="141"/>
      <c r="CB103" s="141"/>
      <c r="CC103" s="141"/>
      <c r="CD103" s="141"/>
      <c r="CE103" s="141"/>
      <c r="CF103" s="141"/>
      <c r="CG103" s="141"/>
      <c r="CH103" s="141"/>
      <c r="CI103" s="141"/>
      <c r="CJ103" s="141"/>
      <c r="CK103" s="141"/>
    </row>
    <row r="104" spans="74:89" ht="15" customHeight="1" x14ac:dyDescent="0.35">
      <c r="BV104" s="140"/>
      <c r="BY104" s="141"/>
      <c r="BZ104" s="141"/>
      <c r="CA104" s="141"/>
      <c r="CB104" s="141"/>
      <c r="CC104" s="141"/>
      <c r="CD104" s="141"/>
      <c r="CE104" s="141"/>
      <c r="CF104" s="141"/>
      <c r="CG104" s="141"/>
      <c r="CH104" s="141"/>
      <c r="CI104" s="141"/>
      <c r="CJ104" s="141"/>
      <c r="CK104" s="141"/>
    </row>
    <row r="105" spans="74:89" ht="15" customHeight="1" x14ac:dyDescent="0.35">
      <c r="BV105" s="140"/>
      <c r="BY105" s="141"/>
      <c r="BZ105" s="141"/>
      <c r="CA105" s="141"/>
      <c r="CB105" s="141"/>
      <c r="CC105" s="141"/>
      <c r="CD105" s="141"/>
      <c r="CE105" s="141"/>
      <c r="CF105" s="141"/>
      <c r="CG105" s="141"/>
      <c r="CH105" s="141"/>
      <c r="CI105" s="141"/>
      <c r="CJ105" s="141"/>
      <c r="CK105" s="141"/>
    </row>
    <row r="106" spans="74:89" ht="15" customHeight="1" x14ac:dyDescent="0.35">
      <c r="BV106" s="140"/>
      <c r="BY106" s="141"/>
      <c r="BZ106" s="141"/>
      <c r="CA106" s="141"/>
      <c r="CB106" s="141"/>
      <c r="CC106" s="141"/>
      <c r="CD106" s="141"/>
      <c r="CE106" s="141"/>
      <c r="CF106" s="141"/>
      <c r="CG106" s="141"/>
      <c r="CH106" s="141"/>
      <c r="CI106" s="141"/>
      <c r="CJ106" s="141"/>
      <c r="CK106" s="141"/>
    </row>
    <row r="107" spans="74:89" ht="15" customHeight="1" x14ac:dyDescent="0.35">
      <c r="BV107" s="140"/>
      <c r="BY107" s="141"/>
      <c r="BZ107" s="141"/>
      <c r="CA107" s="141"/>
      <c r="CB107" s="141"/>
      <c r="CC107" s="141"/>
      <c r="CD107" s="141"/>
      <c r="CE107" s="141"/>
      <c r="CF107" s="141"/>
      <c r="CG107" s="141"/>
      <c r="CH107" s="141"/>
      <c r="CI107" s="141"/>
      <c r="CJ107" s="141"/>
      <c r="CK107" s="141"/>
    </row>
    <row r="108" spans="74:89" ht="15" customHeight="1" x14ac:dyDescent="0.35">
      <c r="BV108" s="140"/>
      <c r="BY108" s="141"/>
      <c r="BZ108" s="141"/>
      <c r="CA108" s="141"/>
      <c r="CB108" s="141"/>
      <c r="CC108" s="141"/>
      <c r="CD108" s="141"/>
      <c r="CE108" s="141"/>
      <c r="CF108" s="141"/>
      <c r="CG108" s="141"/>
      <c r="CH108" s="141"/>
      <c r="CI108" s="141"/>
      <c r="CJ108" s="141"/>
      <c r="CK108" s="141"/>
    </row>
    <row r="109" spans="74:89" ht="15" customHeight="1" x14ac:dyDescent="0.35">
      <c r="BV109" s="140"/>
      <c r="BY109" s="141"/>
      <c r="BZ109" s="141"/>
      <c r="CA109" s="141"/>
      <c r="CB109" s="141"/>
      <c r="CC109" s="141"/>
      <c r="CD109" s="141"/>
      <c r="CE109" s="141"/>
      <c r="CF109" s="141"/>
      <c r="CG109" s="141"/>
      <c r="CH109" s="141"/>
      <c r="CI109" s="141"/>
      <c r="CJ109" s="141"/>
      <c r="CK109" s="141"/>
    </row>
    <row r="110" spans="74:89" ht="15" customHeight="1" x14ac:dyDescent="0.35">
      <c r="BV110" s="140"/>
      <c r="BY110" s="141"/>
      <c r="BZ110" s="141"/>
      <c r="CA110" s="141"/>
      <c r="CB110" s="141"/>
      <c r="CC110" s="141"/>
      <c r="CD110" s="141"/>
      <c r="CE110" s="141"/>
      <c r="CF110" s="141"/>
      <c r="CG110" s="141"/>
      <c r="CH110" s="141"/>
      <c r="CI110" s="141"/>
      <c r="CJ110" s="141"/>
      <c r="CK110" s="141"/>
    </row>
    <row r="111" spans="74:89" ht="15" customHeight="1" x14ac:dyDescent="0.35">
      <c r="BV111" s="140"/>
      <c r="BY111" s="141"/>
      <c r="BZ111" s="141"/>
      <c r="CA111" s="141"/>
      <c r="CB111" s="141"/>
      <c r="CC111" s="141"/>
      <c r="CD111" s="141"/>
      <c r="CE111" s="141"/>
      <c r="CF111" s="141"/>
      <c r="CG111" s="141"/>
      <c r="CH111" s="141"/>
      <c r="CI111" s="141"/>
      <c r="CJ111" s="141"/>
      <c r="CK111" s="141"/>
    </row>
    <row r="112" spans="74:89" ht="15" customHeight="1" x14ac:dyDescent="0.35">
      <c r="BV112" s="140"/>
      <c r="BY112" s="141"/>
      <c r="BZ112" s="141"/>
      <c r="CA112" s="141"/>
      <c r="CB112" s="141"/>
      <c r="CC112" s="141"/>
      <c r="CD112" s="141"/>
      <c r="CE112" s="141"/>
      <c r="CF112" s="141"/>
      <c r="CG112" s="141"/>
      <c r="CH112" s="141"/>
      <c r="CI112" s="141"/>
      <c r="CJ112" s="141"/>
      <c r="CK112" s="141"/>
    </row>
    <row r="113" spans="74:89" ht="15" customHeight="1" x14ac:dyDescent="0.35">
      <c r="BV113" s="140"/>
      <c r="BY113" s="141"/>
      <c r="BZ113" s="141"/>
      <c r="CA113" s="141"/>
      <c r="CB113" s="141"/>
      <c r="CC113" s="141"/>
      <c r="CD113" s="141"/>
      <c r="CE113" s="141"/>
      <c r="CF113" s="141"/>
      <c r="CG113" s="141"/>
      <c r="CH113" s="141"/>
      <c r="CI113" s="141"/>
      <c r="CJ113" s="141"/>
      <c r="CK113" s="141"/>
    </row>
    <row r="114" spans="74:89" ht="15" customHeight="1" x14ac:dyDescent="0.35">
      <c r="BV114" s="140"/>
      <c r="BY114" s="141"/>
      <c r="BZ114" s="141"/>
      <c r="CA114" s="141"/>
      <c r="CB114" s="141"/>
      <c r="CC114" s="141"/>
      <c r="CD114" s="141"/>
      <c r="CE114" s="141"/>
      <c r="CF114" s="141"/>
      <c r="CG114" s="141"/>
      <c r="CH114" s="141"/>
      <c r="CI114" s="141"/>
      <c r="CJ114" s="141"/>
      <c r="CK114" s="141"/>
    </row>
    <row r="115" spans="74:89" ht="15" customHeight="1" x14ac:dyDescent="0.35">
      <c r="BV115" s="140"/>
      <c r="BY115" s="141"/>
      <c r="BZ115" s="141"/>
      <c r="CA115" s="141"/>
      <c r="CB115" s="141"/>
      <c r="CC115" s="141"/>
      <c r="CD115" s="141"/>
      <c r="CE115" s="141"/>
      <c r="CF115" s="141"/>
      <c r="CG115" s="141"/>
      <c r="CH115" s="141"/>
      <c r="CI115" s="141"/>
      <c r="CJ115" s="141"/>
      <c r="CK115" s="141"/>
    </row>
    <row r="116" spans="74:89" ht="15" customHeight="1" x14ac:dyDescent="0.35">
      <c r="BV116" s="140"/>
      <c r="BY116" s="141"/>
      <c r="BZ116" s="141"/>
      <c r="CA116" s="141"/>
      <c r="CB116" s="141"/>
      <c r="CC116" s="141"/>
      <c r="CD116" s="141"/>
      <c r="CE116" s="141"/>
      <c r="CF116" s="141"/>
      <c r="CG116" s="141"/>
      <c r="CH116" s="141"/>
      <c r="CI116" s="141"/>
      <c r="CJ116" s="141"/>
      <c r="CK116" s="141"/>
    </row>
    <row r="117" spans="74:89" ht="15" customHeight="1" x14ac:dyDescent="0.35">
      <c r="BV117" s="140"/>
      <c r="BY117" s="141"/>
      <c r="BZ117" s="141"/>
      <c r="CA117" s="141"/>
      <c r="CB117" s="141"/>
      <c r="CC117" s="141"/>
      <c r="CD117" s="141"/>
      <c r="CE117" s="141"/>
      <c r="CF117" s="141"/>
      <c r="CG117" s="141"/>
      <c r="CH117" s="141"/>
      <c r="CI117" s="141"/>
      <c r="CJ117" s="141"/>
      <c r="CK117" s="141"/>
    </row>
    <row r="118" spans="74:89" ht="15" customHeight="1" x14ac:dyDescent="0.35">
      <c r="BV118" s="140"/>
      <c r="BY118" s="141"/>
      <c r="BZ118" s="141"/>
      <c r="CA118" s="141"/>
      <c r="CB118" s="141"/>
      <c r="CC118" s="141"/>
      <c r="CD118" s="141"/>
      <c r="CE118" s="141"/>
      <c r="CF118" s="141"/>
      <c r="CG118" s="141"/>
      <c r="CH118" s="141"/>
      <c r="CI118" s="141"/>
      <c r="CJ118" s="141"/>
      <c r="CK118" s="141"/>
    </row>
    <row r="119" spans="74:89" ht="15" customHeight="1" x14ac:dyDescent="0.35">
      <c r="BV119" s="140"/>
      <c r="BY119" s="141"/>
      <c r="BZ119" s="141"/>
      <c r="CA119" s="141"/>
      <c r="CB119" s="141"/>
      <c r="CC119" s="141"/>
      <c r="CD119" s="141"/>
      <c r="CE119" s="141"/>
      <c r="CF119" s="141"/>
      <c r="CG119" s="141"/>
      <c r="CH119" s="141"/>
      <c r="CI119" s="141"/>
      <c r="CJ119" s="141"/>
      <c r="CK119" s="141"/>
    </row>
    <row r="120" spans="74:89" ht="15" customHeight="1" x14ac:dyDescent="0.35">
      <c r="BV120" s="140"/>
      <c r="BY120" s="141"/>
      <c r="BZ120" s="141"/>
      <c r="CA120" s="141"/>
      <c r="CB120" s="141"/>
      <c r="CC120" s="141"/>
      <c r="CD120" s="141"/>
      <c r="CE120" s="141"/>
      <c r="CF120" s="141"/>
      <c r="CG120" s="141"/>
      <c r="CH120" s="141"/>
      <c r="CI120" s="141"/>
      <c r="CJ120" s="141"/>
      <c r="CK120" s="141"/>
    </row>
    <row r="121" spans="74:89" ht="15" customHeight="1" x14ac:dyDescent="0.35">
      <c r="BV121" s="140"/>
      <c r="BY121" s="141"/>
      <c r="BZ121" s="141"/>
      <c r="CA121" s="141"/>
      <c r="CB121" s="141"/>
      <c r="CC121" s="141"/>
      <c r="CD121" s="141"/>
      <c r="CE121" s="141"/>
      <c r="CF121" s="141"/>
      <c r="CG121" s="141"/>
      <c r="CH121" s="141"/>
      <c r="CI121" s="141"/>
      <c r="CJ121" s="141"/>
      <c r="CK121" s="141"/>
    </row>
    <row r="122" spans="74:89" ht="15" customHeight="1" x14ac:dyDescent="0.35">
      <c r="BV122" s="140"/>
      <c r="BY122" s="141"/>
      <c r="BZ122" s="141"/>
      <c r="CA122" s="141"/>
      <c r="CB122" s="141"/>
      <c r="CC122" s="141"/>
      <c r="CD122" s="141"/>
      <c r="CE122" s="141"/>
      <c r="CF122" s="141"/>
      <c r="CG122" s="141"/>
      <c r="CH122" s="141"/>
      <c r="CI122" s="141"/>
      <c r="CJ122" s="141"/>
      <c r="CK122" s="141"/>
    </row>
    <row r="123" spans="74:89" ht="15" customHeight="1" x14ac:dyDescent="0.35">
      <c r="BV123" s="140"/>
      <c r="BY123" s="141"/>
      <c r="BZ123" s="141"/>
      <c r="CA123" s="141"/>
      <c r="CB123" s="141"/>
      <c r="CC123" s="141"/>
      <c r="CD123" s="141"/>
      <c r="CE123" s="141"/>
      <c r="CF123" s="141"/>
      <c r="CG123" s="141"/>
      <c r="CH123" s="141"/>
      <c r="CI123" s="141"/>
      <c r="CJ123" s="141"/>
      <c r="CK123" s="141"/>
    </row>
    <row r="124" spans="74:89" ht="15" customHeight="1" x14ac:dyDescent="0.35">
      <c r="BV124" s="140"/>
      <c r="BY124" s="141"/>
      <c r="BZ124" s="141"/>
      <c r="CA124" s="141"/>
      <c r="CB124" s="141"/>
      <c r="CC124" s="141"/>
      <c r="CD124" s="141"/>
      <c r="CE124" s="141"/>
      <c r="CF124" s="141"/>
      <c r="CG124" s="141"/>
      <c r="CH124" s="141"/>
      <c r="CI124" s="141"/>
      <c r="CJ124" s="141"/>
      <c r="CK124" s="141"/>
    </row>
    <row r="125" spans="74:89" ht="15" customHeight="1" x14ac:dyDescent="0.35">
      <c r="BV125" s="140"/>
      <c r="BY125" s="141"/>
      <c r="BZ125" s="141"/>
      <c r="CA125" s="141"/>
      <c r="CB125" s="141"/>
      <c r="CC125" s="141"/>
      <c r="CD125" s="141"/>
      <c r="CE125" s="141"/>
      <c r="CF125" s="141"/>
      <c r="CG125" s="141"/>
      <c r="CH125" s="141"/>
      <c r="CI125" s="141"/>
      <c r="CJ125" s="141"/>
      <c r="CK125" s="141"/>
    </row>
    <row r="126" spans="74:89" ht="15" customHeight="1" x14ac:dyDescent="0.35">
      <c r="BV126" s="140"/>
      <c r="BY126" s="141"/>
      <c r="BZ126" s="141"/>
      <c r="CA126" s="141"/>
      <c r="CB126" s="141"/>
      <c r="CC126" s="141"/>
      <c r="CD126" s="141"/>
      <c r="CE126" s="141"/>
      <c r="CF126" s="141"/>
      <c r="CG126" s="141"/>
      <c r="CH126" s="141"/>
      <c r="CI126" s="141"/>
      <c r="CJ126" s="141"/>
      <c r="CK126" s="141"/>
    </row>
    <row r="127" spans="74:89" ht="15" customHeight="1" x14ac:dyDescent="0.35">
      <c r="BV127" s="140"/>
      <c r="BY127" s="141"/>
      <c r="BZ127" s="141"/>
      <c r="CA127" s="141"/>
      <c r="CB127" s="141"/>
      <c r="CC127" s="141"/>
      <c r="CD127" s="141"/>
      <c r="CE127" s="141"/>
      <c r="CF127" s="141"/>
      <c r="CG127" s="141"/>
      <c r="CH127" s="141"/>
      <c r="CI127" s="141"/>
      <c r="CJ127" s="141"/>
      <c r="CK127" s="141"/>
    </row>
    <row r="128" spans="74:89" ht="15" customHeight="1" x14ac:dyDescent="0.35">
      <c r="BV128" s="140"/>
      <c r="BY128" s="141"/>
      <c r="BZ128" s="141"/>
      <c r="CA128" s="141"/>
      <c r="CB128" s="141"/>
      <c r="CC128" s="141"/>
      <c r="CD128" s="141"/>
      <c r="CE128" s="141"/>
      <c r="CF128" s="141"/>
      <c r="CG128" s="141"/>
      <c r="CH128" s="141"/>
      <c r="CI128" s="141"/>
      <c r="CJ128" s="141"/>
      <c r="CK128" s="141"/>
    </row>
    <row r="129" spans="74:89" ht="15" customHeight="1" x14ac:dyDescent="0.35">
      <c r="BV129" s="140"/>
      <c r="BY129" s="141"/>
      <c r="BZ129" s="141"/>
      <c r="CA129" s="141"/>
      <c r="CB129" s="141"/>
      <c r="CC129" s="141"/>
      <c r="CD129" s="141"/>
      <c r="CE129" s="141"/>
      <c r="CF129" s="141"/>
      <c r="CG129" s="141"/>
      <c r="CH129" s="141"/>
      <c r="CI129" s="141"/>
      <c r="CJ129" s="141"/>
      <c r="CK129" s="141"/>
    </row>
    <row r="130" spans="74:89" ht="15" customHeight="1" x14ac:dyDescent="0.35">
      <c r="BV130" s="140"/>
      <c r="BY130" s="141"/>
      <c r="BZ130" s="141"/>
      <c r="CA130" s="141"/>
      <c r="CB130" s="141"/>
      <c r="CC130" s="141"/>
      <c r="CD130" s="141"/>
      <c r="CE130" s="141"/>
      <c r="CF130" s="141"/>
      <c r="CG130" s="141"/>
      <c r="CH130" s="141"/>
      <c r="CI130" s="141"/>
      <c r="CJ130" s="141"/>
      <c r="CK130" s="141"/>
    </row>
    <row r="131" spans="74:89" ht="15" customHeight="1" x14ac:dyDescent="0.35">
      <c r="BV131" s="140"/>
      <c r="BY131" s="141"/>
      <c r="BZ131" s="141"/>
      <c r="CA131" s="141"/>
      <c r="CB131" s="141"/>
      <c r="CC131" s="141"/>
      <c r="CD131" s="141"/>
      <c r="CE131" s="141"/>
      <c r="CF131" s="141"/>
      <c r="CG131" s="141"/>
      <c r="CH131" s="141"/>
      <c r="CI131" s="141"/>
      <c r="CJ131" s="141"/>
      <c r="CK131" s="141"/>
    </row>
    <row r="132" spans="74:89" ht="15" customHeight="1" x14ac:dyDescent="0.35">
      <c r="BV132" s="140"/>
      <c r="BY132" s="141"/>
      <c r="BZ132" s="141"/>
      <c r="CA132" s="141"/>
      <c r="CB132" s="141"/>
      <c r="CC132" s="141"/>
      <c r="CD132" s="141"/>
      <c r="CE132" s="141"/>
      <c r="CF132" s="141"/>
      <c r="CG132" s="141"/>
      <c r="CH132" s="141"/>
      <c r="CI132" s="141"/>
      <c r="CJ132" s="141"/>
      <c r="CK132" s="141"/>
    </row>
    <row r="133" spans="74:89" ht="15" customHeight="1" x14ac:dyDescent="0.35">
      <c r="BV133" s="140"/>
      <c r="BY133" s="141"/>
      <c r="BZ133" s="141"/>
      <c r="CA133" s="141"/>
      <c r="CB133" s="141"/>
      <c r="CC133" s="141"/>
      <c r="CD133" s="141"/>
      <c r="CE133" s="141"/>
      <c r="CF133" s="141"/>
      <c r="CG133" s="141"/>
      <c r="CH133" s="141"/>
      <c r="CI133" s="141"/>
      <c r="CJ133" s="141"/>
      <c r="CK133" s="141"/>
    </row>
    <row r="134" spans="74:89" ht="15" customHeight="1" x14ac:dyDescent="0.35">
      <c r="BV134" s="140"/>
      <c r="BY134" s="141"/>
      <c r="BZ134" s="141"/>
      <c r="CA134" s="141"/>
      <c r="CB134" s="141"/>
      <c r="CC134" s="141"/>
      <c r="CD134" s="141"/>
      <c r="CE134" s="141"/>
      <c r="CF134" s="141"/>
      <c r="CG134" s="141"/>
      <c r="CH134" s="141"/>
      <c r="CI134" s="141"/>
      <c r="CJ134" s="141"/>
      <c r="CK134" s="141"/>
    </row>
    <row r="135" spans="74:89" ht="15" customHeight="1" x14ac:dyDescent="0.35">
      <c r="BV135" s="140"/>
      <c r="BY135" s="141"/>
      <c r="BZ135" s="141"/>
      <c r="CA135" s="141"/>
      <c r="CB135" s="141"/>
      <c r="CC135" s="141"/>
      <c r="CD135" s="141"/>
      <c r="CE135" s="141"/>
      <c r="CF135" s="141"/>
      <c r="CG135" s="141"/>
      <c r="CH135" s="141"/>
      <c r="CI135" s="141"/>
      <c r="CJ135" s="141"/>
      <c r="CK135" s="141"/>
    </row>
    <row r="136" spans="74:89" ht="15" customHeight="1" x14ac:dyDescent="0.35">
      <c r="BV136" s="140"/>
      <c r="BY136" s="141"/>
      <c r="BZ136" s="141"/>
      <c r="CA136" s="141"/>
      <c r="CB136" s="141"/>
      <c r="CC136" s="141"/>
      <c r="CD136" s="141"/>
      <c r="CE136" s="141"/>
      <c r="CF136" s="141"/>
      <c r="CG136" s="141"/>
      <c r="CH136" s="141"/>
      <c r="CI136" s="141"/>
      <c r="CJ136" s="141"/>
      <c r="CK136" s="141"/>
    </row>
    <row r="137" spans="74:89" ht="15" customHeight="1" x14ac:dyDescent="0.35">
      <c r="BV137" s="140"/>
      <c r="BY137" s="141"/>
      <c r="BZ137" s="141"/>
      <c r="CA137" s="141"/>
      <c r="CB137" s="141"/>
      <c r="CC137" s="141"/>
      <c r="CD137" s="141"/>
      <c r="CE137" s="141"/>
      <c r="CF137" s="141"/>
      <c r="CG137" s="141"/>
      <c r="CH137" s="141"/>
      <c r="CI137" s="141"/>
      <c r="CJ137" s="141"/>
      <c r="CK137" s="141"/>
    </row>
    <row r="138" spans="74:89" ht="15" customHeight="1" x14ac:dyDescent="0.35">
      <c r="BV138" s="140"/>
      <c r="BY138" s="141"/>
      <c r="BZ138" s="141"/>
      <c r="CA138" s="141"/>
      <c r="CB138" s="141"/>
      <c r="CC138" s="141"/>
      <c r="CD138" s="141"/>
      <c r="CE138" s="141"/>
      <c r="CF138" s="141"/>
      <c r="CG138" s="141"/>
      <c r="CH138" s="141"/>
      <c r="CI138" s="141"/>
      <c r="CJ138" s="141"/>
      <c r="CK138" s="141"/>
    </row>
    <row r="139" spans="74:89" ht="15" customHeight="1" x14ac:dyDescent="0.35">
      <c r="BV139" s="140"/>
      <c r="BY139" s="141"/>
      <c r="BZ139" s="141"/>
      <c r="CA139" s="141"/>
      <c r="CB139" s="141"/>
      <c r="CC139" s="141"/>
      <c r="CD139" s="141"/>
      <c r="CE139" s="141"/>
      <c r="CF139" s="141"/>
      <c r="CG139" s="141"/>
      <c r="CH139" s="141"/>
      <c r="CI139" s="141"/>
      <c r="CJ139" s="141"/>
      <c r="CK139" s="141"/>
    </row>
    <row r="140" spans="74:89" ht="15" customHeight="1" x14ac:dyDescent="0.35">
      <c r="BV140" s="140"/>
      <c r="BY140" s="141"/>
      <c r="BZ140" s="141"/>
      <c r="CA140" s="141"/>
      <c r="CB140" s="141"/>
      <c r="CC140" s="141"/>
      <c r="CD140" s="141"/>
      <c r="CE140" s="141"/>
      <c r="CF140" s="141"/>
      <c r="CG140" s="141"/>
      <c r="CH140" s="141"/>
      <c r="CI140" s="141"/>
      <c r="CJ140" s="141"/>
      <c r="CK140" s="141"/>
    </row>
    <row r="141" spans="74:89" ht="15" customHeight="1" x14ac:dyDescent="0.35">
      <c r="BV141" s="140"/>
      <c r="BY141" s="141"/>
      <c r="BZ141" s="141"/>
      <c r="CA141" s="141"/>
      <c r="CB141" s="141"/>
      <c r="CC141" s="141"/>
      <c r="CD141" s="141"/>
      <c r="CE141" s="141"/>
      <c r="CF141" s="141"/>
      <c r="CG141" s="141"/>
      <c r="CH141" s="141"/>
      <c r="CI141" s="141"/>
      <c r="CJ141" s="141"/>
      <c r="CK141" s="141"/>
    </row>
    <row r="142" spans="74:89" ht="15" customHeight="1" x14ac:dyDescent="0.35">
      <c r="BV142" s="140"/>
      <c r="BY142" s="141"/>
      <c r="BZ142" s="141"/>
      <c r="CA142" s="141"/>
      <c r="CB142" s="141"/>
      <c r="CC142" s="141"/>
      <c r="CD142" s="141"/>
      <c r="CE142" s="141"/>
      <c r="CF142" s="141"/>
      <c r="CG142" s="141"/>
      <c r="CH142" s="141"/>
      <c r="CI142" s="141"/>
      <c r="CJ142" s="141"/>
      <c r="CK142" s="141"/>
    </row>
    <row r="143" spans="74:89" ht="15" customHeight="1" x14ac:dyDescent="0.35">
      <c r="BV143" s="140"/>
      <c r="BY143" s="141"/>
      <c r="BZ143" s="141"/>
      <c r="CA143" s="141"/>
      <c r="CB143" s="141"/>
      <c r="CC143" s="141"/>
      <c r="CD143" s="141"/>
      <c r="CE143" s="141"/>
      <c r="CF143" s="141"/>
      <c r="CG143" s="141"/>
      <c r="CH143" s="141"/>
      <c r="CI143" s="141"/>
      <c r="CJ143" s="141"/>
      <c r="CK143" s="141"/>
    </row>
    <row r="144" spans="74:89" ht="15" customHeight="1" x14ac:dyDescent="0.35">
      <c r="BV144" s="140"/>
      <c r="BY144" s="141"/>
      <c r="BZ144" s="141"/>
      <c r="CA144" s="141"/>
      <c r="CB144" s="141"/>
      <c r="CC144" s="141"/>
      <c r="CD144" s="141"/>
      <c r="CE144" s="141"/>
      <c r="CF144" s="141"/>
      <c r="CG144" s="141"/>
      <c r="CH144" s="141"/>
      <c r="CI144" s="141"/>
      <c r="CJ144" s="141"/>
      <c r="CK144" s="141"/>
    </row>
    <row r="145" spans="74:89" ht="15" customHeight="1" x14ac:dyDescent="0.35">
      <c r="BV145" s="140"/>
      <c r="BY145" s="141"/>
      <c r="BZ145" s="141"/>
      <c r="CA145" s="141"/>
      <c r="CB145" s="141"/>
      <c r="CC145" s="141"/>
      <c r="CD145" s="141"/>
      <c r="CE145" s="141"/>
      <c r="CF145" s="141"/>
      <c r="CG145" s="141"/>
      <c r="CH145" s="141"/>
      <c r="CI145" s="141"/>
      <c r="CJ145" s="141"/>
      <c r="CK145" s="141"/>
    </row>
    <row r="146" spans="74:89" ht="15" customHeight="1" x14ac:dyDescent="0.35">
      <c r="BV146" s="140"/>
      <c r="BY146" s="141"/>
      <c r="BZ146" s="141"/>
      <c r="CA146" s="141"/>
      <c r="CB146" s="141"/>
      <c r="CC146" s="141"/>
      <c r="CD146" s="141"/>
      <c r="CE146" s="141"/>
      <c r="CF146" s="141"/>
      <c r="CG146" s="141"/>
      <c r="CH146" s="141"/>
      <c r="CI146" s="141"/>
      <c r="CJ146" s="141"/>
      <c r="CK146" s="141"/>
    </row>
    <row r="147" spans="74:89" ht="15" customHeight="1" x14ac:dyDescent="0.35">
      <c r="BV147" s="140"/>
      <c r="BY147" s="141"/>
      <c r="BZ147" s="141"/>
      <c r="CA147" s="141"/>
      <c r="CB147" s="141"/>
      <c r="CC147" s="141"/>
      <c r="CD147" s="141"/>
      <c r="CE147" s="141"/>
      <c r="CF147" s="141"/>
      <c r="CG147" s="141"/>
      <c r="CH147" s="141"/>
      <c r="CI147" s="141"/>
      <c r="CJ147" s="141"/>
      <c r="CK147" s="141"/>
    </row>
    <row r="148" spans="74:89" ht="15" customHeight="1" x14ac:dyDescent="0.35">
      <c r="BV148" s="140"/>
      <c r="BY148" s="141"/>
      <c r="BZ148" s="141"/>
      <c r="CA148" s="141"/>
      <c r="CB148" s="141"/>
      <c r="CC148" s="141"/>
      <c r="CD148" s="141"/>
      <c r="CE148" s="141"/>
      <c r="CF148" s="141"/>
      <c r="CG148" s="141"/>
      <c r="CH148" s="141"/>
      <c r="CI148" s="141"/>
      <c r="CJ148" s="141"/>
      <c r="CK148" s="141"/>
    </row>
    <row r="149" spans="74:89" ht="15" customHeight="1" x14ac:dyDescent="0.35">
      <c r="BV149" s="140"/>
      <c r="BY149" s="141"/>
      <c r="BZ149" s="141"/>
      <c r="CA149" s="141"/>
      <c r="CB149" s="141"/>
      <c r="CC149" s="141"/>
      <c r="CD149" s="141"/>
      <c r="CE149" s="141"/>
      <c r="CF149" s="141"/>
      <c r="CG149" s="141"/>
      <c r="CH149" s="141"/>
      <c r="CI149" s="141"/>
      <c r="CJ149" s="141"/>
      <c r="CK149" s="141"/>
    </row>
    <row r="150" spans="74:89" ht="15" customHeight="1" x14ac:dyDescent="0.35">
      <c r="BV150" s="140"/>
      <c r="BY150" s="141"/>
      <c r="BZ150" s="141"/>
      <c r="CA150" s="141"/>
      <c r="CB150" s="141"/>
      <c r="CC150" s="141"/>
      <c r="CD150" s="141"/>
      <c r="CE150" s="141"/>
      <c r="CF150" s="141"/>
      <c r="CG150" s="141"/>
      <c r="CH150" s="141"/>
      <c r="CI150" s="141"/>
      <c r="CJ150" s="141"/>
      <c r="CK150" s="141"/>
    </row>
    <row r="151" spans="74:89" ht="15" customHeight="1" x14ac:dyDescent="0.35">
      <c r="BV151" s="140"/>
      <c r="BY151" s="141"/>
      <c r="BZ151" s="141"/>
      <c r="CA151" s="141"/>
      <c r="CB151" s="141"/>
      <c r="CC151" s="141"/>
      <c r="CD151" s="141"/>
      <c r="CE151" s="141"/>
      <c r="CF151" s="141"/>
      <c r="CG151" s="141"/>
      <c r="CH151" s="141"/>
      <c r="CI151" s="141"/>
      <c r="CJ151" s="141"/>
      <c r="CK151" s="141"/>
    </row>
    <row r="152" spans="74:89" ht="15" customHeight="1" x14ac:dyDescent="0.35">
      <c r="BV152" s="140"/>
      <c r="BY152" s="141"/>
      <c r="BZ152" s="141"/>
      <c r="CA152" s="141"/>
      <c r="CB152" s="141"/>
      <c r="CC152" s="141"/>
      <c r="CD152" s="141"/>
      <c r="CE152" s="141"/>
      <c r="CF152" s="141"/>
      <c r="CG152" s="141"/>
      <c r="CH152" s="141"/>
      <c r="CI152" s="141"/>
      <c r="CJ152" s="141"/>
      <c r="CK152" s="141"/>
    </row>
    <row r="153" spans="74:89" ht="15" customHeight="1" x14ac:dyDescent="0.35">
      <c r="BV153" s="140"/>
      <c r="BY153" s="141"/>
      <c r="BZ153" s="141"/>
      <c r="CA153" s="141"/>
      <c r="CB153" s="141"/>
      <c r="CC153" s="141"/>
      <c r="CD153" s="141"/>
      <c r="CE153" s="141"/>
      <c r="CF153" s="141"/>
      <c r="CG153" s="141"/>
      <c r="CH153" s="141"/>
      <c r="CI153" s="141"/>
      <c r="CJ153" s="141"/>
      <c r="CK153" s="141"/>
    </row>
    <row r="154" spans="74:89" ht="15" customHeight="1" x14ac:dyDescent="0.35">
      <c r="BV154" s="140"/>
      <c r="BY154" s="141"/>
      <c r="BZ154" s="141"/>
      <c r="CA154" s="141"/>
      <c r="CB154" s="141"/>
      <c r="CC154" s="141"/>
      <c r="CD154" s="141"/>
      <c r="CE154" s="141"/>
      <c r="CF154" s="141"/>
      <c r="CG154" s="141"/>
      <c r="CH154" s="141"/>
      <c r="CI154" s="141"/>
      <c r="CJ154" s="141"/>
      <c r="CK154" s="141"/>
    </row>
    <row r="155" spans="74:89" ht="15" customHeight="1" x14ac:dyDescent="0.35">
      <c r="BV155" s="140"/>
      <c r="BY155" s="141"/>
      <c r="BZ155" s="141"/>
      <c r="CA155" s="141"/>
      <c r="CB155" s="141"/>
      <c r="CC155" s="141"/>
      <c r="CD155" s="141"/>
      <c r="CE155" s="141"/>
      <c r="CF155" s="141"/>
      <c r="CG155" s="141"/>
      <c r="CH155" s="141"/>
      <c r="CI155" s="141"/>
      <c r="CJ155" s="141"/>
      <c r="CK155" s="141"/>
    </row>
    <row r="156" spans="74:89" ht="15" customHeight="1" x14ac:dyDescent="0.35">
      <c r="BV156" s="140"/>
      <c r="BY156" s="141"/>
      <c r="BZ156" s="141"/>
      <c r="CA156" s="141"/>
      <c r="CB156" s="141"/>
      <c r="CC156" s="141"/>
      <c r="CD156" s="141"/>
      <c r="CE156" s="141"/>
      <c r="CF156" s="141"/>
      <c r="CG156" s="141"/>
      <c r="CH156" s="141"/>
      <c r="CI156" s="141"/>
      <c r="CJ156" s="141"/>
      <c r="CK156" s="141"/>
    </row>
    <row r="157" spans="74:89" ht="15" customHeight="1" x14ac:dyDescent="0.35">
      <c r="BV157" s="140"/>
      <c r="BY157" s="141"/>
      <c r="BZ157" s="141"/>
      <c r="CA157" s="141"/>
      <c r="CB157" s="141"/>
      <c r="CC157" s="141"/>
      <c r="CD157" s="141"/>
      <c r="CE157" s="141"/>
      <c r="CF157" s="141"/>
      <c r="CG157" s="141"/>
      <c r="CH157" s="141"/>
      <c r="CI157" s="141"/>
      <c r="CJ157" s="141"/>
      <c r="CK157" s="141"/>
    </row>
    <row r="158" spans="74:89" ht="15" customHeight="1" x14ac:dyDescent="0.35">
      <c r="BV158" s="140"/>
      <c r="BY158" s="141"/>
      <c r="BZ158" s="141"/>
      <c r="CA158" s="141"/>
      <c r="CB158" s="141"/>
      <c r="CC158" s="141"/>
      <c r="CD158" s="141"/>
      <c r="CE158" s="141"/>
      <c r="CF158" s="141"/>
      <c r="CG158" s="141"/>
      <c r="CH158" s="141"/>
      <c r="CI158" s="141"/>
      <c r="CJ158" s="141"/>
      <c r="CK158" s="141"/>
    </row>
    <row r="159" spans="74:89" ht="15" customHeight="1" x14ac:dyDescent="0.35">
      <c r="BV159" s="140"/>
      <c r="BY159" s="141"/>
      <c r="BZ159" s="141"/>
      <c r="CA159" s="141"/>
      <c r="CB159" s="141"/>
      <c r="CC159" s="141"/>
      <c r="CD159" s="141"/>
      <c r="CE159" s="141"/>
      <c r="CF159" s="141"/>
      <c r="CG159" s="141"/>
      <c r="CH159" s="141"/>
      <c r="CI159" s="141"/>
      <c r="CJ159" s="141"/>
      <c r="CK159" s="141"/>
    </row>
    <row r="160" spans="74:89" ht="15" customHeight="1" x14ac:dyDescent="0.35">
      <c r="BV160" s="140"/>
      <c r="BY160" s="141"/>
      <c r="BZ160" s="141"/>
      <c r="CA160" s="141"/>
      <c r="CB160" s="141"/>
      <c r="CC160" s="141"/>
      <c r="CD160" s="141"/>
      <c r="CE160" s="141"/>
      <c r="CF160" s="141"/>
      <c r="CG160" s="141"/>
      <c r="CH160" s="141"/>
      <c r="CI160" s="141"/>
      <c r="CJ160" s="141"/>
      <c r="CK160" s="141"/>
    </row>
    <row r="161" spans="74:89" ht="15" customHeight="1" x14ac:dyDescent="0.35">
      <c r="BV161" s="140"/>
      <c r="BY161" s="141"/>
      <c r="BZ161" s="141"/>
      <c r="CA161" s="141"/>
      <c r="CB161" s="141"/>
      <c r="CC161" s="141"/>
      <c r="CD161" s="141"/>
      <c r="CE161" s="141"/>
      <c r="CF161" s="141"/>
      <c r="CG161" s="141"/>
      <c r="CH161" s="141"/>
      <c r="CI161" s="141"/>
      <c r="CJ161" s="141"/>
      <c r="CK161" s="141"/>
    </row>
    <row r="162" spans="74:89" ht="15" customHeight="1" x14ac:dyDescent="0.35">
      <c r="BV162" s="140"/>
      <c r="BY162" s="141"/>
      <c r="BZ162" s="141"/>
      <c r="CA162" s="141"/>
      <c r="CB162" s="141"/>
      <c r="CC162" s="141"/>
      <c r="CD162" s="141"/>
      <c r="CE162" s="141"/>
      <c r="CF162" s="141"/>
      <c r="CG162" s="141"/>
      <c r="CH162" s="141"/>
      <c r="CI162" s="141"/>
      <c r="CJ162" s="141"/>
      <c r="CK162" s="141"/>
    </row>
    <row r="163" spans="74:89" ht="15" customHeight="1" x14ac:dyDescent="0.35">
      <c r="BV163" s="140"/>
      <c r="BY163" s="141"/>
      <c r="BZ163" s="141"/>
      <c r="CA163" s="141"/>
      <c r="CB163" s="141"/>
      <c r="CC163" s="141"/>
      <c r="CD163" s="141"/>
      <c r="CE163" s="141"/>
      <c r="CF163" s="141"/>
      <c r="CG163" s="141"/>
      <c r="CH163" s="141"/>
      <c r="CI163" s="141"/>
      <c r="CJ163" s="141"/>
      <c r="CK163" s="141"/>
    </row>
    <row r="164" spans="74:89" ht="15" customHeight="1" x14ac:dyDescent="0.35">
      <c r="BV164" s="140"/>
      <c r="BY164" s="141"/>
      <c r="BZ164" s="141"/>
      <c r="CA164" s="141"/>
      <c r="CB164" s="141"/>
      <c r="CC164" s="141"/>
      <c r="CD164" s="141"/>
      <c r="CE164" s="141"/>
      <c r="CF164" s="141"/>
      <c r="CG164" s="141"/>
      <c r="CH164" s="141"/>
      <c r="CI164" s="141"/>
      <c r="CJ164" s="141"/>
      <c r="CK164" s="141"/>
    </row>
    <row r="165" spans="74:89" ht="15" customHeight="1" x14ac:dyDescent="0.35">
      <c r="BV165" s="140"/>
      <c r="BY165" s="141"/>
      <c r="BZ165" s="141"/>
      <c r="CA165" s="141"/>
      <c r="CB165" s="141"/>
      <c r="CC165" s="141"/>
      <c r="CD165" s="141"/>
      <c r="CE165" s="141"/>
      <c r="CF165" s="141"/>
      <c r="CG165" s="141"/>
      <c r="CH165" s="141"/>
      <c r="CI165" s="141"/>
      <c r="CJ165" s="141"/>
      <c r="CK165" s="141"/>
    </row>
    <row r="166" spans="74:89" ht="15" customHeight="1" x14ac:dyDescent="0.35">
      <c r="BV166" s="140"/>
      <c r="BY166" s="141"/>
      <c r="BZ166" s="141"/>
      <c r="CA166" s="141"/>
      <c r="CB166" s="141"/>
      <c r="CC166" s="141"/>
      <c r="CD166" s="141"/>
      <c r="CE166" s="141"/>
      <c r="CF166" s="141"/>
      <c r="CG166" s="141"/>
      <c r="CH166" s="141"/>
      <c r="CI166" s="141"/>
      <c r="CJ166" s="141"/>
      <c r="CK166" s="141"/>
    </row>
    <row r="167" spans="74:89" ht="15" customHeight="1" x14ac:dyDescent="0.35">
      <c r="BV167" s="140"/>
      <c r="BY167" s="141"/>
      <c r="BZ167" s="141"/>
      <c r="CA167" s="141"/>
      <c r="CB167" s="141"/>
      <c r="CC167" s="141"/>
      <c r="CD167" s="141"/>
      <c r="CE167" s="141"/>
      <c r="CF167" s="141"/>
      <c r="CG167" s="141"/>
      <c r="CH167" s="141"/>
      <c r="CI167" s="141"/>
      <c r="CJ167" s="141"/>
      <c r="CK167" s="141"/>
    </row>
    <row r="168" spans="74:89" ht="15" customHeight="1" x14ac:dyDescent="0.35">
      <c r="BV168" s="140"/>
      <c r="BY168" s="141"/>
      <c r="BZ168" s="141"/>
      <c r="CA168" s="141"/>
      <c r="CB168" s="141"/>
      <c r="CC168" s="141"/>
      <c r="CD168" s="141"/>
      <c r="CE168" s="141"/>
      <c r="CF168" s="141"/>
      <c r="CG168" s="141"/>
      <c r="CH168" s="141"/>
      <c r="CI168" s="141"/>
      <c r="CJ168" s="141"/>
      <c r="CK168" s="141"/>
    </row>
    <row r="169" spans="74:89" ht="15" customHeight="1" x14ac:dyDescent="0.35">
      <c r="BV169" s="140"/>
      <c r="BY169" s="141"/>
      <c r="BZ169" s="141"/>
      <c r="CA169" s="141"/>
      <c r="CB169" s="141"/>
      <c r="CC169" s="141"/>
      <c r="CD169" s="141"/>
      <c r="CE169" s="141"/>
      <c r="CF169" s="141"/>
      <c r="CG169" s="141"/>
      <c r="CH169" s="141"/>
      <c r="CI169" s="141"/>
      <c r="CJ169" s="141"/>
      <c r="CK169" s="141"/>
    </row>
    <row r="170" spans="74:89" ht="15" customHeight="1" x14ac:dyDescent="0.35">
      <c r="BV170" s="140"/>
      <c r="BY170" s="141"/>
      <c r="BZ170" s="141"/>
      <c r="CA170" s="141"/>
      <c r="CB170" s="141"/>
      <c r="CC170" s="141"/>
      <c r="CD170" s="141"/>
      <c r="CE170" s="141"/>
      <c r="CF170" s="141"/>
      <c r="CG170" s="141"/>
      <c r="CH170" s="141"/>
      <c r="CI170" s="141"/>
      <c r="CJ170" s="141"/>
      <c r="CK170" s="141"/>
    </row>
    <row r="171" spans="74:89" ht="15" customHeight="1" x14ac:dyDescent="0.35">
      <c r="BV171" s="140"/>
      <c r="BY171" s="141"/>
      <c r="BZ171" s="141"/>
      <c r="CA171" s="141"/>
      <c r="CB171" s="141"/>
      <c r="CC171" s="141"/>
      <c r="CD171" s="141"/>
      <c r="CE171" s="141"/>
      <c r="CF171" s="141"/>
      <c r="CG171" s="141"/>
      <c r="CH171" s="141"/>
      <c r="CI171" s="141"/>
      <c r="CJ171" s="141"/>
      <c r="CK171" s="141"/>
    </row>
    <row r="172" spans="74:89" ht="15" customHeight="1" x14ac:dyDescent="0.35">
      <c r="BV172" s="140"/>
      <c r="BY172" s="141"/>
      <c r="BZ172" s="141"/>
      <c r="CA172" s="141"/>
      <c r="CB172" s="141"/>
      <c r="CC172" s="141"/>
      <c r="CD172" s="141"/>
      <c r="CE172" s="141"/>
      <c r="CF172" s="141"/>
      <c r="CG172" s="141"/>
      <c r="CH172" s="141"/>
      <c r="CI172" s="141"/>
      <c r="CJ172" s="141"/>
      <c r="CK172" s="141"/>
    </row>
    <row r="173" spans="74:89" ht="15" customHeight="1" x14ac:dyDescent="0.35">
      <c r="BV173" s="140"/>
      <c r="BY173" s="141"/>
      <c r="BZ173" s="141"/>
      <c r="CA173" s="141"/>
      <c r="CB173" s="141"/>
      <c r="CC173" s="141"/>
      <c r="CD173" s="141"/>
      <c r="CE173" s="141"/>
      <c r="CF173" s="141"/>
      <c r="CG173" s="141"/>
      <c r="CH173" s="141"/>
      <c r="CI173" s="141"/>
      <c r="CJ173" s="141"/>
      <c r="CK173" s="141"/>
    </row>
    <row r="174" spans="74:89" ht="15" customHeight="1" x14ac:dyDescent="0.35">
      <c r="BV174" s="140"/>
      <c r="BY174" s="141"/>
      <c r="BZ174" s="141"/>
      <c r="CA174" s="141"/>
      <c r="CB174" s="141"/>
      <c r="CC174" s="141"/>
      <c r="CD174" s="141"/>
      <c r="CE174" s="141"/>
      <c r="CF174" s="141"/>
      <c r="CG174" s="141"/>
      <c r="CH174" s="141"/>
      <c r="CI174" s="141"/>
      <c r="CJ174" s="141"/>
      <c r="CK174" s="141"/>
    </row>
    <row r="175" spans="74:89" ht="15" customHeight="1" x14ac:dyDescent="0.35">
      <c r="BV175" s="140"/>
      <c r="BY175" s="141"/>
      <c r="BZ175" s="141"/>
      <c r="CA175" s="141"/>
      <c r="CB175" s="141"/>
      <c r="CC175" s="141"/>
      <c r="CD175" s="141"/>
      <c r="CE175" s="141"/>
      <c r="CF175" s="141"/>
      <c r="CG175" s="141"/>
      <c r="CH175" s="141"/>
      <c r="CI175" s="141"/>
      <c r="CJ175" s="141"/>
      <c r="CK175" s="141"/>
    </row>
    <row r="176" spans="74:89" ht="15" customHeight="1" x14ac:dyDescent="0.35">
      <c r="BV176" s="140"/>
      <c r="BY176" s="141"/>
      <c r="BZ176" s="141"/>
      <c r="CA176" s="141"/>
      <c r="CB176" s="141"/>
      <c r="CC176" s="141"/>
      <c r="CD176" s="141"/>
      <c r="CE176" s="141"/>
      <c r="CF176" s="141"/>
      <c r="CG176" s="141"/>
      <c r="CH176" s="141"/>
      <c r="CI176" s="141"/>
      <c r="CJ176" s="141"/>
      <c r="CK176" s="141"/>
    </row>
    <row r="177" spans="74:89" ht="15" customHeight="1" x14ac:dyDescent="0.35">
      <c r="BV177" s="140"/>
      <c r="BY177" s="141"/>
      <c r="BZ177" s="141"/>
      <c r="CA177" s="141"/>
      <c r="CB177" s="141"/>
      <c r="CC177" s="141"/>
      <c r="CD177" s="141"/>
      <c r="CE177" s="141"/>
      <c r="CF177" s="141"/>
      <c r="CG177" s="141"/>
      <c r="CH177" s="141"/>
      <c r="CI177" s="141"/>
      <c r="CJ177" s="141"/>
      <c r="CK177" s="141"/>
    </row>
    <row r="178" spans="74:89" ht="15" customHeight="1" x14ac:dyDescent="0.35">
      <c r="BV178" s="140"/>
      <c r="BY178" s="141"/>
      <c r="BZ178" s="141"/>
      <c r="CA178" s="141"/>
      <c r="CB178" s="141"/>
      <c r="CC178" s="141"/>
      <c r="CD178" s="141"/>
      <c r="CE178" s="141"/>
      <c r="CF178" s="141"/>
      <c r="CG178" s="141"/>
      <c r="CH178" s="141"/>
      <c r="CI178" s="141"/>
      <c r="CJ178" s="141"/>
      <c r="CK178" s="141"/>
    </row>
    <row r="179" spans="74:89" ht="15" customHeight="1" x14ac:dyDescent="0.35">
      <c r="BV179" s="140"/>
      <c r="BY179" s="141"/>
      <c r="BZ179" s="141"/>
      <c r="CA179" s="141"/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</row>
    <row r="180" spans="74:89" ht="15" customHeight="1" x14ac:dyDescent="0.35">
      <c r="BV180" s="140"/>
      <c r="BY180" s="141"/>
      <c r="BZ180" s="141"/>
      <c r="CA180" s="141"/>
      <c r="CB180" s="141"/>
      <c r="CC180" s="141"/>
      <c r="CD180" s="141"/>
      <c r="CE180" s="141"/>
      <c r="CF180" s="141"/>
      <c r="CG180" s="141"/>
      <c r="CH180" s="141"/>
      <c r="CI180" s="141"/>
      <c r="CJ180" s="141"/>
      <c r="CK180" s="141"/>
    </row>
    <row r="181" spans="74:89" ht="15" customHeight="1" x14ac:dyDescent="0.35">
      <c r="BV181" s="140"/>
      <c r="BY181" s="141"/>
      <c r="BZ181" s="141"/>
      <c r="CA181" s="141"/>
      <c r="CB181" s="141"/>
      <c r="CC181" s="141"/>
      <c r="CD181" s="141"/>
      <c r="CE181" s="141"/>
      <c r="CF181" s="141"/>
      <c r="CG181" s="141"/>
      <c r="CH181" s="141"/>
      <c r="CI181" s="141"/>
      <c r="CJ181" s="141"/>
      <c r="CK181" s="141"/>
    </row>
    <row r="182" spans="74:89" ht="15" customHeight="1" x14ac:dyDescent="0.35">
      <c r="BV182" s="140"/>
      <c r="BY182" s="141"/>
      <c r="BZ182" s="141"/>
      <c r="CA182" s="141"/>
      <c r="CB182" s="141"/>
      <c r="CC182" s="141"/>
      <c r="CD182" s="141"/>
      <c r="CE182" s="141"/>
      <c r="CF182" s="141"/>
      <c r="CG182" s="141"/>
      <c r="CH182" s="141"/>
      <c r="CI182" s="141"/>
      <c r="CJ182" s="141"/>
      <c r="CK182" s="141"/>
    </row>
    <row r="183" spans="74:89" ht="15" customHeight="1" x14ac:dyDescent="0.35">
      <c r="BV183" s="140"/>
      <c r="BY183" s="141"/>
      <c r="BZ183" s="141"/>
      <c r="CA183" s="141"/>
      <c r="CB183" s="141"/>
      <c r="CC183" s="141"/>
      <c r="CD183" s="141"/>
      <c r="CE183" s="141"/>
      <c r="CF183" s="141"/>
      <c r="CG183" s="141"/>
      <c r="CH183" s="141"/>
      <c r="CI183" s="141"/>
      <c r="CJ183" s="141"/>
      <c r="CK183" s="141"/>
    </row>
    <row r="184" spans="74:89" ht="15" customHeight="1" x14ac:dyDescent="0.35">
      <c r="BV184" s="140"/>
      <c r="BY184" s="141"/>
      <c r="BZ184" s="141"/>
      <c r="CA184" s="141"/>
      <c r="CB184" s="141"/>
      <c r="CC184" s="141"/>
      <c r="CD184" s="141"/>
      <c r="CE184" s="141"/>
      <c r="CF184" s="141"/>
      <c r="CG184" s="141"/>
      <c r="CH184" s="141"/>
      <c r="CI184" s="141"/>
      <c r="CJ184" s="141"/>
      <c r="CK184" s="141"/>
    </row>
    <row r="185" spans="74:89" ht="15" customHeight="1" x14ac:dyDescent="0.35">
      <c r="BV185" s="140"/>
      <c r="BY185" s="141"/>
      <c r="BZ185" s="141"/>
      <c r="CA185" s="141"/>
      <c r="CB185" s="141"/>
      <c r="CC185" s="141"/>
      <c r="CD185" s="141"/>
      <c r="CE185" s="141"/>
      <c r="CF185" s="141"/>
      <c r="CG185" s="141"/>
      <c r="CH185" s="141"/>
      <c r="CI185" s="141"/>
      <c r="CJ185" s="141"/>
      <c r="CK185" s="141"/>
    </row>
    <row r="186" spans="74:89" ht="15" customHeight="1" x14ac:dyDescent="0.35">
      <c r="BV186" s="140"/>
      <c r="BY186" s="141"/>
      <c r="BZ186" s="141"/>
      <c r="CA186" s="141"/>
      <c r="CB186" s="141"/>
      <c r="CC186" s="141"/>
      <c r="CD186" s="141"/>
      <c r="CE186" s="141"/>
      <c r="CF186" s="141"/>
      <c r="CG186" s="141"/>
      <c r="CH186" s="141"/>
      <c r="CI186" s="141"/>
      <c r="CJ186" s="141"/>
      <c r="CK186" s="141"/>
    </row>
    <row r="187" spans="74:89" ht="15" customHeight="1" x14ac:dyDescent="0.35">
      <c r="BV187" s="140"/>
      <c r="BY187" s="141"/>
      <c r="BZ187" s="141"/>
      <c r="CA187" s="141"/>
      <c r="CB187" s="141"/>
      <c r="CC187" s="141"/>
      <c r="CD187" s="141"/>
      <c r="CE187" s="141"/>
      <c r="CF187" s="141"/>
      <c r="CG187" s="141"/>
      <c r="CH187" s="141"/>
      <c r="CI187" s="141"/>
      <c r="CJ187" s="141"/>
      <c r="CK187" s="141"/>
    </row>
    <row r="188" spans="74:89" ht="15" customHeight="1" x14ac:dyDescent="0.35">
      <c r="BV188" s="140"/>
      <c r="BY188" s="141"/>
      <c r="BZ188" s="141"/>
      <c r="CA188" s="141"/>
      <c r="CB188" s="141"/>
      <c r="CC188" s="141"/>
      <c r="CD188" s="141"/>
      <c r="CE188" s="141"/>
      <c r="CF188" s="141"/>
      <c r="CG188" s="141"/>
      <c r="CH188" s="141"/>
      <c r="CI188" s="141"/>
      <c r="CJ188" s="141"/>
      <c r="CK188" s="141"/>
    </row>
    <row r="189" spans="74:89" ht="15" customHeight="1" x14ac:dyDescent="0.35">
      <c r="BV189" s="140"/>
      <c r="BY189" s="141"/>
      <c r="BZ189" s="141"/>
      <c r="CA189" s="141"/>
      <c r="CB189" s="141"/>
      <c r="CC189" s="141"/>
      <c r="CD189" s="141"/>
      <c r="CE189" s="141"/>
      <c r="CF189" s="141"/>
      <c r="CG189" s="141"/>
      <c r="CH189" s="141"/>
      <c r="CI189" s="141"/>
      <c r="CJ189" s="141"/>
      <c r="CK189" s="141"/>
    </row>
    <row r="190" spans="74:89" ht="15" customHeight="1" x14ac:dyDescent="0.35">
      <c r="BV190" s="140"/>
      <c r="BY190" s="141"/>
      <c r="BZ190" s="141"/>
      <c r="CA190" s="141"/>
      <c r="CB190" s="141"/>
      <c r="CC190" s="141"/>
      <c r="CD190" s="141"/>
      <c r="CE190" s="141"/>
      <c r="CF190" s="141"/>
      <c r="CG190" s="141"/>
      <c r="CH190" s="141"/>
      <c r="CI190" s="141"/>
      <c r="CJ190" s="141"/>
      <c r="CK190" s="141"/>
    </row>
    <row r="191" spans="74:89" ht="15" customHeight="1" x14ac:dyDescent="0.35">
      <c r="BV191" s="140"/>
      <c r="BY191" s="141"/>
      <c r="BZ191" s="141"/>
      <c r="CA191" s="141"/>
      <c r="CB191" s="141"/>
      <c r="CC191" s="141"/>
      <c r="CD191" s="141"/>
      <c r="CE191" s="141"/>
      <c r="CF191" s="141"/>
      <c r="CG191" s="141"/>
      <c r="CH191" s="141"/>
      <c r="CI191" s="141"/>
      <c r="CJ191" s="141"/>
      <c r="CK191" s="141"/>
    </row>
    <row r="192" spans="74:89" ht="15" customHeight="1" x14ac:dyDescent="0.35">
      <c r="BV192" s="140"/>
      <c r="BY192" s="141"/>
      <c r="BZ192" s="141"/>
      <c r="CA192" s="141"/>
      <c r="CB192" s="141"/>
      <c r="CC192" s="141"/>
      <c r="CD192" s="141"/>
      <c r="CE192" s="141"/>
      <c r="CF192" s="141"/>
      <c r="CG192" s="141"/>
      <c r="CH192" s="141"/>
      <c r="CI192" s="141"/>
      <c r="CJ192" s="141"/>
      <c r="CK192" s="141"/>
    </row>
    <row r="193" spans="74:89" ht="15" customHeight="1" x14ac:dyDescent="0.35">
      <c r="BV193" s="140"/>
      <c r="BY193" s="141"/>
      <c r="BZ193" s="141"/>
      <c r="CA193" s="141"/>
      <c r="CB193" s="141"/>
      <c r="CC193" s="141"/>
      <c r="CD193" s="141"/>
      <c r="CE193" s="141"/>
      <c r="CF193" s="141"/>
      <c r="CG193" s="141"/>
      <c r="CH193" s="141"/>
      <c r="CI193" s="141"/>
      <c r="CJ193" s="141"/>
      <c r="CK193" s="141"/>
    </row>
    <row r="194" spans="74:89" ht="15" customHeight="1" x14ac:dyDescent="0.35">
      <c r="BV194" s="140"/>
      <c r="BY194" s="141"/>
      <c r="BZ194" s="141"/>
      <c r="CA194" s="141"/>
      <c r="CB194" s="141"/>
      <c r="CC194" s="141"/>
      <c r="CD194" s="141"/>
      <c r="CE194" s="141"/>
      <c r="CF194" s="141"/>
      <c r="CG194" s="141"/>
      <c r="CH194" s="141"/>
      <c r="CI194" s="141"/>
      <c r="CJ194" s="141"/>
      <c r="CK194" s="141"/>
    </row>
    <row r="195" spans="74:89" ht="15" customHeight="1" x14ac:dyDescent="0.35">
      <c r="BV195" s="140"/>
      <c r="BY195" s="141"/>
      <c r="BZ195" s="141"/>
      <c r="CA195" s="141"/>
      <c r="CB195" s="141"/>
      <c r="CC195" s="141"/>
      <c r="CD195" s="141"/>
      <c r="CE195" s="141"/>
      <c r="CF195" s="141"/>
      <c r="CG195" s="141"/>
      <c r="CH195" s="141"/>
      <c r="CI195" s="141"/>
      <c r="CJ195" s="141"/>
      <c r="CK195" s="141"/>
    </row>
    <row r="196" spans="74:89" ht="15" customHeight="1" x14ac:dyDescent="0.35">
      <c r="BV196" s="140"/>
      <c r="BY196" s="141"/>
      <c r="BZ196" s="141"/>
      <c r="CA196" s="141"/>
      <c r="CB196" s="141"/>
      <c r="CC196" s="141"/>
      <c r="CD196" s="141"/>
      <c r="CE196" s="141"/>
      <c r="CF196" s="141"/>
      <c r="CG196" s="141"/>
      <c r="CH196" s="141"/>
      <c r="CI196" s="141"/>
      <c r="CJ196" s="141"/>
      <c r="CK196" s="141"/>
    </row>
    <row r="197" spans="74:89" ht="15" customHeight="1" x14ac:dyDescent="0.35">
      <c r="BV197" s="140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</row>
    <row r="198" spans="74:89" ht="15" customHeight="1" x14ac:dyDescent="0.35">
      <c r="BV198" s="140"/>
      <c r="BY198" s="141"/>
      <c r="BZ198" s="141"/>
      <c r="CA198" s="141"/>
      <c r="CB198" s="141"/>
      <c r="CC198" s="141"/>
      <c r="CD198" s="141"/>
      <c r="CE198" s="141"/>
      <c r="CF198" s="141"/>
      <c r="CG198" s="141"/>
      <c r="CH198" s="141"/>
      <c r="CI198" s="141"/>
      <c r="CJ198" s="141"/>
      <c r="CK198" s="141"/>
    </row>
    <row r="199" spans="74:89" ht="15" customHeight="1" x14ac:dyDescent="0.35">
      <c r="BV199" s="140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</row>
    <row r="200" spans="74:89" ht="15" customHeight="1" x14ac:dyDescent="0.35">
      <c r="BV200" s="140"/>
      <c r="BY200" s="141"/>
      <c r="BZ200" s="141"/>
      <c r="CA200" s="141"/>
      <c r="CB200" s="141"/>
      <c r="CC200" s="141"/>
      <c r="CD200" s="141"/>
      <c r="CE200" s="141"/>
      <c r="CF200" s="141"/>
      <c r="CG200" s="141"/>
      <c r="CH200" s="141"/>
      <c r="CI200" s="141"/>
      <c r="CJ200" s="141"/>
      <c r="CK200" s="141"/>
    </row>
    <row r="201" spans="74:89" ht="15" customHeight="1" x14ac:dyDescent="0.35">
      <c r="BV201" s="140"/>
      <c r="BY201" s="141"/>
      <c r="BZ201" s="141"/>
      <c r="CA201" s="141"/>
      <c r="CB201" s="141"/>
      <c r="CC201" s="141"/>
      <c r="CD201" s="141"/>
      <c r="CE201" s="141"/>
      <c r="CF201" s="141"/>
      <c r="CG201" s="141"/>
      <c r="CH201" s="141"/>
      <c r="CI201" s="141"/>
      <c r="CJ201" s="141"/>
      <c r="CK201" s="141"/>
    </row>
    <row r="202" spans="74:89" ht="15" customHeight="1" x14ac:dyDescent="0.35">
      <c r="BV202" s="140"/>
      <c r="BY202" s="141"/>
      <c r="BZ202" s="141"/>
      <c r="CA202" s="141"/>
      <c r="CB202" s="141"/>
      <c r="CC202" s="141"/>
      <c r="CD202" s="141"/>
      <c r="CE202" s="141"/>
      <c r="CF202" s="141"/>
      <c r="CG202" s="141"/>
      <c r="CH202" s="141"/>
      <c r="CI202" s="141"/>
      <c r="CJ202" s="141"/>
      <c r="CK202" s="141"/>
    </row>
    <row r="203" spans="74:89" ht="15" customHeight="1" x14ac:dyDescent="0.35">
      <c r="BV203" s="140"/>
      <c r="BY203" s="141"/>
      <c r="BZ203" s="141"/>
      <c r="CA203" s="141"/>
      <c r="CB203" s="141"/>
      <c r="CC203" s="141"/>
      <c r="CD203" s="141"/>
      <c r="CE203" s="141"/>
      <c r="CF203" s="141"/>
      <c r="CG203" s="141"/>
      <c r="CH203" s="141"/>
      <c r="CI203" s="141"/>
      <c r="CJ203" s="141"/>
      <c r="CK203" s="141"/>
    </row>
    <row r="204" spans="74:89" ht="15" customHeight="1" x14ac:dyDescent="0.35">
      <c r="BV204" s="140"/>
      <c r="BY204" s="141"/>
      <c r="BZ204" s="141"/>
      <c r="CA204" s="141"/>
      <c r="CB204" s="141"/>
      <c r="CC204" s="141"/>
      <c r="CD204" s="141"/>
      <c r="CE204" s="141"/>
      <c r="CF204" s="141"/>
      <c r="CG204" s="141"/>
      <c r="CH204" s="141"/>
      <c r="CI204" s="141"/>
      <c r="CJ204" s="141"/>
      <c r="CK204" s="141"/>
    </row>
    <row r="205" spans="74:89" ht="15" customHeight="1" x14ac:dyDescent="0.35">
      <c r="BV205" s="140"/>
      <c r="BY205" s="141"/>
      <c r="BZ205" s="141"/>
      <c r="CA205" s="141"/>
      <c r="CB205" s="141"/>
      <c r="CC205" s="141"/>
      <c r="CD205" s="141"/>
      <c r="CE205" s="141"/>
      <c r="CF205" s="141"/>
      <c r="CG205" s="141"/>
      <c r="CH205" s="141"/>
      <c r="CI205" s="141"/>
      <c r="CJ205" s="141"/>
      <c r="CK205" s="141"/>
    </row>
    <row r="206" spans="74:89" ht="15" customHeight="1" x14ac:dyDescent="0.35">
      <c r="BV206" s="140"/>
      <c r="BY206" s="141"/>
      <c r="BZ206" s="141"/>
      <c r="CA206" s="141"/>
      <c r="CB206" s="141"/>
      <c r="CC206" s="141"/>
      <c r="CD206" s="141"/>
      <c r="CE206" s="141"/>
      <c r="CF206" s="141"/>
      <c r="CG206" s="141"/>
      <c r="CH206" s="141"/>
      <c r="CI206" s="141"/>
      <c r="CJ206" s="141"/>
      <c r="CK206" s="141"/>
    </row>
    <row r="207" spans="74:89" ht="15" customHeight="1" x14ac:dyDescent="0.35">
      <c r="BV207" s="140"/>
      <c r="BY207" s="141"/>
      <c r="BZ207" s="141"/>
      <c r="CA207" s="141"/>
      <c r="CB207" s="141"/>
      <c r="CC207" s="141"/>
      <c r="CD207" s="141"/>
      <c r="CE207" s="141"/>
      <c r="CF207" s="141"/>
      <c r="CG207" s="141"/>
      <c r="CH207" s="141"/>
      <c r="CI207" s="141"/>
      <c r="CJ207" s="141"/>
      <c r="CK207" s="141"/>
    </row>
    <row r="208" spans="74:89" ht="15" customHeight="1" x14ac:dyDescent="0.35">
      <c r="BV208" s="140"/>
      <c r="BY208" s="141"/>
      <c r="BZ208" s="141"/>
      <c r="CA208" s="141"/>
      <c r="CB208" s="141"/>
      <c r="CC208" s="141"/>
      <c r="CD208" s="141"/>
      <c r="CE208" s="141"/>
      <c r="CF208" s="141"/>
      <c r="CG208" s="141"/>
      <c r="CH208" s="141"/>
      <c r="CI208" s="141"/>
      <c r="CJ208" s="141"/>
      <c r="CK208" s="141"/>
    </row>
    <row r="209" spans="74:89" ht="15" customHeight="1" x14ac:dyDescent="0.35">
      <c r="BV209" s="140"/>
      <c r="BY209" s="141"/>
      <c r="BZ209" s="141"/>
      <c r="CA209" s="141"/>
      <c r="CB209" s="141"/>
      <c r="CC209" s="141"/>
      <c r="CD209" s="141"/>
      <c r="CE209" s="141"/>
      <c r="CF209" s="141"/>
      <c r="CG209" s="141"/>
      <c r="CH209" s="141"/>
      <c r="CI209" s="141"/>
      <c r="CJ209" s="141"/>
      <c r="CK209" s="141"/>
    </row>
    <row r="210" spans="74:89" ht="15" customHeight="1" x14ac:dyDescent="0.35">
      <c r="BV210" s="140"/>
      <c r="BY210" s="141"/>
      <c r="BZ210" s="141"/>
      <c r="CA210" s="141"/>
      <c r="CB210" s="141"/>
      <c r="CC210" s="141"/>
      <c r="CD210" s="141"/>
      <c r="CE210" s="141"/>
      <c r="CF210" s="141"/>
      <c r="CG210" s="141"/>
      <c r="CH210" s="141"/>
      <c r="CI210" s="141"/>
      <c r="CJ210" s="141"/>
      <c r="CK210" s="141"/>
    </row>
    <row r="211" spans="74:89" ht="15" customHeight="1" x14ac:dyDescent="0.35">
      <c r="BV211" s="140"/>
      <c r="BY211" s="141"/>
      <c r="BZ211" s="141"/>
      <c r="CA211" s="141"/>
      <c r="CB211" s="141"/>
      <c r="CC211" s="141"/>
      <c r="CD211" s="141"/>
      <c r="CE211" s="141"/>
      <c r="CF211" s="141"/>
      <c r="CG211" s="141"/>
      <c r="CH211" s="141"/>
      <c r="CI211" s="141"/>
      <c r="CJ211" s="141"/>
      <c r="CK211" s="141"/>
    </row>
    <row r="212" spans="74:89" ht="15" customHeight="1" x14ac:dyDescent="0.35">
      <c r="BV212" s="140"/>
      <c r="BY212" s="141"/>
      <c r="BZ212" s="141"/>
      <c r="CA212" s="141"/>
      <c r="CB212" s="141"/>
      <c r="CC212" s="141"/>
      <c r="CD212" s="141"/>
      <c r="CE212" s="141"/>
      <c r="CF212" s="141"/>
      <c r="CG212" s="141"/>
      <c r="CH212" s="141"/>
      <c r="CI212" s="141"/>
      <c r="CJ212" s="141"/>
      <c r="CK212" s="141"/>
    </row>
    <row r="213" spans="74:89" ht="15" customHeight="1" x14ac:dyDescent="0.35">
      <c r="BV213" s="140"/>
      <c r="BY213" s="141"/>
      <c r="BZ213" s="141"/>
      <c r="CA213" s="141"/>
      <c r="CB213" s="141"/>
      <c r="CC213" s="141"/>
      <c r="CD213" s="141"/>
      <c r="CE213" s="141"/>
      <c r="CF213" s="141"/>
      <c r="CG213" s="141"/>
      <c r="CH213" s="141"/>
      <c r="CI213" s="141"/>
      <c r="CJ213" s="141"/>
      <c r="CK213" s="141"/>
    </row>
    <row r="214" spans="74:89" ht="15" customHeight="1" x14ac:dyDescent="0.35">
      <c r="BV214" s="140"/>
      <c r="BY214" s="141"/>
      <c r="BZ214" s="141"/>
      <c r="CA214" s="141"/>
      <c r="CB214" s="141"/>
      <c r="CC214" s="141"/>
      <c r="CD214" s="141"/>
      <c r="CE214" s="141"/>
      <c r="CF214" s="141"/>
      <c r="CG214" s="141"/>
      <c r="CH214" s="141"/>
      <c r="CI214" s="141"/>
      <c r="CJ214" s="141"/>
      <c r="CK214" s="141"/>
    </row>
    <row r="215" spans="74:89" ht="15" customHeight="1" x14ac:dyDescent="0.35">
      <c r="BV215" s="140"/>
      <c r="BY215" s="141"/>
      <c r="BZ215" s="141"/>
      <c r="CA215" s="141"/>
      <c r="CB215" s="141"/>
      <c r="CC215" s="141"/>
      <c r="CD215" s="141"/>
      <c r="CE215" s="141"/>
      <c r="CF215" s="141"/>
      <c r="CG215" s="141"/>
      <c r="CH215" s="141"/>
      <c r="CI215" s="141"/>
      <c r="CJ215" s="141"/>
      <c r="CK215" s="141"/>
    </row>
    <row r="216" spans="74:89" ht="15" customHeight="1" x14ac:dyDescent="0.35">
      <c r="BV216" s="140"/>
      <c r="BY216" s="141"/>
      <c r="BZ216" s="141"/>
      <c r="CA216" s="141"/>
      <c r="CB216" s="141"/>
      <c r="CC216" s="141"/>
      <c r="CD216" s="141"/>
      <c r="CE216" s="141"/>
      <c r="CF216" s="141"/>
      <c r="CG216" s="141"/>
      <c r="CH216" s="141"/>
      <c r="CI216" s="141"/>
      <c r="CJ216" s="141"/>
      <c r="CK216" s="141"/>
    </row>
    <row r="217" spans="74:89" ht="15" customHeight="1" x14ac:dyDescent="0.35">
      <c r="BV217" s="140"/>
      <c r="BY217" s="141"/>
      <c r="BZ217" s="141"/>
      <c r="CA217" s="141"/>
      <c r="CB217" s="141"/>
      <c r="CC217" s="141"/>
      <c r="CD217" s="141"/>
      <c r="CE217" s="141"/>
      <c r="CF217" s="141"/>
      <c r="CG217" s="141"/>
      <c r="CH217" s="141"/>
      <c r="CI217" s="141"/>
      <c r="CJ217" s="141"/>
      <c r="CK217" s="141"/>
    </row>
    <row r="218" spans="74:89" ht="15" customHeight="1" x14ac:dyDescent="0.35">
      <c r="BV218" s="140"/>
      <c r="BY218" s="141"/>
      <c r="BZ218" s="141"/>
      <c r="CA218" s="141"/>
      <c r="CB218" s="141"/>
      <c r="CC218" s="141"/>
      <c r="CD218" s="141"/>
      <c r="CE218" s="141"/>
      <c r="CF218" s="141"/>
      <c r="CG218" s="141"/>
      <c r="CH218" s="141"/>
      <c r="CI218" s="141"/>
      <c r="CJ218" s="141"/>
      <c r="CK218" s="141"/>
    </row>
    <row r="219" spans="74:89" ht="15" customHeight="1" x14ac:dyDescent="0.35">
      <c r="BV219" s="140"/>
      <c r="BY219" s="141"/>
      <c r="BZ219" s="141"/>
      <c r="CA219" s="141"/>
      <c r="CB219" s="141"/>
      <c r="CC219" s="141"/>
      <c r="CD219" s="141"/>
      <c r="CE219" s="141"/>
      <c r="CF219" s="141"/>
      <c r="CG219" s="141"/>
      <c r="CH219" s="141"/>
      <c r="CI219" s="141"/>
      <c r="CJ219" s="141"/>
      <c r="CK219" s="141"/>
    </row>
    <row r="220" spans="74:89" ht="15" customHeight="1" x14ac:dyDescent="0.35">
      <c r="BV220" s="140"/>
      <c r="BY220" s="141"/>
      <c r="BZ220" s="141"/>
      <c r="CA220" s="141"/>
      <c r="CB220" s="141"/>
      <c r="CC220" s="141"/>
      <c r="CD220" s="141"/>
      <c r="CE220" s="141"/>
      <c r="CF220" s="141"/>
      <c r="CG220" s="141"/>
      <c r="CH220" s="141"/>
      <c r="CI220" s="141"/>
      <c r="CJ220" s="141"/>
      <c r="CK220" s="141"/>
    </row>
    <row r="221" spans="74:89" ht="15" customHeight="1" x14ac:dyDescent="0.35">
      <c r="BV221" s="140"/>
      <c r="BY221" s="141"/>
      <c r="BZ221" s="141"/>
      <c r="CA221" s="141"/>
      <c r="CB221" s="141"/>
      <c r="CC221" s="141"/>
      <c r="CD221" s="141"/>
      <c r="CE221" s="141"/>
      <c r="CF221" s="141"/>
      <c r="CG221" s="141"/>
      <c r="CH221" s="141"/>
      <c r="CI221" s="141"/>
      <c r="CJ221" s="141"/>
      <c r="CK221" s="141"/>
    </row>
    <row r="222" spans="74:89" ht="15" customHeight="1" x14ac:dyDescent="0.35">
      <c r="BV222" s="140"/>
      <c r="BY222" s="141"/>
      <c r="BZ222" s="141"/>
      <c r="CA222" s="141"/>
      <c r="CB222" s="141"/>
      <c r="CC222" s="141"/>
      <c r="CD222" s="141"/>
      <c r="CE222" s="141"/>
      <c r="CF222" s="141"/>
      <c r="CG222" s="141"/>
      <c r="CH222" s="141"/>
      <c r="CI222" s="141"/>
      <c r="CJ222" s="141"/>
      <c r="CK222" s="141"/>
    </row>
    <row r="223" spans="74:89" ht="15" customHeight="1" x14ac:dyDescent="0.35">
      <c r="BV223" s="140"/>
      <c r="BY223" s="141"/>
      <c r="BZ223" s="141"/>
      <c r="CA223" s="141"/>
      <c r="CB223" s="141"/>
      <c r="CC223" s="141"/>
      <c r="CD223" s="141"/>
      <c r="CE223" s="141"/>
      <c r="CF223" s="141"/>
      <c r="CG223" s="141"/>
      <c r="CH223" s="141"/>
      <c r="CI223" s="141"/>
      <c r="CJ223" s="141"/>
      <c r="CK223" s="141"/>
    </row>
    <row r="224" spans="74:89" ht="15" customHeight="1" x14ac:dyDescent="0.35">
      <c r="BV224" s="140"/>
      <c r="BY224" s="141"/>
      <c r="BZ224" s="141"/>
      <c r="CA224" s="141"/>
      <c r="CB224" s="141"/>
      <c r="CC224" s="141"/>
      <c r="CD224" s="141"/>
      <c r="CE224" s="141"/>
      <c r="CF224" s="141"/>
      <c r="CG224" s="141"/>
      <c r="CH224" s="141"/>
      <c r="CI224" s="141"/>
      <c r="CJ224" s="141"/>
      <c r="CK224" s="141"/>
    </row>
    <row r="225" spans="74:89" ht="15" customHeight="1" x14ac:dyDescent="0.35">
      <c r="BV225" s="140"/>
      <c r="BY225" s="141"/>
      <c r="BZ225" s="141"/>
      <c r="CA225" s="141"/>
      <c r="CB225" s="141"/>
      <c r="CC225" s="141"/>
      <c r="CD225" s="141"/>
      <c r="CE225" s="141"/>
      <c r="CF225" s="141"/>
      <c r="CG225" s="141"/>
      <c r="CH225" s="141"/>
      <c r="CI225" s="141"/>
      <c r="CJ225" s="141"/>
      <c r="CK225" s="141"/>
    </row>
    <row r="226" spans="74:89" ht="15" customHeight="1" x14ac:dyDescent="0.35">
      <c r="BV226" s="140"/>
      <c r="BY226" s="141"/>
      <c r="BZ226" s="141"/>
      <c r="CA226" s="141"/>
      <c r="CB226" s="141"/>
      <c r="CC226" s="141"/>
      <c r="CD226" s="141"/>
      <c r="CE226" s="141"/>
      <c r="CF226" s="141"/>
      <c r="CG226" s="141"/>
      <c r="CH226" s="141"/>
      <c r="CI226" s="141"/>
      <c r="CJ226" s="141"/>
      <c r="CK226" s="141"/>
    </row>
    <row r="227" spans="74:89" ht="15" customHeight="1" x14ac:dyDescent="0.35">
      <c r="BV227" s="140"/>
      <c r="BY227" s="141"/>
      <c r="BZ227" s="141"/>
      <c r="CA227" s="141"/>
      <c r="CB227" s="141"/>
      <c r="CC227" s="141"/>
      <c r="CD227" s="141"/>
      <c r="CE227" s="141"/>
      <c r="CF227" s="141"/>
      <c r="CG227" s="141"/>
      <c r="CH227" s="141"/>
      <c r="CI227" s="141"/>
      <c r="CJ227" s="141"/>
      <c r="CK227" s="141"/>
    </row>
    <row r="228" spans="74:89" ht="15" customHeight="1" x14ac:dyDescent="0.35">
      <c r="BV228" s="140"/>
      <c r="BY228" s="141"/>
      <c r="BZ228" s="141"/>
      <c r="CA228" s="141"/>
      <c r="CB228" s="141"/>
      <c r="CC228" s="141"/>
      <c r="CD228" s="141"/>
      <c r="CE228" s="141"/>
      <c r="CF228" s="141"/>
      <c r="CG228" s="141"/>
      <c r="CH228" s="141"/>
      <c r="CI228" s="141"/>
      <c r="CJ228" s="141"/>
      <c r="CK228" s="141"/>
    </row>
    <row r="229" spans="74:89" ht="15" customHeight="1" x14ac:dyDescent="0.35">
      <c r="BV229" s="140"/>
      <c r="BY229" s="141"/>
      <c r="BZ229" s="141"/>
      <c r="CA229" s="141"/>
      <c r="CB229" s="141"/>
      <c r="CC229" s="141"/>
      <c r="CD229" s="141"/>
      <c r="CE229" s="141"/>
      <c r="CF229" s="141"/>
      <c r="CG229" s="141"/>
      <c r="CH229" s="141"/>
      <c r="CI229" s="141"/>
      <c r="CJ229" s="141"/>
      <c r="CK229" s="141"/>
    </row>
    <row r="230" spans="74:89" ht="15" customHeight="1" x14ac:dyDescent="0.35">
      <c r="BV230" s="140"/>
      <c r="BY230" s="141"/>
      <c r="BZ230" s="141"/>
      <c r="CA230" s="141"/>
      <c r="CB230" s="141"/>
      <c r="CC230" s="141"/>
      <c r="CD230" s="141"/>
      <c r="CE230" s="141"/>
      <c r="CF230" s="141"/>
      <c r="CG230" s="141"/>
      <c r="CH230" s="141"/>
      <c r="CI230" s="141"/>
      <c r="CJ230" s="141"/>
      <c r="CK230" s="141"/>
    </row>
    <row r="231" spans="74:89" ht="15" customHeight="1" x14ac:dyDescent="0.35">
      <c r="BV231" s="140"/>
      <c r="BY231" s="141"/>
      <c r="BZ231" s="141"/>
      <c r="CA231" s="141"/>
      <c r="CB231" s="141"/>
      <c r="CC231" s="141"/>
      <c r="CD231" s="141"/>
      <c r="CE231" s="141"/>
      <c r="CF231" s="141"/>
      <c r="CG231" s="141"/>
      <c r="CH231" s="141"/>
      <c r="CI231" s="141"/>
      <c r="CJ231" s="141"/>
      <c r="CK231" s="141"/>
    </row>
    <row r="232" spans="74:89" ht="15" customHeight="1" x14ac:dyDescent="0.35">
      <c r="BV232" s="140"/>
      <c r="BY232" s="141"/>
      <c r="BZ232" s="141"/>
      <c r="CA232" s="141"/>
      <c r="CB232" s="141"/>
      <c r="CC232" s="141"/>
      <c r="CD232" s="141"/>
      <c r="CE232" s="141"/>
      <c r="CF232" s="141"/>
      <c r="CG232" s="141"/>
      <c r="CH232" s="141"/>
      <c r="CI232" s="141"/>
      <c r="CJ232" s="141"/>
      <c r="CK232" s="141"/>
    </row>
    <row r="233" spans="74:89" ht="15" customHeight="1" x14ac:dyDescent="0.35">
      <c r="BV233" s="140"/>
      <c r="BY233" s="141"/>
      <c r="BZ233" s="141"/>
      <c r="CA233" s="141"/>
      <c r="CB233" s="141"/>
      <c r="CC233" s="141"/>
      <c r="CD233" s="141"/>
      <c r="CE233" s="141"/>
      <c r="CF233" s="141"/>
      <c r="CG233" s="141"/>
      <c r="CH233" s="141"/>
      <c r="CI233" s="141"/>
      <c r="CJ233" s="141"/>
      <c r="CK233" s="141"/>
    </row>
    <row r="234" spans="74:89" ht="15" customHeight="1" x14ac:dyDescent="0.35">
      <c r="BV234" s="140"/>
      <c r="BY234" s="141"/>
      <c r="BZ234" s="141"/>
      <c r="CA234" s="141"/>
      <c r="CB234" s="141"/>
      <c r="CC234" s="141"/>
      <c r="CD234" s="141"/>
      <c r="CE234" s="141"/>
      <c r="CF234" s="141"/>
      <c r="CG234" s="141"/>
      <c r="CH234" s="141"/>
      <c r="CI234" s="141"/>
      <c r="CJ234" s="141"/>
      <c r="CK234" s="141"/>
    </row>
    <row r="235" spans="74:89" ht="15" customHeight="1" x14ac:dyDescent="0.35">
      <c r="BV235" s="140"/>
      <c r="BY235" s="141"/>
      <c r="BZ235" s="141"/>
      <c r="CA235" s="141"/>
      <c r="CB235" s="141"/>
      <c r="CC235" s="141"/>
      <c r="CD235" s="141"/>
      <c r="CE235" s="141"/>
      <c r="CF235" s="141"/>
      <c r="CG235" s="141"/>
      <c r="CH235" s="141"/>
      <c r="CI235" s="141"/>
      <c r="CJ235" s="141"/>
      <c r="CK235" s="141"/>
    </row>
    <row r="236" spans="74:89" ht="15" customHeight="1" x14ac:dyDescent="0.35">
      <c r="BV236" s="140"/>
      <c r="BY236" s="141"/>
      <c r="BZ236" s="141"/>
      <c r="CA236" s="141"/>
      <c r="CB236" s="141"/>
      <c r="CC236" s="141"/>
      <c r="CD236" s="141"/>
      <c r="CE236" s="141"/>
      <c r="CF236" s="141"/>
      <c r="CG236" s="141"/>
      <c r="CH236" s="141"/>
      <c r="CI236" s="141"/>
      <c r="CJ236" s="141"/>
      <c r="CK236" s="141"/>
    </row>
    <row r="237" spans="74:89" ht="15" customHeight="1" x14ac:dyDescent="0.35">
      <c r="BV237" s="140"/>
      <c r="BY237" s="141"/>
      <c r="BZ237" s="141"/>
      <c r="CA237" s="141"/>
      <c r="CB237" s="141"/>
      <c r="CC237" s="141"/>
      <c r="CD237" s="141"/>
      <c r="CE237" s="141"/>
      <c r="CF237" s="141"/>
      <c r="CG237" s="141"/>
      <c r="CH237" s="141"/>
      <c r="CI237" s="141"/>
      <c r="CJ237" s="141"/>
      <c r="CK237" s="141"/>
    </row>
    <row r="238" spans="74:89" ht="15" customHeight="1" x14ac:dyDescent="0.35">
      <c r="BV238" s="140"/>
      <c r="BY238" s="141"/>
      <c r="BZ238" s="141"/>
      <c r="CA238" s="141"/>
      <c r="CB238" s="141"/>
      <c r="CC238" s="141"/>
      <c r="CD238" s="141"/>
      <c r="CE238" s="141"/>
      <c r="CF238" s="141"/>
      <c r="CG238" s="141"/>
      <c r="CH238" s="141"/>
      <c r="CI238" s="141"/>
      <c r="CJ238" s="141"/>
      <c r="CK238" s="141"/>
    </row>
    <row r="239" spans="74:89" ht="15" customHeight="1" x14ac:dyDescent="0.35">
      <c r="BV239" s="140"/>
      <c r="BY239" s="141"/>
      <c r="BZ239" s="141"/>
      <c r="CA239" s="141"/>
      <c r="CB239" s="141"/>
      <c r="CC239" s="141"/>
      <c r="CD239" s="141"/>
      <c r="CE239" s="141"/>
      <c r="CF239" s="141"/>
      <c r="CG239" s="141"/>
      <c r="CH239" s="141"/>
      <c r="CI239" s="141"/>
      <c r="CJ239" s="141"/>
      <c r="CK239" s="141"/>
    </row>
    <row r="240" spans="74:89" ht="15" customHeight="1" x14ac:dyDescent="0.35">
      <c r="BV240" s="140"/>
      <c r="BY240" s="141"/>
      <c r="BZ240" s="141"/>
      <c r="CA240" s="141"/>
      <c r="CB240" s="141"/>
      <c r="CC240" s="141"/>
      <c r="CD240" s="141"/>
      <c r="CE240" s="141"/>
      <c r="CF240" s="141"/>
      <c r="CG240" s="141"/>
      <c r="CH240" s="141"/>
      <c r="CI240" s="141"/>
      <c r="CJ240" s="141"/>
      <c r="CK240" s="141"/>
    </row>
    <row r="241" spans="74:89" ht="15" customHeight="1" x14ac:dyDescent="0.35">
      <c r="BV241" s="140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</row>
    <row r="242" spans="74:89" ht="15" customHeight="1" x14ac:dyDescent="0.35">
      <c r="BV242" s="140"/>
      <c r="BY242" s="141"/>
      <c r="BZ242" s="141"/>
      <c r="CA242" s="141"/>
      <c r="CB242" s="141"/>
      <c r="CC242" s="141"/>
      <c r="CD242" s="141"/>
      <c r="CE242" s="141"/>
      <c r="CF242" s="141"/>
      <c r="CG242" s="141"/>
      <c r="CH242" s="141"/>
      <c r="CI242" s="141"/>
      <c r="CJ242" s="141"/>
      <c r="CK242" s="141"/>
    </row>
    <row r="243" spans="74:89" ht="15" customHeight="1" x14ac:dyDescent="0.35">
      <c r="BV243" s="140"/>
      <c r="BY243" s="141"/>
      <c r="BZ243" s="141"/>
      <c r="CA243" s="141"/>
      <c r="CB243" s="141"/>
      <c r="CC243" s="141"/>
      <c r="CD243" s="141"/>
      <c r="CE243" s="141"/>
      <c r="CF243" s="141"/>
      <c r="CG243" s="141"/>
      <c r="CH243" s="141"/>
      <c r="CI243" s="141"/>
      <c r="CJ243" s="141"/>
      <c r="CK243" s="141"/>
    </row>
    <row r="244" spans="74:89" ht="15" customHeight="1" x14ac:dyDescent="0.35">
      <c r="BV244" s="140"/>
      <c r="BY244" s="141"/>
      <c r="BZ244" s="141"/>
      <c r="CA244" s="141"/>
      <c r="CB244" s="141"/>
      <c r="CC244" s="141"/>
      <c r="CD244" s="141"/>
      <c r="CE244" s="141"/>
      <c r="CF244" s="141"/>
      <c r="CG244" s="141"/>
      <c r="CH244" s="141"/>
      <c r="CI244" s="141"/>
      <c r="CJ244" s="141"/>
      <c r="CK244" s="141"/>
    </row>
    <row r="245" spans="74:89" ht="15" customHeight="1" x14ac:dyDescent="0.35">
      <c r="BV245" s="140"/>
      <c r="BY245" s="141"/>
      <c r="BZ245" s="141"/>
      <c r="CA245" s="141"/>
      <c r="CB245" s="141"/>
      <c r="CC245" s="141"/>
      <c r="CD245" s="141"/>
      <c r="CE245" s="141"/>
      <c r="CF245" s="141"/>
      <c r="CG245" s="141"/>
      <c r="CH245" s="141"/>
      <c r="CI245" s="141"/>
      <c r="CJ245" s="141"/>
      <c r="CK245" s="141"/>
    </row>
    <row r="246" spans="74:89" ht="15" customHeight="1" x14ac:dyDescent="0.35">
      <c r="BV246" s="140"/>
      <c r="BY246" s="141"/>
      <c r="BZ246" s="141"/>
      <c r="CA246" s="141"/>
      <c r="CB246" s="141"/>
      <c r="CC246" s="141"/>
      <c r="CD246" s="141"/>
      <c r="CE246" s="141"/>
      <c r="CF246" s="141"/>
      <c r="CG246" s="141"/>
      <c r="CH246" s="141"/>
      <c r="CI246" s="141"/>
      <c r="CJ246" s="141"/>
      <c r="CK246" s="141"/>
    </row>
    <row r="247" spans="74:89" ht="15" customHeight="1" x14ac:dyDescent="0.35">
      <c r="BV247" s="140"/>
      <c r="BY247" s="141"/>
      <c r="BZ247" s="141"/>
      <c r="CA247" s="141"/>
      <c r="CB247" s="141"/>
      <c r="CC247" s="141"/>
      <c r="CD247" s="141"/>
      <c r="CE247" s="141"/>
      <c r="CF247" s="141"/>
      <c r="CG247" s="141"/>
      <c r="CH247" s="141"/>
      <c r="CI247" s="141"/>
      <c r="CJ247" s="141"/>
      <c r="CK247" s="141"/>
    </row>
    <row r="248" spans="74:89" ht="15" customHeight="1" x14ac:dyDescent="0.35">
      <c r="BV248" s="140"/>
      <c r="BY248" s="141"/>
      <c r="BZ248" s="141"/>
      <c r="CA248" s="141"/>
      <c r="CB248" s="141"/>
      <c r="CC248" s="141"/>
      <c r="CD248" s="141"/>
      <c r="CE248" s="141"/>
      <c r="CF248" s="141"/>
      <c r="CG248" s="141"/>
      <c r="CH248" s="141"/>
      <c r="CI248" s="141"/>
      <c r="CJ248" s="141"/>
      <c r="CK248" s="141"/>
    </row>
    <row r="249" spans="74:89" ht="15" customHeight="1" x14ac:dyDescent="0.35">
      <c r="BV249" s="140"/>
      <c r="BY249" s="141"/>
      <c r="BZ249" s="141"/>
      <c r="CA249" s="141"/>
      <c r="CB249" s="141"/>
      <c r="CC249" s="141"/>
      <c r="CD249" s="141"/>
      <c r="CE249" s="141"/>
      <c r="CF249" s="141"/>
      <c r="CG249" s="141"/>
      <c r="CH249" s="141"/>
      <c r="CI249" s="141"/>
      <c r="CJ249" s="141"/>
      <c r="CK249" s="141"/>
    </row>
    <row r="250" spans="74:89" ht="15" customHeight="1" x14ac:dyDescent="0.35">
      <c r="BV250" s="140"/>
      <c r="BY250" s="141"/>
      <c r="BZ250" s="141"/>
      <c r="CA250" s="141"/>
      <c r="CB250" s="141"/>
      <c r="CC250" s="141"/>
      <c r="CD250" s="141"/>
      <c r="CE250" s="141"/>
      <c r="CF250" s="141"/>
      <c r="CG250" s="141"/>
      <c r="CH250" s="141"/>
      <c r="CI250" s="141"/>
      <c r="CJ250" s="141"/>
      <c r="CK250" s="141"/>
    </row>
    <row r="251" spans="74:89" ht="15" customHeight="1" x14ac:dyDescent="0.35">
      <c r="BV251" s="140"/>
      <c r="BY251" s="141"/>
      <c r="BZ251" s="141"/>
      <c r="CA251" s="141"/>
      <c r="CB251" s="141"/>
      <c r="CC251" s="141"/>
      <c r="CD251" s="141"/>
      <c r="CE251" s="141"/>
      <c r="CF251" s="141"/>
      <c r="CG251" s="141"/>
      <c r="CH251" s="141"/>
      <c r="CI251" s="141"/>
      <c r="CJ251" s="141"/>
      <c r="CK251" s="141"/>
    </row>
    <row r="252" spans="74:89" ht="15" customHeight="1" x14ac:dyDescent="0.35">
      <c r="BV252" s="140"/>
      <c r="BY252" s="141"/>
      <c r="BZ252" s="141"/>
      <c r="CA252" s="141"/>
      <c r="CB252" s="141"/>
      <c r="CC252" s="141"/>
      <c r="CD252" s="141"/>
      <c r="CE252" s="141"/>
      <c r="CF252" s="141"/>
      <c r="CG252" s="141"/>
      <c r="CH252" s="141"/>
      <c r="CI252" s="141"/>
      <c r="CJ252" s="141"/>
      <c r="CK252" s="141"/>
    </row>
    <row r="253" spans="74:89" ht="15" customHeight="1" x14ac:dyDescent="0.35">
      <c r="BV253" s="140"/>
      <c r="BY253" s="141"/>
      <c r="BZ253" s="141"/>
      <c r="CA253" s="141"/>
      <c r="CB253" s="141"/>
      <c r="CC253" s="141"/>
      <c r="CD253" s="141"/>
      <c r="CE253" s="141"/>
      <c r="CF253" s="141"/>
      <c r="CG253" s="141"/>
      <c r="CH253" s="141"/>
      <c r="CI253" s="141"/>
      <c r="CJ253" s="141"/>
      <c r="CK253" s="141"/>
    </row>
    <row r="254" spans="74:89" ht="15" customHeight="1" x14ac:dyDescent="0.35">
      <c r="BV254" s="140"/>
      <c r="BY254" s="141"/>
      <c r="BZ254" s="141"/>
      <c r="CA254" s="141"/>
      <c r="CB254" s="141"/>
      <c r="CC254" s="141"/>
      <c r="CD254" s="141"/>
      <c r="CE254" s="141"/>
      <c r="CF254" s="141"/>
      <c r="CG254" s="141"/>
      <c r="CH254" s="141"/>
      <c r="CI254" s="141"/>
      <c r="CJ254" s="141"/>
      <c r="CK254" s="141"/>
    </row>
    <row r="255" spans="74:89" ht="15" customHeight="1" x14ac:dyDescent="0.35">
      <c r="BV255" s="140"/>
      <c r="BY255" s="141"/>
      <c r="BZ255" s="141"/>
      <c r="CA255" s="141"/>
      <c r="CB255" s="141"/>
      <c r="CC255" s="141"/>
      <c r="CD255" s="141"/>
      <c r="CE255" s="141"/>
      <c r="CF255" s="141"/>
      <c r="CG255" s="141"/>
      <c r="CH255" s="141"/>
      <c r="CI255" s="141"/>
      <c r="CJ255" s="141"/>
      <c r="CK255" s="141"/>
    </row>
    <row r="256" spans="74:89" ht="15" customHeight="1" x14ac:dyDescent="0.35">
      <c r="BV256" s="140"/>
      <c r="BY256" s="141"/>
      <c r="BZ256" s="141"/>
      <c r="CA256" s="141"/>
      <c r="CB256" s="141"/>
      <c r="CC256" s="141"/>
      <c r="CD256" s="141"/>
      <c r="CE256" s="141"/>
      <c r="CF256" s="141"/>
      <c r="CG256" s="141"/>
      <c r="CH256" s="141"/>
      <c r="CI256" s="141"/>
      <c r="CJ256" s="141"/>
      <c r="CK256" s="141"/>
    </row>
    <row r="257" spans="74:89" ht="15" customHeight="1" x14ac:dyDescent="0.35">
      <c r="BV257" s="140"/>
      <c r="BY257" s="141"/>
      <c r="BZ257" s="141"/>
      <c r="CA257" s="141"/>
      <c r="CB257" s="141"/>
      <c r="CC257" s="141"/>
      <c r="CD257" s="141"/>
      <c r="CE257" s="141"/>
      <c r="CF257" s="141"/>
      <c r="CG257" s="141"/>
      <c r="CH257" s="141"/>
      <c r="CI257" s="141"/>
      <c r="CJ257" s="141"/>
      <c r="CK257" s="141"/>
    </row>
    <row r="258" spans="74:89" ht="15" customHeight="1" x14ac:dyDescent="0.35">
      <c r="BV258" s="140"/>
      <c r="BY258" s="141"/>
      <c r="BZ258" s="141"/>
      <c r="CA258" s="141"/>
      <c r="CB258" s="141"/>
      <c r="CC258" s="141"/>
      <c r="CD258" s="141"/>
      <c r="CE258" s="141"/>
      <c r="CF258" s="141"/>
      <c r="CG258" s="141"/>
      <c r="CH258" s="141"/>
      <c r="CI258" s="141"/>
      <c r="CJ258" s="141"/>
      <c r="CK258" s="141"/>
    </row>
    <row r="259" spans="74:89" ht="15" customHeight="1" x14ac:dyDescent="0.35">
      <c r="BV259" s="140"/>
      <c r="BY259" s="141"/>
      <c r="BZ259" s="141"/>
      <c r="CA259" s="141"/>
      <c r="CB259" s="141"/>
      <c r="CC259" s="141"/>
      <c r="CD259" s="141"/>
      <c r="CE259" s="141"/>
      <c r="CF259" s="141"/>
      <c r="CG259" s="141"/>
      <c r="CH259" s="141"/>
      <c r="CI259" s="141"/>
      <c r="CJ259" s="141"/>
      <c r="CK259" s="141"/>
    </row>
    <row r="260" spans="74:89" ht="15" customHeight="1" x14ac:dyDescent="0.35">
      <c r="BV260" s="140"/>
      <c r="BY260" s="141"/>
      <c r="BZ260" s="141"/>
      <c r="CA260" s="141"/>
      <c r="CB260" s="141"/>
      <c r="CC260" s="141"/>
      <c r="CD260" s="141"/>
      <c r="CE260" s="141"/>
      <c r="CF260" s="141"/>
      <c r="CG260" s="141"/>
      <c r="CH260" s="141"/>
      <c r="CI260" s="141"/>
      <c r="CJ260" s="141"/>
      <c r="CK260" s="141"/>
    </row>
    <row r="261" spans="74:89" ht="15" customHeight="1" x14ac:dyDescent="0.35">
      <c r="BV261" s="140"/>
      <c r="BY261" s="141"/>
      <c r="BZ261" s="141"/>
      <c r="CA261" s="141"/>
      <c r="CB261" s="141"/>
      <c r="CC261" s="141"/>
      <c r="CD261" s="141"/>
      <c r="CE261" s="141"/>
      <c r="CF261" s="141"/>
      <c r="CG261" s="141"/>
      <c r="CH261" s="141"/>
      <c r="CI261" s="141"/>
      <c r="CJ261" s="141"/>
      <c r="CK261" s="141"/>
    </row>
    <row r="262" spans="74:89" ht="15" customHeight="1" x14ac:dyDescent="0.35">
      <c r="BV262" s="140"/>
      <c r="BY262" s="141"/>
      <c r="BZ262" s="141"/>
      <c r="CA262" s="141"/>
      <c r="CB262" s="141"/>
      <c r="CC262" s="141"/>
      <c r="CD262" s="141"/>
      <c r="CE262" s="141"/>
      <c r="CF262" s="141"/>
      <c r="CG262" s="141"/>
      <c r="CH262" s="141"/>
      <c r="CI262" s="141"/>
      <c r="CJ262" s="141"/>
      <c r="CK262" s="141"/>
    </row>
    <row r="263" spans="74:89" ht="15" customHeight="1" x14ac:dyDescent="0.35">
      <c r="BV263" s="140"/>
      <c r="BY263" s="141"/>
      <c r="BZ263" s="141"/>
      <c r="CA263" s="141"/>
      <c r="CB263" s="141"/>
      <c r="CC263" s="141"/>
      <c r="CD263" s="141"/>
      <c r="CE263" s="141"/>
      <c r="CF263" s="141"/>
      <c r="CG263" s="141"/>
      <c r="CH263" s="141"/>
      <c r="CI263" s="141"/>
      <c r="CJ263" s="141"/>
      <c r="CK263" s="141"/>
    </row>
    <row r="264" spans="74:89" ht="15" customHeight="1" x14ac:dyDescent="0.35">
      <c r="BV264" s="140"/>
      <c r="BY264" s="141"/>
      <c r="BZ264" s="141"/>
      <c r="CA264" s="141"/>
      <c r="CB264" s="141"/>
      <c r="CC264" s="141"/>
      <c r="CD264" s="141"/>
      <c r="CE264" s="141"/>
      <c r="CF264" s="141"/>
      <c r="CG264" s="141"/>
      <c r="CH264" s="141"/>
      <c r="CI264" s="141"/>
      <c r="CJ264" s="141"/>
      <c r="CK264" s="141"/>
    </row>
    <row r="265" spans="74:89" ht="15" customHeight="1" x14ac:dyDescent="0.35">
      <c r="BV265" s="140"/>
      <c r="BY265" s="141"/>
      <c r="BZ265" s="141"/>
      <c r="CA265" s="141"/>
      <c r="CB265" s="141"/>
      <c r="CC265" s="141"/>
      <c r="CD265" s="141"/>
      <c r="CE265" s="141"/>
      <c r="CF265" s="141"/>
      <c r="CG265" s="141"/>
      <c r="CH265" s="141"/>
      <c r="CI265" s="141"/>
      <c r="CJ265" s="141"/>
      <c r="CK265" s="141"/>
    </row>
    <row r="266" spans="74:89" ht="15" customHeight="1" x14ac:dyDescent="0.35">
      <c r="BV266" s="140"/>
      <c r="BY266" s="141"/>
      <c r="BZ266" s="141"/>
      <c r="CA266" s="141"/>
      <c r="CB266" s="141"/>
      <c r="CC266" s="141"/>
      <c r="CD266" s="141"/>
      <c r="CE266" s="141"/>
      <c r="CF266" s="141"/>
      <c r="CG266" s="141"/>
      <c r="CH266" s="141"/>
      <c r="CI266" s="141"/>
      <c r="CJ266" s="141"/>
      <c r="CK266" s="141"/>
    </row>
    <row r="267" spans="74:89" ht="15" customHeight="1" x14ac:dyDescent="0.35">
      <c r="BV267" s="140"/>
      <c r="BY267" s="141"/>
      <c r="BZ267" s="141"/>
      <c r="CA267" s="141"/>
      <c r="CB267" s="141"/>
      <c r="CC267" s="141"/>
      <c r="CD267" s="141"/>
      <c r="CE267" s="141"/>
      <c r="CF267" s="141"/>
      <c r="CG267" s="141"/>
      <c r="CH267" s="141"/>
      <c r="CI267" s="141"/>
      <c r="CJ267" s="141"/>
      <c r="CK267" s="141"/>
    </row>
    <row r="268" spans="74:89" ht="15" customHeight="1" x14ac:dyDescent="0.35">
      <c r="BV268" s="140"/>
      <c r="BY268" s="141"/>
      <c r="BZ268" s="141"/>
      <c r="CA268" s="141"/>
      <c r="CB268" s="141"/>
      <c r="CC268" s="141"/>
      <c r="CD268" s="141"/>
      <c r="CE268" s="141"/>
      <c r="CF268" s="141"/>
      <c r="CG268" s="141"/>
      <c r="CH268" s="141"/>
      <c r="CI268" s="141"/>
      <c r="CJ268" s="141"/>
      <c r="CK268" s="141"/>
    </row>
    <row r="269" spans="74:89" ht="15" customHeight="1" x14ac:dyDescent="0.35">
      <c r="BV269" s="140"/>
      <c r="BY269" s="141"/>
      <c r="BZ269" s="141"/>
      <c r="CA269" s="141"/>
      <c r="CB269" s="141"/>
      <c r="CC269" s="141"/>
      <c r="CD269" s="141"/>
      <c r="CE269" s="141"/>
      <c r="CF269" s="141"/>
      <c r="CG269" s="141"/>
      <c r="CH269" s="141"/>
      <c r="CI269" s="141"/>
      <c r="CJ269" s="141"/>
      <c r="CK269" s="141"/>
    </row>
    <row r="270" spans="74:89" ht="15" customHeight="1" x14ac:dyDescent="0.35">
      <c r="BV270" s="140"/>
      <c r="BY270" s="141"/>
      <c r="BZ270" s="141"/>
      <c r="CA270" s="141"/>
      <c r="CB270" s="141"/>
      <c r="CC270" s="141"/>
      <c r="CD270" s="141"/>
      <c r="CE270" s="141"/>
      <c r="CF270" s="141"/>
      <c r="CG270" s="141"/>
      <c r="CH270" s="141"/>
      <c r="CI270" s="141"/>
      <c r="CJ270" s="141"/>
      <c r="CK270" s="141"/>
    </row>
    <row r="271" spans="74:89" ht="15" customHeight="1" x14ac:dyDescent="0.35">
      <c r="BV271" s="140"/>
      <c r="BY271" s="141"/>
      <c r="BZ271" s="141"/>
      <c r="CA271" s="141"/>
      <c r="CB271" s="141"/>
      <c r="CC271" s="141"/>
      <c r="CD271" s="141"/>
      <c r="CE271" s="141"/>
      <c r="CF271" s="141"/>
      <c r="CG271" s="141"/>
      <c r="CH271" s="141"/>
      <c r="CI271" s="141"/>
      <c r="CJ271" s="141"/>
      <c r="CK271" s="141"/>
    </row>
    <row r="272" spans="74:89" ht="15" customHeight="1" x14ac:dyDescent="0.35">
      <c r="BV272" s="140"/>
      <c r="BY272" s="141"/>
      <c r="BZ272" s="141"/>
      <c r="CA272" s="141"/>
      <c r="CB272" s="141"/>
      <c r="CC272" s="141"/>
      <c r="CD272" s="141"/>
      <c r="CE272" s="141"/>
      <c r="CF272" s="141"/>
      <c r="CG272" s="141"/>
      <c r="CH272" s="141"/>
      <c r="CI272" s="141"/>
      <c r="CJ272" s="141"/>
      <c r="CK272" s="141"/>
    </row>
    <row r="273" spans="74:89" ht="15" customHeight="1" x14ac:dyDescent="0.35">
      <c r="BV273" s="140"/>
      <c r="BY273" s="141"/>
      <c r="BZ273" s="141"/>
      <c r="CA273" s="141"/>
      <c r="CB273" s="141"/>
      <c r="CC273" s="141"/>
      <c r="CD273" s="141"/>
      <c r="CE273" s="141"/>
      <c r="CF273" s="141"/>
      <c r="CG273" s="141"/>
      <c r="CH273" s="141"/>
      <c r="CI273" s="141"/>
      <c r="CJ273" s="141"/>
      <c r="CK273" s="141"/>
    </row>
    <row r="274" spans="74:89" ht="15" customHeight="1" x14ac:dyDescent="0.35">
      <c r="BV274" s="140"/>
      <c r="BY274" s="141"/>
      <c r="BZ274" s="141"/>
      <c r="CA274" s="141"/>
      <c r="CB274" s="141"/>
      <c r="CC274" s="141"/>
      <c r="CD274" s="141"/>
      <c r="CE274" s="141"/>
      <c r="CF274" s="141"/>
      <c r="CG274" s="141"/>
      <c r="CH274" s="141"/>
      <c r="CI274" s="141"/>
      <c r="CJ274" s="141"/>
      <c r="CK274" s="141"/>
    </row>
    <row r="275" spans="74:89" ht="15" customHeight="1" x14ac:dyDescent="0.35">
      <c r="BV275" s="140"/>
      <c r="BY275" s="141"/>
      <c r="BZ275" s="141"/>
      <c r="CA275" s="141"/>
      <c r="CB275" s="141"/>
      <c r="CC275" s="141"/>
      <c r="CD275" s="141"/>
      <c r="CE275" s="141"/>
      <c r="CF275" s="141"/>
      <c r="CG275" s="141"/>
      <c r="CH275" s="141"/>
      <c r="CI275" s="141"/>
      <c r="CJ275" s="141"/>
      <c r="CK275" s="141"/>
    </row>
    <row r="276" spans="74:89" ht="15" customHeight="1" x14ac:dyDescent="0.35">
      <c r="BV276" s="140"/>
      <c r="BY276" s="141"/>
      <c r="BZ276" s="141"/>
      <c r="CA276" s="141"/>
      <c r="CB276" s="141"/>
      <c r="CC276" s="141"/>
      <c r="CD276" s="141"/>
      <c r="CE276" s="141"/>
      <c r="CF276" s="141"/>
      <c r="CG276" s="141"/>
      <c r="CH276" s="141"/>
      <c r="CI276" s="141"/>
      <c r="CJ276" s="141"/>
      <c r="CK276" s="141"/>
    </row>
    <row r="277" spans="74:89" ht="15" customHeight="1" x14ac:dyDescent="0.35">
      <c r="BV277" s="140"/>
      <c r="BY277" s="141"/>
      <c r="BZ277" s="141"/>
      <c r="CA277" s="141"/>
      <c r="CB277" s="141"/>
      <c r="CC277" s="141"/>
      <c r="CD277" s="141"/>
      <c r="CE277" s="141"/>
      <c r="CF277" s="141"/>
      <c r="CG277" s="141"/>
      <c r="CH277" s="141"/>
      <c r="CI277" s="141"/>
      <c r="CJ277" s="141"/>
      <c r="CK277" s="141"/>
    </row>
    <row r="278" spans="74:89" ht="15" customHeight="1" x14ac:dyDescent="0.35">
      <c r="BV278" s="140"/>
      <c r="BY278" s="141"/>
      <c r="BZ278" s="141"/>
      <c r="CA278" s="141"/>
      <c r="CB278" s="141"/>
      <c r="CC278" s="141"/>
      <c r="CD278" s="141"/>
      <c r="CE278" s="141"/>
      <c r="CF278" s="141"/>
      <c r="CG278" s="141"/>
      <c r="CH278" s="141"/>
      <c r="CI278" s="141"/>
      <c r="CJ278" s="141"/>
      <c r="CK278" s="141"/>
    </row>
    <row r="279" spans="74:89" ht="15" customHeight="1" x14ac:dyDescent="0.35">
      <c r="BV279" s="140"/>
      <c r="BY279" s="141"/>
      <c r="BZ279" s="141"/>
      <c r="CA279" s="141"/>
      <c r="CB279" s="141"/>
      <c r="CC279" s="141"/>
      <c r="CD279" s="141"/>
      <c r="CE279" s="141"/>
      <c r="CF279" s="141"/>
      <c r="CG279" s="141"/>
      <c r="CH279" s="141"/>
      <c r="CI279" s="141"/>
      <c r="CJ279" s="141"/>
      <c r="CK279" s="141"/>
    </row>
    <row r="280" spans="74:89" ht="15" customHeight="1" x14ac:dyDescent="0.35">
      <c r="BV280" s="140"/>
      <c r="BY280" s="141"/>
      <c r="BZ280" s="141"/>
      <c r="CA280" s="141"/>
      <c r="CB280" s="141"/>
      <c r="CC280" s="141"/>
      <c r="CD280" s="141"/>
      <c r="CE280" s="141"/>
      <c r="CF280" s="141"/>
      <c r="CG280" s="141"/>
      <c r="CH280" s="141"/>
      <c r="CI280" s="141"/>
      <c r="CJ280" s="141"/>
      <c r="CK280" s="141"/>
    </row>
    <row r="281" spans="74:89" ht="15" customHeight="1" x14ac:dyDescent="0.35">
      <c r="BV281" s="140"/>
      <c r="BY281" s="141"/>
      <c r="BZ281" s="141"/>
      <c r="CA281" s="141"/>
      <c r="CB281" s="141"/>
      <c r="CC281" s="141"/>
      <c r="CD281" s="141"/>
      <c r="CE281" s="141"/>
      <c r="CF281" s="141"/>
      <c r="CG281" s="141"/>
      <c r="CH281" s="141"/>
      <c r="CI281" s="141"/>
      <c r="CJ281" s="141"/>
      <c r="CK281" s="141"/>
    </row>
    <row r="282" spans="74:89" ht="15" customHeight="1" x14ac:dyDescent="0.35">
      <c r="BV282" s="140"/>
      <c r="BY282" s="141"/>
      <c r="BZ282" s="141"/>
      <c r="CA282" s="141"/>
      <c r="CB282" s="141"/>
      <c r="CC282" s="141"/>
      <c r="CD282" s="141"/>
      <c r="CE282" s="141"/>
      <c r="CF282" s="141"/>
      <c r="CG282" s="141"/>
      <c r="CH282" s="141"/>
      <c r="CI282" s="141"/>
      <c r="CJ282" s="141"/>
      <c r="CK282" s="141"/>
    </row>
    <row r="283" spans="74:89" ht="15" customHeight="1" x14ac:dyDescent="0.35">
      <c r="BV283" s="140"/>
      <c r="BY283" s="141"/>
      <c r="BZ283" s="141"/>
      <c r="CA283" s="141"/>
      <c r="CB283" s="141"/>
      <c r="CC283" s="141"/>
      <c r="CD283" s="141"/>
      <c r="CE283" s="141"/>
      <c r="CF283" s="141"/>
      <c r="CG283" s="141"/>
      <c r="CH283" s="141"/>
      <c r="CI283" s="141"/>
      <c r="CJ283" s="141"/>
      <c r="CK283" s="141"/>
    </row>
    <row r="284" spans="74:89" ht="15" customHeight="1" x14ac:dyDescent="0.35">
      <c r="BV284" s="140"/>
      <c r="BY284" s="141"/>
      <c r="BZ284" s="141"/>
      <c r="CA284" s="141"/>
      <c r="CB284" s="141"/>
      <c r="CC284" s="141"/>
      <c r="CD284" s="141"/>
      <c r="CE284" s="141"/>
      <c r="CF284" s="141"/>
      <c r="CG284" s="141"/>
      <c r="CH284" s="141"/>
      <c r="CI284" s="141"/>
      <c r="CJ284" s="141"/>
      <c r="CK284" s="141"/>
    </row>
    <row r="285" spans="74:89" ht="15" customHeight="1" x14ac:dyDescent="0.35">
      <c r="BV285" s="140"/>
      <c r="BY285" s="141"/>
      <c r="BZ285" s="141"/>
      <c r="CA285" s="141"/>
      <c r="CB285" s="141"/>
      <c r="CC285" s="141"/>
      <c r="CD285" s="141"/>
      <c r="CE285" s="141"/>
      <c r="CF285" s="141"/>
      <c r="CG285" s="141"/>
      <c r="CH285" s="141"/>
      <c r="CI285" s="141"/>
      <c r="CJ285" s="141"/>
      <c r="CK285" s="141"/>
    </row>
    <row r="286" spans="74:89" ht="15" customHeight="1" x14ac:dyDescent="0.35">
      <c r="BV286" s="140"/>
      <c r="BY286" s="141"/>
      <c r="BZ286" s="141"/>
      <c r="CA286" s="141"/>
      <c r="CB286" s="141"/>
      <c r="CC286" s="141"/>
      <c r="CD286" s="141"/>
      <c r="CE286" s="141"/>
      <c r="CF286" s="141"/>
      <c r="CG286" s="141"/>
      <c r="CH286" s="141"/>
      <c r="CI286" s="141"/>
      <c r="CJ286" s="141"/>
      <c r="CK286" s="141"/>
    </row>
    <row r="287" spans="74:89" ht="15" customHeight="1" x14ac:dyDescent="0.35">
      <c r="BV287" s="140"/>
      <c r="BY287" s="141"/>
      <c r="BZ287" s="141"/>
      <c r="CA287" s="141"/>
      <c r="CB287" s="141"/>
      <c r="CC287" s="141"/>
      <c r="CD287" s="141"/>
      <c r="CE287" s="141"/>
      <c r="CF287" s="141"/>
      <c r="CG287" s="141"/>
      <c r="CH287" s="141"/>
      <c r="CI287" s="141"/>
      <c r="CJ287" s="141"/>
      <c r="CK287" s="141"/>
    </row>
    <row r="288" spans="74:89" ht="15" customHeight="1" x14ac:dyDescent="0.35">
      <c r="BV288" s="140"/>
      <c r="BY288" s="141"/>
      <c r="BZ288" s="141"/>
      <c r="CA288" s="141"/>
      <c r="CB288" s="141"/>
      <c r="CC288" s="141"/>
      <c r="CD288" s="141"/>
      <c r="CE288" s="141"/>
      <c r="CF288" s="141"/>
      <c r="CG288" s="141"/>
      <c r="CH288" s="141"/>
      <c r="CI288" s="141"/>
      <c r="CJ288" s="141"/>
      <c r="CK288" s="141"/>
    </row>
    <row r="289" spans="74:89" ht="15" customHeight="1" x14ac:dyDescent="0.35">
      <c r="BV289" s="140"/>
      <c r="BY289" s="141"/>
      <c r="BZ289" s="141"/>
      <c r="CA289" s="141"/>
      <c r="CB289" s="141"/>
      <c r="CC289" s="141"/>
      <c r="CD289" s="141"/>
      <c r="CE289" s="141"/>
      <c r="CF289" s="141"/>
      <c r="CG289" s="141"/>
      <c r="CH289" s="141"/>
      <c r="CI289" s="141"/>
      <c r="CJ289" s="141"/>
      <c r="CK289" s="141"/>
    </row>
    <row r="290" spans="74:89" ht="15" customHeight="1" x14ac:dyDescent="0.35">
      <c r="BV290" s="140"/>
      <c r="BY290" s="141"/>
      <c r="BZ290" s="141"/>
      <c r="CA290" s="141"/>
      <c r="CB290" s="141"/>
      <c r="CC290" s="141"/>
      <c r="CD290" s="141"/>
      <c r="CE290" s="141"/>
      <c r="CF290" s="141"/>
      <c r="CG290" s="141"/>
      <c r="CH290" s="141"/>
      <c r="CI290" s="141"/>
      <c r="CJ290" s="141"/>
      <c r="CK290" s="141"/>
    </row>
    <row r="291" spans="74:89" ht="15" customHeight="1" x14ac:dyDescent="0.35">
      <c r="BV291" s="140"/>
      <c r="BY291" s="141"/>
      <c r="BZ291" s="141"/>
      <c r="CA291" s="141"/>
      <c r="CB291" s="141"/>
      <c r="CC291" s="141"/>
      <c r="CD291" s="141"/>
      <c r="CE291" s="141"/>
      <c r="CF291" s="141"/>
      <c r="CG291" s="141"/>
      <c r="CH291" s="141"/>
      <c r="CI291" s="141"/>
      <c r="CJ291" s="141"/>
      <c r="CK291" s="141"/>
    </row>
    <row r="292" spans="74:89" ht="15" customHeight="1" x14ac:dyDescent="0.35">
      <c r="BV292" s="140"/>
      <c r="BY292" s="141"/>
      <c r="BZ292" s="141"/>
      <c r="CA292" s="141"/>
      <c r="CB292" s="141"/>
      <c r="CC292" s="141"/>
      <c r="CD292" s="141"/>
      <c r="CE292" s="141"/>
      <c r="CF292" s="141"/>
      <c r="CG292" s="141"/>
      <c r="CH292" s="141"/>
      <c r="CI292" s="141"/>
      <c r="CJ292" s="141"/>
      <c r="CK292" s="141"/>
    </row>
    <row r="293" spans="74:89" ht="15" customHeight="1" x14ac:dyDescent="0.35">
      <c r="BV293" s="140"/>
      <c r="BY293" s="141"/>
      <c r="BZ293" s="141"/>
      <c r="CA293" s="141"/>
      <c r="CB293" s="141"/>
      <c r="CC293" s="141"/>
      <c r="CD293" s="141"/>
      <c r="CE293" s="141"/>
      <c r="CF293" s="141"/>
      <c r="CG293" s="141"/>
      <c r="CH293" s="141"/>
      <c r="CI293" s="141"/>
      <c r="CJ293" s="141"/>
      <c r="CK293" s="141"/>
    </row>
    <row r="294" spans="74:89" ht="15" customHeight="1" x14ac:dyDescent="0.35">
      <c r="BV294" s="140"/>
      <c r="BY294" s="141"/>
      <c r="BZ294" s="141"/>
      <c r="CA294" s="141"/>
      <c r="CB294" s="141"/>
      <c r="CC294" s="141"/>
      <c r="CD294" s="141"/>
      <c r="CE294" s="141"/>
      <c r="CF294" s="141"/>
      <c r="CG294" s="141"/>
      <c r="CH294" s="141"/>
      <c r="CI294" s="141"/>
      <c r="CJ294" s="141"/>
      <c r="CK294" s="141"/>
    </row>
    <row r="295" spans="74:89" ht="15" customHeight="1" x14ac:dyDescent="0.35">
      <c r="BV295" s="140"/>
      <c r="BY295" s="141"/>
      <c r="BZ295" s="141"/>
      <c r="CA295" s="141"/>
      <c r="CB295" s="141"/>
      <c r="CC295" s="141"/>
      <c r="CD295" s="141"/>
      <c r="CE295" s="141"/>
      <c r="CF295" s="141"/>
      <c r="CG295" s="141"/>
      <c r="CH295" s="141"/>
      <c r="CI295" s="141"/>
      <c r="CJ295" s="141"/>
      <c r="CK295" s="141"/>
    </row>
    <row r="296" spans="74:89" ht="15" customHeight="1" x14ac:dyDescent="0.35">
      <c r="BV296" s="140"/>
      <c r="BY296" s="141"/>
      <c r="BZ296" s="141"/>
      <c r="CA296" s="141"/>
      <c r="CB296" s="141"/>
      <c r="CC296" s="141"/>
      <c r="CD296" s="141"/>
      <c r="CE296" s="141"/>
      <c r="CF296" s="141"/>
      <c r="CG296" s="141"/>
      <c r="CH296" s="141"/>
      <c r="CI296" s="141"/>
      <c r="CJ296" s="141"/>
      <c r="CK296" s="141"/>
    </row>
    <row r="297" spans="74:89" ht="15" customHeight="1" x14ac:dyDescent="0.35">
      <c r="BV297" s="140"/>
      <c r="BY297" s="141"/>
      <c r="BZ297" s="141"/>
      <c r="CA297" s="141"/>
      <c r="CB297" s="141"/>
      <c r="CC297" s="141"/>
      <c r="CD297" s="141"/>
      <c r="CE297" s="141"/>
      <c r="CF297" s="141"/>
      <c r="CG297" s="141"/>
      <c r="CH297" s="141"/>
      <c r="CI297" s="141"/>
      <c r="CJ297" s="141"/>
      <c r="CK297" s="141"/>
    </row>
    <row r="298" spans="74:89" ht="15" customHeight="1" x14ac:dyDescent="0.35">
      <c r="BV298" s="140"/>
      <c r="BY298" s="141"/>
      <c r="BZ298" s="141"/>
      <c r="CA298" s="141"/>
      <c r="CB298" s="141"/>
      <c r="CC298" s="141"/>
      <c r="CD298" s="141"/>
      <c r="CE298" s="141"/>
      <c r="CF298" s="141"/>
      <c r="CG298" s="141"/>
      <c r="CH298" s="141"/>
      <c r="CI298" s="141"/>
      <c r="CJ298" s="141"/>
      <c r="CK298" s="141"/>
    </row>
    <row r="299" spans="74:89" ht="15" customHeight="1" x14ac:dyDescent="0.35">
      <c r="BV299" s="140"/>
      <c r="BY299" s="141"/>
      <c r="BZ299" s="141"/>
      <c r="CA299" s="141"/>
      <c r="CB299" s="141"/>
      <c r="CC299" s="141"/>
      <c r="CD299" s="141"/>
      <c r="CE299" s="141"/>
      <c r="CF299" s="141"/>
      <c r="CG299" s="141"/>
      <c r="CH299" s="141"/>
      <c r="CI299" s="141"/>
      <c r="CJ299" s="141"/>
      <c r="CK299" s="141"/>
    </row>
    <row r="300" spans="74:89" ht="15" customHeight="1" x14ac:dyDescent="0.35">
      <c r="BV300" s="140"/>
      <c r="BY300" s="141"/>
      <c r="BZ300" s="141"/>
      <c r="CA300" s="141"/>
      <c r="CB300" s="141"/>
      <c r="CC300" s="141"/>
      <c r="CD300" s="141"/>
      <c r="CE300" s="141"/>
      <c r="CF300" s="141"/>
      <c r="CG300" s="141"/>
      <c r="CH300" s="141"/>
      <c r="CI300" s="141"/>
      <c r="CJ300" s="141"/>
      <c r="CK300" s="141"/>
    </row>
    <row r="301" spans="74:89" ht="15" customHeight="1" x14ac:dyDescent="0.35">
      <c r="BV301" s="140"/>
      <c r="BY301" s="141"/>
      <c r="BZ301" s="141"/>
      <c r="CA301" s="141"/>
      <c r="CB301" s="141"/>
      <c r="CC301" s="141"/>
      <c r="CD301" s="141"/>
      <c r="CE301" s="141"/>
      <c r="CF301" s="141"/>
      <c r="CG301" s="141"/>
      <c r="CH301" s="141"/>
      <c r="CI301" s="141"/>
      <c r="CJ301" s="141"/>
      <c r="CK301" s="141"/>
    </row>
    <row r="302" spans="74:89" ht="15" customHeight="1" x14ac:dyDescent="0.35">
      <c r="BV302" s="140"/>
      <c r="BY302" s="141"/>
      <c r="BZ302" s="141"/>
      <c r="CA302" s="141"/>
      <c r="CB302" s="141"/>
      <c r="CC302" s="141"/>
      <c r="CD302" s="141"/>
      <c r="CE302" s="141"/>
      <c r="CF302" s="141"/>
      <c r="CG302" s="141"/>
      <c r="CH302" s="141"/>
      <c r="CI302" s="141"/>
      <c r="CJ302" s="141"/>
      <c r="CK302" s="141"/>
    </row>
    <row r="303" spans="74:89" ht="15" customHeight="1" x14ac:dyDescent="0.35">
      <c r="BV303" s="140"/>
      <c r="BY303" s="141"/>
      <c r="BZ303" s="141"/>
      <c r="CA303" s="141"/>
      <c r="CB303" s="141"/>
      <c r="CC303" s="141"/>
      <c r="CD303" s="141"/>
      <c r="CE303" s="141"/>
      <c r="CF303" s="141"/>
      <c r="CG303" s="141"/>
      <c r="CH303" s="141"/>
      <c r="CI303" s="141"/>
      <c r="CJ303" s="141"/>
      <c r="CK303" s="141"/>
    </row>
    <row r="304" spans="74:89" ht="15" customHeight="1" x14ac:dyDescent="0.35">
      <c r="BV304" s="140"/>
      <c r="BY304" s="141"/>
      <c r="BZ304" s="141"/>
      <c r="CA304" s="141"/>
      <c r="CB304" s="141"/>
      <c r="CC304" s="141"/>
      <c r="CD304" s="141"/>
      <c r="CE304" s="141"/>
      <c r="CF304" s="141"/>
      <c r="CG304" s="141"/>
      <c r="CH304" s="141"/>
      <c r="CI304" s="141"/>
      <c r="CJ304" s="141"/>
      <c r="CK304" s="141"/>
    </row>
    <row r="305" spans="74:89" ht="15" customHeight="1" x14ac:dyDescent="0.35">
      <c r="BV305" s="140"/>
      <c r="BY305" s="141"/>
      <c r="BZ305" s="141"/>
      <c r="CA305" s="141"/>
      <c r="CB305" s="141"/>
      <c r="CC305" s="141"/>
      <c r="CD305" s="141"/>
      <c r="CE305" s="141"/>
      <c r="CF305" s="141"/>
      <c r="CG305" s="141"/>
      <c r="CH305" s="141"/>
      <c r="CI305" s="141"/>
      <c r="CJ305" s="141"/>
      <c r="CK305" s="141"/>
    </row>
    <row r="306" spans="74:89" ht="15" customHeight="1" x14ac:dyDescent="0.35">
      <c r="BV306" s="140"/>
      <c r="BY306" s="141"/>
      <c r="BZ306" s="141"/>
      <c r="CA306" s="141"/>
      <c r="CB306" s="141"/>
      <c r="CC306" s="141"/>
      <c r="CD306" s="141"/>
      <c r="CE306" s="141"/>
      <c r="CF306" s="141"/>
      <c r="CG306" s="141"/>
      <c r="CH306" s="141"/>
      <c r="CI306" s="141"/>
      <c r="CJ306" s="141"/>
      <c r="CK306" s="141"/>
    </row>
    <row r="307" spans="74:89" ht="15" customHeight="1" x14ac:dyDescent="0.35">
      <c r="BV307" s="140"/>
      <c r="BY307" s="141"/>
      <c r="BZ307" s="141"/>
      <c r="CA307" s="141"/>
      <c r="CB307" s="141"/>
      <c r="CC307" s="141"/>
      <c r="CD307" s="141"/>
      <c r="CE307" s="141"/>
      <c r="CF307" s="141"/>
      <c r="CG307" s="141"/>
      <c r="CH307" s="141"/>
      <c r="CI307" s="141"/>
      <c r="CJ307" s="141"/>
      <c r="CK307" s="141"/>
    </row>
    <row r="308" spans="74:89" ht="15" customHeight="1" x14ac:dyDescent="0.35">
      <c r="BV308" s="140"/>
      <c r="BY308" s="141"/>
      <c r="BZ308" s="141"/>
      <c r="CA308" s="141"/>
      <c r="CB308" s="141"/>
      <c r="CC308" s="141"/>
      <c r="CD308" s="141"/>
      <c r="CE308" s="141"/>
      <c r="CF308" s="141"/>
      <c r="CG308" s="141"/>
      <c r="CH308" s="141"/>
      <c r="CI308" s="141"/>
      <c r="CJ308" s="141"/>
      <c r="CK308" s="141"/>
    </row>
    <row r="309" spans="74:89" ht="15" customHeight="1" x14ac:dyDescent="0.35">
      <c r="BV309" s="140"/>
      <c r="BY309" s="141"/>
      <c r="BZ309" s="141"/>
      <c r="CA309" s="141"/>
      <c r="CB309" s="141"/>
      <c r="CC309" s="141"/>
      <c r="CD309" s="141"/>
      <c r="CE309" s="141"/>
      <c r="CF309" s="141"/>
      <c r="CG309" s="141"/>
      <c r="CH309" s="141"/>
      <c r="CI309" s="141"/>
      <c r="CJ309" s="141"/>
      <c r="CK309" s="141"/>
    </row>
    <row r="310" spans="74:89" ht="15" customHeight="1" x14ac:dyDescent="0.35">
      <c r="BV310" s="140"/>
      <c r="BY310" s="141"/>
      <c r="BZ310" s="141"/>
      <c r="CA310" s="141"/>
      <c r="CB310" s="141"/>
      <c r="CC310" s="141"/>
      <c r="CD310" s="141"/>
      <c r="CE310" s="141"/>
      <c r="CF310" s="141"/>
      <c r="CG310" s="141"/>
      <c r="CH310" s="141"/>
      <c r="CI310" s="141"/>
      <c r="CJ310" s="141"/>
      <c r="CK310" s="141"/>
    </row>
    <row r="311" spans="74:89" ht="15" customHeight="1" x14ac:dyDescent="0.35">
      <c r="BV311" s="140"/>
      <c r="BY311" s="141"/>
      <c r="BZ311" s="141"/>
      <c r="CA311" s="141"/>
      <c r="CB311" s="141"/>
      <c r="CC311" s="141"/>
      <c r="CD311" s="141"/>
      <c r="CE311" s="141"/>
      <c r="CF311" s="141"/>
      <c r="CG311" s="141"/>
      <c r="CH311" s="141"/>
      <c r="CI311" s="141"/>
      <c r="CJ311" s="141"/>
      <c r="CK311" s="141"/>
    </row>
    <row r="312" spans="74:89" ht="15" customHeight="1" x14ac:dyDescent="0.35">
      <c r="BV312" s="140"/>
      <c r="BY312" s="141"/>
      <c r="BZ312" s="141"/>
      <c r="CA312" s="141"/>
      <c r="CB312" s="141"/>
      <c r="CC312" s="141"/>
      <c r="CD312" s="141"/>
      <c r="CE312" s="141"/>
      <c r="CF312" s="141"/>
      <c r="CG312" s="141"/>
      <c r="CH312" s="141"/>
      <c r="CI312" s="141"/>
      <c r="CJ312" s="141"/>
      <c r="CK312" s="141"/>
    </row>
    <row r="313" spans="74:89" ht="15" customHeight="1" x14ac:dyDescent="0.35">
      <c r="BV313" s="140"/>
      <c r="BY313" s="141"/>
      <c r="BZ313" s="141"/>
      <c r="CA313" s="141"/>
      <c r="CB313" s="141"/>
      <c r="CC313" s="141"/>
      <c r="CD313" s="141"/>
      <c r="CE313" s="141"/>
      <c r="CF313" s="141"/>
      <c r="CG313" s="141"/>
      <c r="CH313" s="141"/>
      <c r="CI313" s="141"/>
      <c r="CJ313" s="141"/>
      <c r="CK313" s="141"/>
    </row>
    <row r="314" spans="74:89" ht="15" customHeight="1" x14ac:dyDescent="0.35">
      <c r="BV314" s="140"/>
      <c r="BY314" s="141"/>
      <c r="BZ314" s="141"/>
      <c r="CA314" s="141"/>
      <c r="CB314" s="141"/>
      <c r="CC314" s="141"/>
      <c r="CD314" s="141"/>
      <c r="CE314" s="141"/>
      <c r="CF314" s="141"/>
      <c r="CG314" s="141"/>
      <c r="CH314" s="141"/>
      <c r="CI314" s="141"/>
      <c r="CJ314" s="141"/>
      <c r="CK314" s="141"/>
    </row>
    <row r="315" spans="74:89" ht="15" customHeight="1" x14ac:dyDescent="0.35">
      <c r="BV315" s="140"/>
      <c r="BY315" s="141"/>
      <c r="BZ315" s="141"/>
      <c r="CA315" s="141"/>
      <c r="CB315" s="141"/>
      <c r="CC315" s="141"/>
      <c r="CD315" s="141"/>
      <c r="CE315" s="141"/>
      <c r="CF315" s="141"/>
      <c r="CG315" s="141"/>
      <c r="CH315" s="141"/>
      <c r="CI315" s="141"/>
      <c r="CJ315" s="141"/>
      <c r="CK315" s="141"/>
    </row>
    <row r="316" spans="74:89" ht="15" customHeight="1" x14ac:dyDescent="0.35">
      <c r="BV316" s="140"/>
      <c r="BY316" s="141"/>
      <c r="BZ316" s="141"/>
      <c r="CA316" s="141"/>
      <c r="CB316" s="141"/>
      <c r="CC316" s="141"/>
      <c r="CD316" s="141"/>
      <c r="CE316" s="141"/>
      <c r="CF316" s="141"/>
      <c r="CG316" s="141"/>
      <c r="CH316" s="141"/>
      <c r="CI316" s="141"/>
      <c r="CJ316" s="141"/>
      <c r="CK316" s="141"/>
    </row>
    <row r="317" spans="74:89" ht="15" customHeight="1" x14ac:dyDescent="0.35">
      <c r="BV317" s="140"/>
      <c r="BY317" s="141"/>
      <c r="BZ317" s="141"/>
      <c r="CA317" s="141"/>
      <c r="CB317" s="141"/>
      <c r="CC317" s="141"/>
      <c r="CD317" s="141"/>
      <c r="CE317" s="141"/>
      <c r="CF317" s="141"/>
      <c r="CG317" s="141"/>
      <c r="CH317" s="141"/>
      <c r="CI317" s="141"/>
      <c r="CJ317" s="141"/>
      <c r="CK317" s="141"/>
    </row>
    <row r="318" spans="74:89" ht="15" customHeight="1" x14ac:dyDescent="0.35">
      <c r="BV318" s="140"/>
      <c r="BY318" s="141"/>
      <c r="BZ318" s="141"/>
      <c r="CA318" s="141"/>
      <c r="CB318" s="141"/>
      <c r="CC318" s="141"/>
      <c r="CD318" s="141"/>
      <c r="CE318" s="141"/>
      <c r="CF318" s="141"/>
      <c r="CG318" s="141"/>
      <c r="CH318" s="141"/>
      <c r="CI318" s="141"/>
      <c r="CJ318" s="141"/>
      <c r="CK318" s="141"/>
    </row>
    <row r="319" spans="74:89" ht="15" customHeight="1" x14ac:dyDescent="0.35">
      <c r="BV319" s="140"/>
      <c r="BY319" s="141"/>
      <c r="BZ319" s="141"/>
      <c r="CA319" s="141"/>
      <c r="CB319" s="141"/>
      <c r="CC319" s="141"/>
      <c r="CD319" s="141"/>
      <c r="CE319" s="141"/>
      <c r="CF319" s="141"/>
      <c r="CG319" s="141"/>
      <c r="CH319" s="141"/>
      <c r="CI319" s="141"/>
      <c r="CJ319" s="141"/>
      <c r="CK319" s="141"/>
    </row>
    <row r="320" spans="74:89" ht="15" customHeight="1" x14ac:dyDescent="0.35">
      <c r="BV320" s="140"/>
      <c r="BY320" s="141"/>
      <c r="BZ320" s="141"/>
      <c r="CA320" s="141"/>
      <c r="CB320" s="141"/>
      <c r="CC320" s="141"/>
      <c r="CD320" s="141"/>
      <c r="CE320" s="141"/>
      <c r="CF320" s="141"/>
      <c r="CG320" s="141"/>
      <c r="CH320" s="141"/>
      <c r="CI320" s="141"/>
      <c r="CJ320" s="141"/>
      <c r="CK320" s="141"/>
    </row>
    <row r="321" spans="74:89" ht="15" customHeight="1" x14ac:dyDescent="0.35">
      <c r="BV321" s="140"/>
      <c r="BY321" s="141"/>
      <c r="BZ321" s="141"/>
      <c r="CA321" s="141"/>
      <c r="CB321" s="141"/>
      <c r="CC321" s="141"/>
      <c r="CD321" s="141"/>
      <c r="CE321" s="141"/>
      <c r="CF321" s="141"/>
      <c r="CG321" s="141"/>
      <c r="CH321" s="141"/>
      <c r="CI321" s="141"/>
      <c r="CJ321" s="141"/>
      <c r="CK321" s="141"/>
    </row>
    <row r="322" spans="74:89" ht="15" customHeight="1" x14ac:dyDescent="0.35">
      <c r="BV322" s="140"/>
      <c r="BY322" s="141"/>
      <c r="BZ322" s="141"/>
      <c r="CA322" s="141"/>
      <c r="CB322" s="141"/>
      <c r="CC322" s="141"/>
      <c r="CD322" s="141"/>
      <c r="CE322" s="141"/>
      <c r="CF322" s="141"/>
      <c r="CG322" s="141"/>
      <c r="CH322" s="141"/>
      <c r="CI322" s="141"/>
      <c r="CJ322" s="141"/>
      <c r="CK322" s="141"/>
    </row>
    <row r="323" spans="74:89" ht="15" customHeight="1" x14ac:dyDescent="0.35">
      <c r="BV323" s="140"/>
      <c r="BY323" s="141"/>
      <c r="BZ323" s="141"/>
      <c r="CA323" s="141"/>
      <c r="CB323" s="141"/>
      <c r="CC323" s="141"/>
      <c r="CD323" s="141"/>
      <c r="CE323" s="141"/>
      <c r="CF323" s="141"/>
      <c r="CG323" s="141"/>
      <c r="CH323" s="141"/>
      <c r="CI323" s="141"/>
      <c r="CJ323" s="141"/>
      <c r="CK323" s="141"/>
    </row>
    <row r="324" spans="74:89" ht="15" customHeight="1" x14ac:dyDescent="0.35">
      <c r="BV324" s="140"/>
      <c r="BY324" s="141"/>
      <c r="BZ324" s="141"/>
      <c r="CA324" s="141"/>
      <c r="CB324" s="141"/>
      <c r="CC324" s="141"/>
      <c r="CD324" s="141"/>
      <c r="CE324" s="141"/>
      <c r="CF324" s="141"/>
      <c r="CG324" s="141"/>
      <c r="CH324" s="141"/>
      <c r="CI324" s="141"/>
      <c r="CJ324" s="141"/>
      <c r="CK324" s="141"/>
    </row>
    <row r="325" spans="74:89" ht="15" customHeight="1" x14ac:dyDescent="0.35">
      <c r="BV325" s="140"/>
      <c r="BY325" s="141"/>
      <c r="BZ325" s="141"/>
      <c r="CA325" s="141"/>
      <c r="CB325" s="141"/>
      <c r="CC325" s="141"/>
      <c r="CD325" s="141"/>
      <c r="CE325" s="141"/>
      <c r="CF325" s="141"/>
      <c r="CG325" s="141"/>
      <c r="CH325" s="141"/>
      <c r="CI325" s="141"/>
      <c r="CJ325" s="141"/>
      <c r="CK325" s="141"/>
    </row>
    <row r="326" spans="74:89" ht="15" customHeight="1" x14ac:dyDescent="0.35">
      <c r="BV326" s="140"/>
      <c r="BY326" s="141"/>
      <c r="BZ326" s="141"/>
      <c r="CA326" s="141"/>
      <c r="CB326" s="141"/>
      <c r="CC326" s="141"/>
      <c r="CD326" s="141"/>
      <c r="CE326" s="141"/>
      <c r="CF326" s="141"/>
      <c r="CG326" s="141"/>
      <c r="CH326" s="141"/>
      <c r="CI326" s="141"/>
      <c r="CJ326" s="141"/>
      <c r="CK326" s="141"/>
    </row>
    <row r="327" spans="74:89" ht="15" customHeight="1" x14ac:dyDescent="0.35">
      <c r="BV327" s="140"/>
      <c r="BY327" s="141"/>
      <c r="BZ327" s="141"/>
      <c r="CA327" s="141"/>
      <c r="CB327" s="141"/>
      <c r="CC327" s="141"/>
      <c r="CD327" s="141"/>
      <c r="CE327" s="141"/>
      <c r="CF327" s="141"/>
      <c r="CG327" s="141"/>
      <c r="CH327" s="141"/>
      <c r="CI327" s="141"/>
      <c r="CJ327" s="141"/>
      <c r="CK327" s="141"/>
    </row>
    <row r="328" spans="74:89" ht="15" customHeight="1" x14ac:dyDescent="0.35">
      <c r="BV328" s="140"/>
      <c r="BY328" s="141"/>
      <c r="BZ328" s="141"/>
      <c r="CA328" s="141"/>
      <c r="CB328" s="141"/>
      <c r="CC328" s="141"/>
      <c r="CD328" s="141"/>
      <c r="CE328" s="141"/>
      <c r="CF328" s="141"/>
      <c r="CG328" s="141"/>
      <c r="CH328" s="141"/>
      <c r="CI328" s="141"/>
      <c r="CJ328" s="141"/>
      <c r="CK328" s="141"/>
    </row>
    <row r="329" spans="74:89" ht="15" customHeight="1" x14ac:dyDescent="0.35">
      <c r="BV329" s="140"/>
      <c r="BY329" s="141"/>
      <c r="BZ329" s="141"/>
      <c r="CA329" s="141"/>
      <c r="CB329" s="141"/>
      <c r="CC329" s="141"/>
      <c r="CD329" s="141"/>
      <c r="CE329" s="141"/>
      <c r="CF329" s="141"/>
      <c r="CG329" s="141"/>
      <c r="CH329" s="141"/>
      <c r="CI329" s="141"/>
      <c r="CJ329" s="141"/>
      <c r="CK329" s="141"/>
    </row>
    <row r="330" spans="74:89" ht="15" customHeight="1" x14ac:dyDescent="0.35">
      <c r="BV330" s="140"/>
      <c r="BY330" s="141"/>
      <c r="BZ330" s="141"/>
      <c r="CA330" s="141"/>
      <c r="CB330" s="141"/>
      <c r="CC330" s="141"/>
      <c r="CD330" s="141"/>
      <c r="CE330" s="141"/>
      <c r="CF330" s="141"/>
      <c r="CG330" s="141"/>
      <c r="CH330" s="141"/>
      <c r="CI330" s="141"/>
      <c r="CJ330" s="141"/>
      <c r="CK330" s="141"/>
    </row>
    <row r="331" spans="74:89" ht="15" customHeight="1" x14ac:dyDescent="0.35">
      <c r="BV331" s="140"/>
      <c r="BY331" s="141"/>
      <c r="BZ331" s="141"/>
      <c r="CA331" s="141"/>
      <c r="CB331" s="141"/>
      <c r="CC331" s="141"/>
      <c r="CD331" s="141"/>
      <c r="CE331" s="141"/>
      <c r="CF331" s="141"/>
      <c r="CG331" s="141"/>
      <c r="CH331" s="141"/>
      <c r="CI331" s="141"/>
      <c r="CJ331" s="141"/>
      <c r="CK331" s="141"/>
    </row>
    <row r="332" spans="74:89" ht="15" customHeight="1" x14ac:dyDescent="0.35">
      <c r="BV332" s="140"/>
      <c r="BY332" s="141"/>
      <c r="BZ332" s="141"/>
      <c r="CA332" s="141"/>
      <c r="CB332" s="141"/>
      <c r="CC332" s="141"/>
      <c r="CD332" s="141"/>
      <c r="CE332" s="141"/>
      <c r="CF332" s="141"/>
      <c r="CG332" s="141"/>
      <c r="CH332" s="141"/>
      <c r="CI332" s="141"/>
      <c r="CJ332" s="141"/>
      <c r="CK332" s="141"/>
    </row>
    <row r="333" spans="74:89" ht="15" customHeight="1" x14ac:dyDescent="0.35">
      <c r="BV333" s="140"/>
      <c r="BY333" s="141"/>
      <c r="BZ333" s="141"/>
      <c r="CA333" s="141"/>
      <c r="CB333" s="141"/>
      <c r="CC333" s="141"/>
      <c r="CD333" s="141"/>
      <c r="CE333" s="141"/>
      <c r="CF333" s="141"/>
      <c r="CG333" s="141"/>
      <c r="CH333" s="141"/>
      <c r="CI333" s="141"/>
      <c r="CJ333" s="141"/>
      <c r="CK333" s="141"/>
    </row>
    <row r="334" spans="74:89" ht="15" customHeight="1" x14ac:dyDescent="0.35">
      <c r="BV334" s="140"/>
      <c r="BY334" s="141"/>
      <c r="BZ334" s="141"/>
      <c r="CA334" s="141"/>
      <c r="CB334" s="141"/>
      <c r="CC334" s="141"/>
      <c r="CD334" s="141"/>
      <c r="CE334" s="141"/>
      <c r="CF334" s="141"/>
      <c r="CG334" s="141"/>
      <c r="CH334" s="141"/>
      <c r="CI334" s="141"/>
      <c r="CJ334" s="141"/>
      <c r="CK334" s="141"/>
    </row>
    <row r="335" spans="74:89" ht="15" customHeight="1" x14ac:dyDescent="0.35">
      <c r="BV335" s="140"/>
      <c r="BY335" s="141"/>
      <c r="BZ335" s="141"/>
      <c r="CA335" s="141"/>
      <c r="CB335" s="141"/>
      <c r="CC335" s="141"/>
      <c r="CD335" s="141"/>
      <c r="CE335" s="141"/>
      <c r="CF335" s="141"/>
      <c r="CG335" s="141"/>
      <c r="CH335" s="141"/>
      <c r="CI335" s="141"/>
      <c r="CJ335" s="141"/>
      <c r="CK335" s="141"/>
    </row>
    <row r="336" spans="74:89" ht="15" customHeight="1" x14ac:dyDescent="0.35">
      <c r="BV336" s="140"/>
      <c r="BY336" s="141"/>
      <c r="BZ336" s="141"/>
      <c r="CA336" s="141"/>
      <c r="CB336" s="141"/>
      <c r="CC336" s="141"/>
      <c r="CD336" s="141"/>
      <c r="CE336" s="141"/>
      <c r="CF336" s="141"/>
      <c r="CG336" s="141"/>
      <c r="CH336" s="141"/>
      <c r="CI336" s="141"/>
      <c r="CJ336" s="141"/>
      <c r="CK336" s="141"/>
    </row>
    <row r="337" spans="74:89" ht="15" customHeight="1" x14ac:dyDescent="0.35">
      <c r="BV337" s="140"/>
      <c r="BY337" s="141"/>
      <c r="BZ337" s="141"/>
      <c r="CA337" s="141"/>
      <c r="CB337" s="141"/>
      <c r="CC337" s="141"/>
      <c r="CD337" s="141"/>
      <c r="CE337" s="141"/>
      <c r="CF337" s="141"/>
      <c r="CG337" s="141"/>
      <c r="CH337" s="141"/>
      <c r="CI337" s="141"/>
      <c r="CJ337" s="141"/>
      <c r="CK337" s="141"/>
    </row>
    <row r="338" spans="74:89" ht="15" customHeight="1" x14ac:dyDescent="0.35">
      <c r="BV338" s="140"/>
      <c r="BY338" s="141"/>
      <c r="BZ338" s="141"/>
      <c r="CA338" s="141"/>
      <c r="CB338" s="141"/>
      <c r="CC338" s="141"/>
      <c r="CD338" s="141"/>
      <c r="CE338" s="141"/>
      <c r="CF338" s="141"/>
      <c r="CG338" s="141"/>
      <c r="CH338" s="141"/>
      <c r="CI338" s="141"/>
      <c r="CJ338" s="141"/>
      <c r="CK338" s="141"/>
    </row>
    <row r="339" spans="74:89" ht="15" customHeight="1" x14ac:dyDescent="0.35">
      <c r="BV339" s="140"/>
      <c r="BY339" s="141"/>
      <c r="BZ339" s="141"/>
      <c r="CA339" s="141"/>
      <c r="CB339" s="141"/>
      <c r="CC339" s="141"/>
      <c r="CD339" s="141"/>
      <c r="CE339" s="141"/>
      <c r="CF339" s="141"/>
      <c r="CG339" s="141"/>
      <c r="CH339" s="141"/>
      <c r="CI339" s="141"/>
      <c r="CJ339" s="141"/>
      <c r="CK339" s="141"/>
    </row>
    <row r="340" spans="74:89" ht="15" customHeight="1" x14ac:dyDescent="0.35">
      <c r="BV340" s="140"/>
      <c r="BY340" s="141"/>
      <c r="BZ340" s="141"/>
      <c r="CA340" s="141"/>
      <c r="CB340" s="141"/>
      <c r="CC340" s="141"/>
      <c r="CD340" s="141"/>
      <c r="CE340" s="141"/>
      <c r="CF340" s="141"/>
      <c r="CG340" s="141"/>
      <c r="CH340" s="141"/>
      <c r="CI340" s="141"/>
      <c r="CJ340" s="141"/>
      <c r="CK340" s="141"/>
    </row>
    <row r="341" spans="74:89" ht="15" customHeight="1" x14ac:dyDescent="0.35">
      <c r="BV341" s="140"/>
      <c r="BY341" s="141"/>
      <c r="BZ341" s="141"/>
      <c r="CA341" s="141"/>
      <c r="CB341" s="141"/>
      <c r="CC341" s="141"/>
      <c r="CD341" s="141"/>
      <c r="CE341" s="141"/>
      <c r="CF341" s="141"/>
      <c r="CG341" s="141"/>
      <c r="CH341" s="141"/>
      <c r="CI341" s="141"/>
      <c r="CJ341" s="141"/>
      <c r="CK341" s="141"/>
    </row>
    <row r="342" spans="74:89" ht="15" customHeight="1" x14ac:dyDescent="0.35">
      <c r="BV342" s="140"/>
      <c r="BY342" s="141"/>
      <c r="BZ342" s="141"/>
      <c r="CA342" s="141"/>
      <c r="CB342" s="141"/>
      <c r="CC342" s="141"/>
      <c r="CD342" s="141"/>
      <c r="CE342" s="141"/>
      <c r="CF342" s="141"/>
      <c r="CG342" s="141"/>
      <c r="CH342" s="141"/>
      <c r="CI342" s="141"/>
      <c r="CJ342" s="141"/>
      <c r="CK342" s="141"/>
    </row>
    <row r="343" spans="74:89" ht="15" customHeight="1" x14ac:dyDescent="0.35">
      <c r="BV343" s="140"/>
      <c r="BY343" s="141"/>
      <c r="BZ343" s="141"/>
      <c r="CA343" s="141"/>
      <c r="CB343" s="141"/>
      <c r="CC343" s="141"/>
      <c r="CD343" s="141"/>
      <c r="CE343" s="141"/>
      <c r="CF343" s="141"/>
      <c r="CG343" s="141"/>
      <c r="CH343" s="141"/>
      <c r="CI343" s="141"/>
      <c r="CJ343" s="141"/>
      <c r="CK343" s="141"/>
    </row>
    <row r="344" spans="74:89" ht="15" customHeight="1" x14ac:dyDescent="0.35">
      <c r="BV344" s="140"/>
      <c r="BY344" s="141"/>
      <c r="BZ344" s="141"/>
      <c r="CA344" s="141"/>
      <c r="CB344" s="141"/>
      <c r="CC344" s="141"/>
      <c r="CD344" s="141"/>
      <c r="CE344" s="141"/>
      <c r="CF344" s="141"/>
      <c r="CG344" s="141"/>
      <c r="CH344" s="141"/>
      <c r="CI344" s="141"/>
      <c r="CJ344" s="141"/>
      <c r="CK344" s="141"/>
    </row>
    <row r="345" spans="74:89" ht="15" customHeight="1" x14ac:dyDescent="0.35">
      <c r="BV345" s="140"/>
      <c r="BY345" s="141"/>
      <c r="BZ345" s="141"/>
      <c r="CA345" s="141"/>
      <c r="CB345" s="141"/>
      <c r="CC345" s="141"/>
      <c r="CD345" s="141"/>
      <c r="CE345" s="141"/>
      <c r="CF345" s="141"/>
      <c r="CG345" s="141"/>
      <c r="CH345" s="141"/>
      <c r="CI345" s="141"/>
      <c r="CJ345" s="141"/>
      <c r="CK345" s="141"/>
    </row>
    <row r="346" spans="74:89" ht="15" customHeight="1" x14ac:dyDescent="0.35">
      <c r="BV346" s="140"/>
      <c r="BY346" s="141"/>
      <c r="BZ346" s="141"/>
      <c r="CA346" s="141"/>
      <c r="CB346" s="141"/>
      <c r="CC346" s="141"/>
      <c r="CD346" s="141"/>
      <c r="CE346" s="141"/>
      <c r="CF346" s="141"/>
      <c r="CG346" s="141"/>
      <c r="CH346" s="141"/>
      <c r="CI346" s="141"/>
      <c r="CJ346" s="141"/>
      <c r="CK346" s="141"/>
    </row>
    <row r="347" spans="74:89" ht="15" customHeight="1" x14ac:dyDescent="0.35">
      <c r="BV347" s="140"/>
      <c r="BY347" s="141"/>
      <c r="BZ347" s="141"/>
      <c r="CA347" s="141"/>
      <c r="CB347" s="141"/>
      <c r="CC347" s="141"/>
      <c r="CD347" s="141"/>
      <c r="CE347" s="141"/>
      <c r="CF347" s="141"/>
      <c r="CG347" s="141"/>
      <c r="CH347" s="141"/>
      <c r="CI347" s="141"/>
      <c r="CJ347" s="141"/>
      <c r="CK347" s="141"/>
    </row>
    <row r="348" spans="74:89" ht="15" customHeight="1" x14ac:dyDescent="0.35">
      <c r="BV348" s="140"/>
      <c r="BY348" s="141"/>
      <c r="BZ348" s="141"/>
      <c r="CA348" s="141"/>
      <c r="CB348" s="141"/>
      <c r="CC348" s="141"/>
      <c r="CD348" s="141"/>
      <c r="CE348" s="141"/>
      <c r="CF348" s="141"/>
      <c r="CG348" s="141"/>
      <c r="CH348" s="141"/>
      <c r="CI348" s="141"/>
      <c r="CJ348" s="141"/>
      <c r="CK348" s="141"/>
    </row>
    <row r="349" spans="74:89" ht="15" customHeight="1" x14ac:dyDescent="0.35">
      <c r="BV349" s="140"/>
      <c r="BY349" s="141"/>
      <c r="BZ349" s="141"/>
      <c r="CA349" s="141"/>
      <c r="CB349" s="141"/>
      <c r="CC349" s="141"/>
      <c r="CD349" s="141"/>
      <c r="CE349" s="141"/>
      <c r="CF349" s="141"/>
      <c r="CG349" s="141"/>
      <c r="CH349" s="141"/>
      <c r="CI349" s="141"/>
      <c r="CJ349" s="141"/>
      <c r="CK349" s="141"/>
    </row>
    <row r="350" spans="74:89" ht="15" customHeight="1" x14ac:dyDescent="0.35">
      <c r="BV350" s="140"/>
      <c r="BY350" s="141"/>
      <c r="BZ350" s="141"/>
      <c r="CA350" s="141"/>
      <c r="CB350" s="141"/>
      <c r="CC350" s="141"/>
      <c r="CD350" s="141"/>
      <c r="CE350" s="141"/>
      <c r="CF350" s="141"/>
      <c r="CG350" s="141"/>
      <c r="CH350" s="141"/>
      <c r="CI350" s="141"/>
      <c r="CJ350" s="141"/>
      <c r="CK350" s="141"/>
    </row>
    <row r="351" spans="74:89" ht="15" customHeight="1" x14ac:dyDescent="0.35">
      <c r="BV351" s="140"/>
      <c r="BY351" s="141"/>
      <c r="BZ351" s="141"/>
      <c r="CA351" s="141"/>
      <c r="CB351" s="141"/>
      <c r="CC351" s="141"/>
      <c r="CD351" s="141"/>
      <c r="CE351" s="141"/>
      <c r="CF351" s="141"/>
      <c r="CG351" s="141"/>
      <c r="CH351" s="141"/>
      <c r="CI351" s="141"/>
      <c r="CJ351" s="141"/>
      <c r="CK351" s="141"/>
    </row>
    <row r="352" spans="74:89" ht="15" customHeight="1" x14ac:dyDescent="0.35">
      <c r="BV352" s="140"/>
      <c r="BY352" s="141"/>
      <c r="BZ352" s="141"/>
      <c r="CA352" s="141"/>
      <c r="CB352" s="141"/>
      <c r="CC352" s="141"/>
      <c r="CD352" s="141"/>
      <c r="CE352" s="141"/>
      <c r="CF352" s="141"/>
      <c r="CG352" s="141"/>
      <c r="CH352" s="141"/>
      <c r="CI352" s="141"/>
      <c r="CJ352" s="141"/>
      <c r="CK352" s="141"/>
    </row>
    <row r="353" spans="74:89" ht="15" customHeight="1" x14ac:dyDescent="0.35">
      <c r="BV353" s="140"/>
      <c r="BY353" s="141"/>
      <c r="BZ353" s="141"/>
      <c r="CA353" s="141"/>
      <c r="CB353" s="141"/>
      <c r="CC353" s="141"/>
      <c r="CD353" s="141"/>
      <c r="CE353" s="141"/>
      <c r="CF353" s="141"/>
      <c r="CG353" s="141"/>
      <c r="CH353" s="141"/>
      <c r="CI353" s="141"/>
      <c r="CJ353" s="141"/>
      <c r="CK353" s="141"/>
    </row>
    <row r="354" spans="74:89" ht="15" customHeight="1" x14ac:dyDescent="0.35">
      <c r="BV354" s="140"/>
      <c r="BY354" s="141"/>
      <c r="BZ354" s="141"/>
      <c r="CA354" s="141"/>
      <c r="CB354" s="141"/>
      <c r="CC354" s="141"/>
      <c r="CD354" s="141"/>
      <c r="CE354" s="141"/>
      <c r="CF354" s="141"/>
      <c r="CG354" s="141"/>
      <c r="CH354" s="141"/>
      <c r="CI354" s="141"/>
      <c r="CJ354" s="141"/>
      <c r="CK354" s="141"/>
    </row>
    <row r="355" spans="74:89" ht="15" customHeight="1" x14ac:dyDescent="0.35">
      <c r="BV355" s="140"/>
      <c r="BY355" s="141"/>
      <c r="BZ355" s="141"/>
      <c r="CA355" s="141"/>
      <c r="CB355" s="141"/>
      <c r="CC355" s="141"/>
      <c r="CD355" s="141"/>
      <c r="CE355" s="141"/>
      <c r="CF355" s="141"/>
      <c r="CG355" s="141"/>
      <c r="CH355" s="141"/>
      <c r="CI355" s="141"/>
      <c r="CJ355" s="141"/>
      <c r="CK355" s="141"/>
    </row>
    <row r="356" spans="74:89" ht="15" customHeight="1" x14ac:dyDescent="0.35">
      <c r="BV356" s="140"/>
      <c r="BY356" s="141"/>
      <c r="BZ356" s="141"/>
      <c r="CA356" s="141"/>
      <c r="CB356" s="141"/>
      <c r="CC356" s="141"/>
      <c r="CD356" s="141"/>
      <c r="CE356" s="141"/>
      <c r="CF356" s="141"/>
      <c r="CG356" s="141"/>
      <c r="CH356" s="141"/>
      <c r="CI356" s="141"/>
      <c r="CJ356" s="141"/>
      <c r="CK356" s="141"/>
    </row>
    <row r="357" spans="74:89" ht="15" customHeight="1" x14ac:dyDescent="0.35">
      <c r="BV357" s="140"/>
      <c r="BY357" s="141"/>
      <c r="BZ357" s="141"/>
      <c r="CA357" s="141"/>
      <c r="CB357" s="141"/>
      <c r="CC357" s="141"/>
      <c r="CD357" s="141"/>
      <c r="CE357" s="141"/>
      <c r="CF357" s="141"/>
      <c r="CG357" s="141"/>
      <c r="CH357" s="141"/>
      <c r="CI357" s="141"/>
      <c r="CJ357" s="141"/>
      <c r="CK357" s="141"/>
    </row>
    <row r="358" spans="74:89" ht="15" customHeight="1" x14ac:dyDescent="0.35">
      <c r="BV358" s="140"/>
      <c r="BY358" s="141"/>
      <c r="BZ358" s="141"/>
      <c r="CA358" s="141"/>
      <c r="CB358" s="141"/>
      <c r="CC358" s="141"/>
      <c r="CD358" s="141"/>
      <c r="CE358" s="141"/>
      <c r="CF358" s="141"/>
      <c r="CG358" s="141"/>
      <c r="CH358" s="141"/>
      <c r="CI358" s="141"/>
      <c r="CJ358" s="141"/>
      <c r="CK358" s="141"/>
    </row>
    <row r="359" spans="74:89" ht="15" customHeight="1" x14ac:dyDescent="0.35">
      <c r="BV359" s="140"/>
      <c r="BY359" s="141"/>
      <c r="BZ359" s="141"/>
      <c r="CA359" s="141"/>
      <c r="CB359" s="141"/>
      <c r="CC359" s="141"/>
      <c r="CD359" s="141"/>
      <c r="CE359" s="141"/>
      <c r="CF359" s="141"/>
      <c r="CG359" s="141"/>
      <c r="CH359" s="141"/>
      <c r="CI359" s="141"/>
      <c r="CJ359" s="141"/>
      <c r="CK359" s="141"/>
    </row>
    <row r="360" spans="74:89" ht="15" customHeight="1" x14ac:dyDescent="0.35">
      <c r="BV360" s="140"/>
      <c r="BY360" s="141"/>
      <c r="BZ360" s="141"/>
      <c r="CA360" s="141"/>
      <c r="CB360" s="141"/>
      <c r="CC360" s="141"/>
      <c r="CD360" s="141"/>
      <c r="CE360" s="141"/>
      <c r="CF360" s="141"/>
      <c r="CG360" s="141"/>
      <c r="CH360" s="141"/>
      <c r="CI360" s="141"/>
      <c r="CJ360" s="141"/>
      <c r="CK360" s="141"/>
    </row>
    <row r="361" spans="74:89" ht="15" customHeight="1" x14ac:dyDescent="0.35">
      <c r="BV361" s="140"/>
      <c r="BY361" s="141"/>
      <c r="BZ361" s="141"/>
      <c r="CA361" s="141"/>
      <c r="CB361" s="141"/>
      <c r="CC361" s="141"/>
      <c r="CD361" s="141"/>
      <c r="CE361" s="141"/>
      <c r="CF361" s="141"/>
      <c r="CG361" s="141"/>
      <c r="CH361" s="141"/>
      <c r="CI361" s="141"/>
      <c r="CJ361" s="141"/>
      <c r="CK361" s="141"/>
    </row>
    <row r="362" spans="74:89" ht="15" customHeight="1" x14ac:dyDescent="0.35">
      <c r="BV362" s="140"/>
      <c r="BY362" s="141"/>
      <c r="BZ362" s="141"/>
      <c r="CA362" s="141"/>
      <c r="CB362" s="141"/>
      <c r="CC362" s="141"/>
      <c r="CD362" s="141"/>
      <c r="CE362" s="141"/>
      <c r="CF362" s="141"/>
      <c r="CG362" s="141"/>
      <c r="CH362" s="141"/>
      <c r="CI362" s="141"/>
      <c r="CJ362" s="141"/>
      <c r="CK362" s="141"/>
    </row>
    <row r="363" spans="74:89" ht="15" customHeight="1" x14ac:dyDescent="0.35">
      <c r="BV363" s="140"/>
      <c r="BY363" s="141"/>
      <c r="BZ363" s="141"/>
      <c r="CA363" s="141"/>
      <c r="CB363" s="141"/>
      <c r="CC363" s="141"/>
      <c r="CD363" s="141"/>
      <c r="CE363" s="141"/>
      <c r="CF363" s="141"/>
      <c r="CG363" s="141"/>
      <c r="CH363" s="141"/>
      <c r="CI363" s="141"/>
      <c r="CJ363" s="141"/>
      <c r="CK363" s="141"/>
    </row>
    <row r="364" spans="74:89" ht="15" customHeight="1" x14ac:dyDescent="0.35">
      <c r="BV364" s="140"/>
      <c r="BY364" s="141"/>
      <c r="BZ364" s="141"/>
      <c r="CA364" s="141"/>
      <c r="CB364" s="141"/>
      <c r="CC364" s="141"/>
      <c r="CD364" s="141"/>
      <c r="CE364" s="141"/>
      <c r="CF364" s="141"/>
      <c r="CG364" s="141"/>
      <c r="CH364" s="141"/>
      <c r="CI364" s="141"/>
      <c r="CJ364" s="141"/>
      <c r="CK364" s="141"/>
    </row>
    <row r="365" spans="74:89" ht="15" customHeight="1" x14ac:dyDescent="0.35">
      <c r="BV365" s="140"/>
      <c r="BY365" s="141"/>
      <c r="BZ365" s="141"/>
      <c r="CA365" s="141"/>
      <c r="CB365" s="141"/>
      <c r="CC365" s="141"/>
      <c r="CD365" s="141"/>
      <c r="CE365" s="141"/>
      <c r="CF365" s="141"/>
      <c r="CG365" s="141"/>
      <c r="CH365" s="141"/>
      <c r="CI365" s="141"/>
      <c r="CJ365" s="141"/>
      <c r="CK365" s="141"/>
    </row>
    <row r="366" spans="74:89" ht="15" customHeight="1" x14ac:dyDescent="0.35">
      <c r="BV366" s="140"/>
      <c r="BY366" s="141"/>
      <c r="BZ366" s="141"/>
      <c r="CA366" s="141"/>
      <c r="CB366" s="141"/>
      <c r="CC366" s="141"/>
      <c r="CD366" s="141"/>
      <c r="CE366" s="141"/>
      <c r="CF366" s="141"/>
      <c r="CG366" s="141"/>
      <c r="CH366" s="141"/>
      <c r="CI366" s="141"/>
      <c r="CJ366" s="141"/>
      <c r="CK366" s="141"/>
    </row>
    <row r="367" spans="74:89" ht="15" customHeight="1" x14ac:dyDescent="0.35">
      <c r="BV367" s="140"/>
      <c r="BY367" s="141"/>
      <c r="BZ367" s="141"/>
      <c r="CA367" s="141"/>
      <c r="CB367" s="141"/>
      <c r="CC367" s="141"/>
      <c r="CD367" s="141"/>
      <c r="CE367" s="141"/>
      <c r="CF367" s="141"/>
      <c r="CG367" s="141"/>
      <c r="CH367" s="141"/>
      <c r="CI367" s="141"/>
      <c r="CJ367" s="141"/>
      <c r="CK367" s="141"/>
    </row>
    <row r="368" spans="74:89" ht="15" customHeight="1" x14ac:dyDescent="0.35">
      <c r="BV368" s="140"/>
      <c r="BY368" s="141"/>
      <c r="BZ368" s="141"/>
      <c r="CA368" s="141"/>
      <c r="CB368" s="141"/>
      <c r="CC368" s="141"/>
      <c r="CD368" s="141"/>
      <c r="CE368" s="141"/>
      <c r="CF368" s="141"/>
      <c r="CG368" s="141"/>
      <c r="CH368" s="141"/>
      <c r="CI368" s="141"/>
      <c r="CJ368" s="141"/>
      <c r="CK368" s="141"/>
    </row>
    <row r="369" spans="74:89" ht="15" customHeight="1" x14ac:dyDescent="0.35">
      <c r="BV369" s="140"/>
      <c r="BY369" s="141"/>
      <c r="BZ369" s="141"/>
      <c r="CA369" s="141"/>
      <c r="CB369" s="141"/>
      <c r="CC369" s="141"/>
      <c r="CD369" s="141"/>
      <c r="CE369" s="141"/>
      <c r="CF369" s="141"/>
      <c r="CG369" s="141"/>
      <c r="CH369" s="141"/>
      <c r="CI369" s="141"/>
      <c r="CJ369" s="141"/>
      <c r="CK369" s="141"/>
    </row>
    <row r="370" spans="74:89" ht="15" customHeight="1" x14ac:dyDescent="0.35">
      <c r="BV370" s="140"/>
      <c r="BY370" s="141"/>
      <c r="BZ370" s="141"/>
      <c r="CA370" s="141"/>
      <c r="CB370" s="141"/>
      <c r="CC370" s="141"/>
      <c r="CD370" s="141"/>
      <c r="CE370" s="141"/>
      <c r="CF370" s="141"/>
      <c r="CG370" s="141"/>
      <c r="CH370" s="141"/>
      <c r="CI370" s="141"/>
      <c r="CJ370" s="141"/>
      <c r="CK370" s="141"/>
    </row>
    <row r="371" spans="74:89" ht="15" customHeight="1" x14ac:dyDescent="0.35">
      <c r="BV371" s="140"/>
      <c r="BY371" s="141"/>
      <c r="BZ371" s="141"/>
      <c r="CA371" s="141"/>
      <c r="CB371" s="141"/>
      <c r="CC371" s="141"/>
      <c r="CD371" s="141"/>
      <c r="CE371" s="141"/>
      <c r="CF371" s="141"/>
      <c r="CG371" s="141"/>
      <c r="CH371" s="141"/>
      <c r="CI371" s="141"/>
      <c r="CJ371" s="141"/>
      <c r="CK371" s="141"/>
    </row>
    <row r="372" spans="74:89" ht="15" customHeight="1" x14ac:dyDescent="0.35">
      <c r="BV372" s="140"/>
      <c r="BY372" s="141"/>
      <c r="BZ372" s="141"/>
      <c r="CA372" s="141"/>
      <c r="CB372" s="141"/>
      <c r="CC372" s="141"/>
      <c r="CD372" s="141"/>
      <c r="CE372" s="141"/>
      <c r="CF372" s="141"/>
      <c r="CG372" s="141"/>
      <c r="CH372" s="141"/>
      <c r="CI372" s="141"/>
      <c r="CJ372" s="141"/>
      <c r="CK372" s="141"/>
    </row>
    <row r="373" spans="74:89" ht="15" customHeight="1" x14ac:dyDescent="0.35">
      <c r="BV373" s="140"/>
      <c r="BY373" s="141"/>
      <c r="BZ373" s="141"/>
      <c r="CA373" s="141"/>
      <c r="CB373" s="141"/>
      <c r="CC373" s="141"/>
      <c r="CD373" s="141"/>
      <c r="CE373" s="141"/>
      <c r="CF373" s="141"/>
      <c r="CG373" s="141"/>
      <c r="CH373" s="141"/>
      <c r="CI373" s="141"/>
      <c r="CJ373" s="141"/>
      <c r="CK373" s="141"/>
    </row>
    <row r="374" spans="74:89" ht="15" customHeight="1" x14ac:dyDescent="0.35">
      <c r="BV374" s="140"/>
      <c r="BY374" s="141"/>
      <c r="BZ374" s="141"/>
      <c r="CA374" s="141"/>
      <c r="CB374" s="141"/>
      <c r="CC374" s="141"/>
      <c r="CD374" s="141"/>
      <c r="CE374" s="141"/>
      <c r="CF374" s="141"/>
      <c r="CG374" s="141"/>
      <c r="CH374" s="141"/>
      <c r="CI374" s="141"/>
      <c r="CJ374" s="141"/>
      <c r="CK374" s="141"/>
    </row>
    <row r="375" spans="74:89" ht="15" customHeight="1" x14ac:dyDescent="0.35">
      <c r="BV375" s="140"/>
      <c r="BY375" s="141"/>
      <c r="BZ375" s="141"/>
      <c r="CA375" s="141"/>
      <c r="CB375" s="141"/>
      <c r="CC375" s="141"/>
      <c r="CD375" s="141"/>
      <c r="CE375" s="141"/>
      <c r="CF375" s="141"/>
      <c r="CG375" s="141"/>
      <c r="CH375" s="141"/>
      <c r="CI375" s="141"/>
      <c r="CJ375" s="141"/>
      <c r="CK375" s="141"/>
    </row>
    <row r="376" spans="74:89" ht="15" customHeight="1" x14ac:dyDescent="0.35">
      <c r="BV376" s="140"/>
      <c r="BY376" s="141"/>
      <c r="BZ376" s="141"/>
      <c r="CA376" s="141"/>
      <c r="CB376" s="141"/>
      <c r="CC376" s="141"/>
      <c r="CD376" s="141"/>
      <c r="CE376" s="141"/>
      <c r="CF376" s="141"/>
      <c r="CG376" s="141"/>
      <c r="CH376" s="141"/>
      <c r="CI376" s="141"/>
      <c r="CJ376" s="141"/>
      <c r="CK376" s="141"/>
    </row>
    <row r="377" spans="74:89" ht="15" customHeight="1" x14ac:dyDescent="0.35">
      <c r="BV377" s="140"/>
      <c r="BY377" s="141"/>
      <c r="BZ377" s="141"/>
      <c r="CA377" s="141"/>
      <c r="CB377" s="141"/>
      <c r="CC377" s="141"/>
      <c r="CD377" s="141"/>
      <c r="CE377" s="141"/>
      <c r="CF377" s="141"/>
      <c r="CG377" s="141"/>
      <c r="CH377" s="141"/>
      <c r="CI377" s="141"/>
      <c r="CJ377" s="141"/>
      <c r="CK377" s="141"/>
    </row>
    <row r="378" spans="74:89" ht="15" customHeight="1" x14ac:dyDescent="0.35">
      <c r="BV378" s="140"/>
      <c r="BY378" s="141"/>
      <c r="BZ378" s="141"/>
      <c r="CA378" s="141"/>
      <c r="CB378" s="141"/>
      <c r="CC378" s="141"/>
      <c r="CD378" s="141"/>
      <c r="CE378" s="141"/>
      <c r="CF378" s="141"/>
      <c r="CG378" s="141"/>
      <c r="CH378" s="141"/>
      <c r="CI378" s="141"/>
      <c r="CJ378" s="141"/>
      <c r="CK378" s="141"/>
    </row>
    <row r="379" spans="74:89" ht="15" customHeight="1" x14ac:dyDescent="0.35">
      <c r="BV379" s="140"/>
      <c r="BY379" s="141"/>
      <c r="BZ379" s="141"/>
      <c r="CA379" s="141"/>
      <c r="CB379" s="141"/>
      <c r="CC379" s="141"/>
      <c r="CD379" s="141"/>
      <c r="CE379" s="141"/>
      <c r="CF379" s="141"/>
      <c r="CG379" s="141"/>
      <c r="CH379" s="141"/>
      <c r="CI379" s="141"/>
      <c r="CJ379" s="141"/>
      <c r="CK379" s="141"/>
    </row>
    <row r="380" spans="74:89" ht="15" customHeight="1" x14ac:dyDescent="0.35">
      <c r="BV380" s="140"/>
      <c r="BY380" s="141"/>
      <c r="BZ380" s="141"/>
      <c r="CA380" s="141"/>
      <c r="CB380" s="141"/>
      <c r="CC380" s="141"/>
      <c r="CD380" s="141"/>
      <c r="CE380" s="141"/>
      <c r="CF380" s="141"/>
      <c r="CG380" s="141"/>
      <c r="CH380" s="141"/>
      <c r="CI380" s="141"/>
      <c r="CJ380" s="141"/>
      <c r="CK380" s="141"/>
    </row>
    <row r="381" spans="74:89" ht="15" customHeight="1" x14ac:dyDescent="0.35">
      <c r="BV381" s="140"/>
      <c r="BY381" s="141"/>
      <c r="BZ381" s="141"/>
      <c r="CA381" s="141"/>
      <c r="CB381" s="141"/>
      <c r="CC381" s="141"/>
      <c r="CD381" s="141"/>
      <c r="CE381" s="141"/>
      <c r="CF381" s="141"/>
      <c r="CG381" s="141"/>
      <c r="CH381" s="141"/>
      <c r="CI381" s="141"/>
      <c r="CJ381" s="141"/>
      <c r="CK381" s="141"/>
    </row>
    <row r="382" spans="74:89" ht="15" customHeight="1" x14ac:dyDescent="0.35">
      <c r="BV382" s="140"/>
      <c r="BY382" s="141"/>
      <c r="BZ382" s="141"/>
      <c r="CA382" s="141"/>
      <c r="CB382" s="141"/>
      <c r="CC382" s="141"/>
      <c r="CD382" s="141"/>
      <c r="CE382" s="141"/>
      <c r="CF382" s="141"/>
      <c r="CG382" s="141"/>
      <c r="CH382" s="141"/>
      <c r="CI382" s="141"/>
      <c r="CJ382" s="141"/>
      <c r="CK382" s="141"/>
    </row>
    <row r="383" spans="74:89" ht="15" customHeight="1" x14ac:dyDescent="0.35">
      <c r="BV383" s="140"/>
      <c r="BY383" s="141"/>
      <c r="BZ383" s="141"/>
      <c r="CA383" s="141"/>
      <c r="CB383" s="141"/>
      <c r="CC383" s="141"/>
      <c r="CD383" s="141"/>
      <c r="CE383" s="141"/>
      <c r="CF383" s="141"/>
      <c r="CG383" s="141"/>
      <c r="CH383" s="141"/>
      <c r="CI383" s="141"/>
      <c r="CJ383" s="141"/>
      <c r="CK383" s="141"/>
    </row>
    <row r="384" spans="74:89" ht="15" customHeight="1" x14ac:dyDescent="0.35">
      <c r="BV384" s="140"/>
      <c r="BY384" s="141"/>
      <c r="BZ384" s="141"/>
      <c r="CA384" s="141"/>
      <c r="CB384" s="141"/>
      <c r="CC384" s="141"/>
      <c r="CD384" s="141"/>
      <c r="CE384" s="141"/>
      <c r="CF384" s="141"/>
      <c r="CG384" s="141"/>
      <c r="CH384" s="141"/>
      <c r="CI384" s="141"/>
      <c r="CJ384" s="141"/>
      <c r="CK384" s="141"/>
    </row>
    <row r="385" spans="74:89" ht="15" customHeight="1" x14ac:dyDescent="0.35">
      <c r="BV385" s="140"/>
      <c r="BY385" s="141"/>
      <c r="BZ385" s="141"/>
      <c r="CA385" s="141"/>
      <c r="CB385" s="141"/>
      <c r="CC385" s="141"/>
      <c r="CD385" s="141"/>
      <c r="CE385" s="141"/>
      <c r="CF385" s="141"/>
      <c r="CG385" s="141"/>
      <c r="CH385" s="141"/>
      <c r="CI385" s="141"/>
      <c r="CJ385" s="141"/>
      <c r="CK385" s="141"/>
    </row>
    <row r="386" spans="74:89" ht="15" customHeight="1" x14ac:dyDescent="0.35">
      <c r="BV386" s="140"/>
      <c r="BY386" s="141"/>
      <c r="BZ386" s="141"/>
      <c r="CA386" s="141"/>
      <c r="CB386" s="141"/>
      <c r="CC386" s="141"/>
      <c r="CD386" s="141"/>
      <c r="CE386" s="141"/>
      <c r="CF386" s="141"/>
      <c r="CG386" s="141"/>
      <c r="CH386" s="141"/>
      <c r="CI386" s="141"/>
      <c r="CJ386" s="141"/>
      <c r="CK386" s="141"/>
    </row>
    <row r="387" spans="74:89" ht="15" customHeight="1" x14ac:dyDescent="0.35">
      <c r="BV387" s="140"/>
      <c r="BY387" s="141"/>
      <c r="BZ387" s="141"/>
      <c r="CA387" s="141"/>
      <c r="CB387" s="141"/>
      <c r="CC387" s="141"/>
      <c r="CD387" s="141"/>
      <c r="CE387" s="141"/>
      <c r="CF387" s="141"/>
      <c r="CG387" s="141"/>
      <c r="CH387" s="141"/>
      <c r="CI387" s="141"/>
      <c r="CJ387" s="141"/>
      <c r="CK387" s="141"/>
    </row>
    <row r="388" spans="74:89" ht="15" customHeight="1" x14ac:dyDescent="0.35">
      <c r="BV388" s="140"/>
      <c r="BY388" s="141"/>
      <c r="BZ388" s="141"/>
      <c r="CA388" s="141"/>
      <c r="CB388" s="141"/>
      <c r="CC388" s="141"/>
      <c r="CD388" s="141"/>
      <c r="CE388" s="141"/>
      <c r="CF388" s="141"/>
      <c r="CG388" s="141"/>
      <c r="CH388" s="141"/>
      <c r="CI388" s="141"/>
      <c r="CJ388" s="141"/>
      <c r="CK388" s="141"/>
    </row>
    <row r="389" spans="74:89" ht="15" customHeight="1" x14ac:dyDescent="0.35">
      <c r="BV389" s="140"/>
      <c r="BY389" s="141"/>
      <c r="BZ389" s="141"/>
      <c r="CA389" s="141"/>
      <c r="CB389" s="141"/>
      <c r="CC389" s="141"/>
      <c r="CD389" s="141"/>
      <c r="CE389" s="141"/>
      <c r="CF389" s="141"/>
      <c r="CG389" s="141"/>
      <c r="CH389" s="141"/>
      <c r="CI389" s="141"/>
      <c r="CJ389" s="141"/>
      <c r="CK389" s="141"/>
    </row>
    <row r="390" spans="74:89" ht="15" customHeight="1" x14ac:dyDescent="0.35">
      <c r="BV390" s="140"/>
      <c r="BY390" s="141"/>
      <c r="BZ390" s="141"/>
      <c r="CA390" s="141"/>
      <c r="CB390" s="141"/>
      <c r="CC390" s="141"/>
      <c r="CD390" s="141"/>
      <c r="CE390" s="141"/>
      <c r="CF390" s="141"/>
      <c r="CG390" s="141"/>
      <c r="CH390" s="141"/>
      <c r="CI390" s="141"/>
      <c r="CJ390" s="141"/>
      <c r="CK390" s="141"/>
    </row>
    <row r="391" spans="74:89" ht="15" customHeight="1" x14ac:dyDescent="0.35">
      <c r="BV391" s="140"/>
      <c r="BY391" s="141"/>
      <c r="BZ391" s="141"/>
      <c r="CA391" s="141"/>
      <c r="CB391" s="141"/>
      <c r="CC391" s="141"/>
      <c r="CD391" s="141"/>
      <c r="CE391" s="141"/>
      <c r="CF391" s="141"/>
      <c r="CG391" s="141"/>
      <c r="CH391" s="141"/>
      <c r="CI391" s="141"/>
      <c r="CJ391" s="141"/>
      <c r="CK391" s="141"/>
    </row>
    <row r="392" spans="74:89" ht="15" customHeight="1" x14ac:dyDescent="0.35">
      <c r="BV392" s="140"/>
      <c r="BY392" s="141"/>
      <c r="BZ392" s="141"/>
      <c r="CA392" s="141"/>
      <c r="CB392" s="141"/>
      <c r="CC392" s="141"/>
      <c r="CD392" s="141"/>
      <c r="CE392" s="141"/>
      <c r="CF392" s="141"/>
      <c r="CG392" s="141"/>
      <c r="CH392" s="141"/>
      <c r="CI392" s="141"/>
      <c r="CJ392" s="141"/>
      <c r="CK392" s="141"/>
    </row>
    <row r="393" spans="74:89" ht="15" customHeight="1" x14ac:dyDescent="0.35">
      <c r="BV393" s="140"/>
      <c r="BY393" s="141"/>
      <c r="BZ393" s="141"/>
      <c r="CA393" s="141"/>
      <c r="CB393" s="141"/>
      <c r="CC393" s="141"/>
      <c r="CD393" s="141"/>
      <c r="CE393" s="141"/>
      <c r="CF393" s="141"/>
      <c r="CG393" s="141"/>
      <c r="CH393" s="141"/>
      <c r="CI393" s="141"/>
      <c r="CJ393" s="141"/>
      <c r="CK393" s="141"/>
    </row>
    <row r="394" spans="74:89" ht="15" customHeight="1" x14ac:dyDescent="0.35">
      <c r="BV394" s="140"/>
      <c r="BY394" s="141"/>
      <c r="BZ394" s="141"/>
      <c r="CA394" s="141"/>
      <c r="CB394" s="141"/>
      <c r="CC394" s="141"/>
      <c r="CD394" s="141"/>
      <c r="CE394" s="141"/>
      <c r="CF394" s="141"/>
      <c r="CG394" s="141"/>
      <c r="CH394" s="141"/>
      <c r="CI394" s="141"/>
      <c r="CJ394" s="141"/>
      <c r="CK394" s="141"/>
    </row>
    <row r="395" spans="74:89" ht="15" customHeight="1" x14ac:dyDescent="0.35">
      <c r="BV395" s="140"/>
      <c r="BY395" s="141"/>
      <c r="BZ395" s="141"/>
      <c r="CA395" s="141"/>
      <c r="CB395" s="141"/>
      <c r="CC395" s="141"/>
      <c r="CD395" s="141"/>
      <c r="CE395" s="141"/>
      <c r="CF395" s="141"/>
      <c r="CG395" s="141"/>
      <c r="CH395" s="141"/>
      <c r="CI395" s="141"/>
      <c r="CJ395" s="141"/>
      <c r="CK395" s="141"/>
    </row>
    <row r="396" spans="74:89" ht="15" customHeight="1" x14ac:dyDescent="0.35">
      <c r="BV396" s="140"/>
      <c r="BY396" s="141"/>
      <c r="BZ396" s="141"/>
      <c r="CA396" s="141"/>
      <c r="CB396" s="141"/>
      <c r="CC396" s="141"/>
      <c r="CD396" s="141"/>
      <c r="CE396" s="141"/>
      <c r="CF396" s="141"/>
      <c r="CG396" s="141"/>
      <c r="CH396" s="141"/>
      <c r="CI396" s="141"/>
      <c r="CJ396" s="141"/>
      <c r="CK396" s="141"/>
    </row>
    <row r="397" spans="74:89" ht="15" customHeight="1" x14ac:dyDescent="0.35">
      <c r="BV397" s="140"/>
      <c r="BY397" s="141"/>
      <c r="BZ397" s="141"/>
      <c r="CA397" s="141"/>
      <c r="CB397" s="141"/>
      <c r="CC397" s="141"/>
      <c r="CD397" s="141"/>
      <c r="CE397" s="141"/>
      <c r="CF397" s="141"/>
      <c r="CG397" s="141"/>
      <c r="CH397" s="141"/>
      <c r="CI397" s="141"/>
      <c r="CJ397" s="141"/>
      <c r="CK397" s="141"/>
    </row>
    <row r="398" spans="74:89" ht="15" customHeight="1" x14ac:dyDescent="0.35">
      <c r="BV398" s="140"/>
      <c r="BY398" s="141"/>
      <c r="BZ398" s="141"/>
      <c r="CA398" s="141"/>
      <c r="CB398" s="141"/>
      <c r="CC398" s="141"/>
      <c r="CD398" s="141"/>
      <c r="CE398" s="141"/>
      <c r="CF398" s="141"/>
      <c r="CG398" s="141"/>
      <c r="CH398" s="141"/>
      <c r="CI398" s="141"/>
      <c r="CJ398" s="141"/>
      <c r="CK398" s="141"/>
    </row>
    <row r="399" spans="74:89" ht="15" customHeight="1" x14ac:dyDescent="0.35">
      <c r="BV399" s="140"/>
      <c r="BY399" s="141"/>
      <c r="BZ399" s="141"/>
      <c r="CA399" s="141"/>
      <c r="CB399" s="141"/>
      <c r="CC399" s="141"/>
      <c r="CD399" s="141"/>
      <c r="CE399" s="141"/>
      <c r="CF399" s="141"/>
      <c r="CG399" s="141"/>
      <c r="CH399" s="141"/>
      <c r="CI399" s="141"/>
      <c r="CJ399" s="141"/>
      <c r="CK399" s="141"/>
    </row>
    <row r="400" spans="74:89" ht="15" customHeight="1" x14ac:dyDescent="0.35">
      <c r="BV400" s="140"/>
      <c r="BY400" s="141"/>
      <c r="BZ400" s="141"/>
      <c r="CA400" s="141"/>
      <c r="CB400" s="141"/>
      <c r="CC400" s="141"/>
      <c r="CD400" s="141"/>
      <c r="CE400" s="141"/>
      <c r="CF400" s="141"/>
      <c r="CG400" s="141"/>
      <c r="CH400" s="141"/>
      <c r="CI400" s="141"/>
      <c r="CJ400" s="141"/>
      <c r="CK400" s="141"/>
    </row>
    <row r="401" spans="74:89" ht="15" customHeight="1" x14ac:dyDescent="0.35">
      <c r="BV401" s="140"/>
      <c r="BY401" s="141"/>
      <c r="BZ401" s="141"/>
      <c r="CA401" s="141"/>
      <c r="CB401" s="141"/>
      <c r="CC401" s="141"/>
      <c r="CD401" s="141"/>
      <c r="CE401" s="141"/>
      <c r="CF401" s="141"/>
      <c r="CG401" s="141"/>
      <c r="CH401" s="141"/>
      <c r="CI401" s="141"/>
      <c r="CJ401" s="141"/>
      <c r="CK401" s="141"/>
    </row>
    <row r="402" spans="74:89" ht="15" customHeight="1" x14ac:dyDescent="0.35">
      <c r="BV402" s="140"/>
      <c r="BY402" s="141"/>
      <c r="BZ402" s="141"/>
      <c r="CA402" s="141"/>
      <c r="CB402" s="141"/>
      <c r="CC402" s="141"/>
      <c r="CD402" s="141"/>
      <c r="CE402" s="141"/>
      <c r="CF402" s="141"/>
      <c r="CG402" s="141"/>
      <c r="CH402" s="141"/>
      <c r="CI402" s="141"/>
      <c r="CJ402" s="141"/>
      <c r="CK402" s="141"/>
    </row>
    <row r="403" spans="74:89" ht="15" customHeight="1" x14ac:dyDescent="0.35">
      <c r="BV403" s="140"/>
      <c r="BY403" s="141"/>
      <c r="BZ403" s="141"/>
      <c r="CA403" s="141"/>
      <c r="CB403" s="141"/>
      <c r="CC403" s="141"/>
      <c r="CD403" s="141"/>
      <c r="CE403" s="141"/>
      <c r="CF403" s="141"/>
      <c r="CG403" s="141"/>
      <c r="CH403" s="141"/>
      <c r="CI403" s="141"/>
      <c r="CJ403" s="141"/>
      <c r="CK403" s="141"/>
    </row>
    <row r="404" spans="74:89" ht="15" customHeight="1" x14ac:dyDescent="0.35">
      <c r="BV404" s="140"/>
      <c r="BY404" s="141"/>
      <c r="BZ404" s="141"/>
      <c r="CA404" s="141"/>
      <c r="CB404" s="141"/>
      <c r="CC404" s="141"/>
      <c r="CD404" s="141"/>
      <c r="CE404" s="141"/>
      <c r="CF404" s="141"/>
      <c r="CG404" s="141"/>
      <c r="CH404" s="141"/>
      <c r="CI404" s="141"/>
      <c r="CJ404" s="141"/>
      <c r="CK404" s="141"/>
    </row>
    <row r="405" spans="74:89" ht="15" customHeight="1" x14ac:dyDescent="0.35">
      <c r="BV405" s="140"/>
      <c r="BY405" s="141"/>
      <c r="BZ405" s="141"/>
      <c r="CA405" s="141"/>
      <c r="CB405" s="141"/>
      <c r="CC405" s="141"/>
      <c r="CD405" s="141"/>
      <c r="CE405" s="141"/>
      <c r="CF405" s="141"/>
      <c r="CG405" s="141"/>
      <c r="CH405" s="141"/>
      <c r="CI405" s="141"/>
      <c r="CJ405" s="141"/>
      <c r="CK405" s="141"/>
    </row>
    <row r="406" spans="74:89" ht="15" customHeight="1" x14ac:dyDescent="0.35">
      <c r="BV406" s="140"/>
      <c r="BY406" s="141"/>
      <c r="BZ406" s="141"/>
      <c r="CA406" s="141"/>
      <c r="CB406" s="141"/>
      <c r="CC406" s="141"/>
      <c r="CD406" s="141"/>
      <c r="CE406" s="141"/>
      <c r="CF406" s="141"/>
      <c r="CG406" s="141"/>
      <c r="CH406" s="141"/>
      <c r="CI406" s="141"/>
      <c r="CJ406" s="141"/>
      <c r="CK406" s="141"/>
    </row>
    <row r="407" spans="74:89" ht="15" customHeight="1" x14ac:dyDescent="0.35">
      <c r="BV407" s="140"/>
      <c r="BY407" s="141"/>
      <c r="BZ407" s="141"/>
      <c r="CA407" s="141"/>
      <c r="CB407" s="141"/>
      <c r="CC407" s="141"/>
      <c r="CD407" s="141"/>
      <c r="CE407" s="141"/>
      <c r="CF407" s="141"/>
      <c r="CG407" s="141"/>
      <c r="CH407" s="141"/>
      <c r="CI407" s="141"/>
      <c r="CJ407" s="141"/>
      <c r="CK407" s="141"/>
    </row>
    <row r="408" spans="74:89" ht="15" customHeight="1" x14ac:dyDescent="0.35">
      <c r="BV408" s="140"/>
      <c r="BY408" s="141"/>
      <c r="BZ408" s="141"/>
      <c r="CA408" s="141"/>
      <c r="CB408" s="141"/>
      <c r="CC408" s="141"/>
      <c r="CD408" s="141"/>
      <c r="CE408" s="141"/>
      <c r="CF408" s="141"/>
      <c r="CG408" s="141"/>
      <c r="CH408" s="141"/>
      <c r="CI408" s="141"/>
      <c r="CJ408" s="141"/>
      <c r="CK408" s="141"/>
    </row>
    <row r="409" spans="74:89" ht="15" customHeight="1" x14ac:dyDescent="0.35">
      <c r="BV409" s="140"/>
      <c r="BY409" s="141"/>
      <c r="BZ409" s="141"/>
      <c r="CA409" s="141"/>
      <c r="CB409" s="141"/>
      <c r="CC409" s="141"/>
      <c r="CD409" s="141"/>
      <c r="CE409" s="141"/>
      <c r="CF409" s="141"/>
      <c r="CG409" s="141"/>
      <c r="CH409" s="141"/>
      <c r="CI409" s="141"/>
      <c r="CJ409" s="141"/>
      <c r="CK409" s="141"/>
    </row>
    <row r="410" spans="74:89" ht="15" customHeight="1" x14ac:dyDescent="0.35">
      <c r="BV410" s="140"/>
      <c r="BY410" s="141"/>
      <c r="BZ410" s="141"/>
      <c r="CA410" s="141"/>
      <c r="CB410" s="141"/>
      <c r="CC410" s="141"/>
      <c r="CD410" s="141"/>
      <c r="CE410" s="141"/>
      <c r="CF410" s="141"/>
      <c r="CG410" s="141"/>
      <c r="CH410" s="141"/>
      <c r="CI410" s="141"/>
      <c r="CJ410" s="141"/>
      <c r="CK410" s="141"/>
    </row>
    <row r="411" spans="74:89" ht="15" customHeight="1" x14ac:dyDescent="0.35">
      <c r="BV411" s="140"/>
      <c r="BY411" s="141"/>
      <c r="BZ411" s="141"/>
      <c r="CA411" s="141"/>
      <c r="CB411" s="141"/>
      <c r="CC411" s="141"/>
      <c r="CD411" s="141"/>
      <c r="CE411" s="141"/>
      <c r="CF411" s="141"/>
      <c r="CG411" s="141"/>
      <c r="CH411" s="141"/>
      <c r="CI411" s="141"/>
      <c r="CJ411" s="141"/>
      <c r="CK411" s="141"/>
    </row>
    <row r="412" spans="74:89" ht="15" customHeight="1" x14ac:dyDescent="0.35">
      <c r="BV412" s="140"/>
      <c r="BY412" s="141"/>
      <c r="BZ412" s="141"/>
      <c r="CA412" s="141"/>
      <c r="CB412" s="141"/>
      <c r="CC412" s="141"/>
      <c r="CD412" s="141"/>
      <c r="CE412" s="141"/>
      <c r="CF412" s="141"/>
      <c r="CG412" s="141"/>
      <c r="CH412" s="141"/>
      <c r="CI412" s="141"/>
      <c r="CJ412" s="141"/>
      <c r="CK412" s="141"/>
    </row>
    <row r="413" spans="74:89" ht="15" customHeight="1" x14ac:dyDescent="0.35">
      <c r="BV413" s="140"/>
      <c r="BY413" s="141"/>
      <c r="BZ413" s="141"/>
      <c r="CA413" s="141"/>
      <c r="CB413" s="141"/>
      <c r="CC413" s="141"/>
      <c r="CD413" s="141"/>
      <c r="CE413" s="141"/>
      <c r="CF413" s="141"/>
      <c r="CG413" s="141"/>
      <c r="CH413" s="141"/>
      <c r="CI413" s="141"/>
      <c r="CJ413" s="141"/>
      <c r="CK413" s="141"/>
    </row>
    <row r="414" spans="74:89" ht="15" customHeight="1" x14ac:dyDescent="0.35">
      <c r="BV414" s="140"/>
      <c r="BY414" s="141"/>
      <c r="BZ414" s="141"/>
      <c r="CA414" s="141"/>
      <c r="CB414" s="141"/>
      <c r="CC414" s="141"/>
      <c r="CD414" s="141"/>
      <c r="CE414" s="141"/>
      <c r="CF414" s="141"/>
      <c r="CG414" s="141"/>
      <c r="CH414" s="141"/>
      <c r="CI414" s="141"/>
      <c r="CJ414" s="141"/>
      <c r="CK414" s="141"/>
    </row>
    <row r="415" spans="74:89" ht="15" customHeight="1" x14ac:dyDescent="0.35">
      <c r="BV415" s="140"/>
      <c r="BY415" s="141"/>
      <c r="BZ415" s="141"/>
      <c r="CA415" s="141"/>
      <c r="CB415" s="141"/>
      <c r="CC415" s="141"/>
      <c r="CD415" s="141"/>
      <c r="CE415" s="141"/>
      <c r="CF415" s="141"/>
      <c r="CG415" s="141"/>
      <c r="CH415" s="141"/>
      <c r="CI415" s="141"/>
      <c r="CJ415" s="141"/>
      <c r="CK415" s="141"/>
    </row>
    <row r="416" spans="74:89" ht="15" customHeight="1" x14ac:dyDescent="0.35">
      <c r="BV416" s="140"/>
      <c r="BY416" s="141"/>
      <c r="BZ416" s="141"/>
      <c r="CA416" s="141"/>
      <c r="CB416" s="141"/>
      <c r="CC416" s="141"/>
      <c r="CD416" s="141"/>
      <c r="CE416" s="141"/>
      <c r="CF416" s="141"/>
      <c r="CG416" s="141"/>
      <c r="CH416" s="141"/>
      <c r="CI416" s="141"/>
      <c r="CJ416" s="141"/>
      <c r="CK416" s="141"/>
    </row>
    <row r="417" spans="74:89" ht="15" customHeight="1" x14ac:dyDescent="0.35">
      <c r="BV417" s="140"/>
      <c r="BY417" s="141"/>
      <c r="BZ417" s="141"/>
      <c r="CA417" s="141"/>
      <c r="CB417" s="141"/>
      <c r="CC417" s="141"/>
      <c r="CD417" s="141"/>
      <c r="CE417" s="141"/>
      <c r="CF417" s="141"/>
      <c r="CG417" s="141"/>
      <c r="CH417" s="141"/>
      <c r="CI417" s="141"/>
      <c r="CJ417" s="141"/>
      <c r="CK417" s="141"/>
    </row>
    <row r="418" spans="74:89" ht="15" customHeight="1" x14ac:dyDescent="0.35">
      <c r="BV418" s="140"/>
      <c r="BY418" s="141"/>
      <c r="BZ418" s="141"/>
      <c r="CA418" s="141"/>
      <c r="CB418" s="141"/>
      <c r="CC418" s="141"/>
      <c r="CD418" s="141"/>
      <c r="CE418" s="141"/>
      <c r="CF418" s="141"/>
      <c r="CG418" s="141"/>
      <c r="CH418" s="141"/>
      <c r="CI418" s="141"/>
      <c r="CJ418" s="141"/>
      <c r="CK418" s="141"/>
    </row>
    <row r="419" spans="74:89" ht="15" customHeight="1" x14ac:dyDescent="0.35">
      <c r="BV419" s="140"/>
      <c r="BY419" s="141"/>
      <c r="BZ419" s="141"/>
      <c r="CA419" s="141"/>
      <c r="CB419" s="141"/>
      <c r="CC419" s="141"/>
      <c r="CD419" s="141"/>
      <c r="CE419" s="141"/>
      <c r="CF419" s="141"/>
      <c r="CG419" s="141"/>
      <c r="CH419" s="141"/>
      <c r="CI419" s="141"/>
      <c r="CJ419" s="141"/>
      <c r="CK419" s="141"/>
    </row>
    <row r="420" spans="74:89" ht="15" customHeight="1" x14ac:dyDescent="0.35">
      <c r="BV420" s="140"/>
      <c r="BY420" s="141"/>
      <c r="BZ420" s="141"/>
      <c r="CA420" s="141"/>
      <c r="CB420" s="141"/>
      <c r="CC420" s="141"/>
      <c r="CD420" s="141"/>
      <c r="CE420" s="141"/>
      <c r="CF420" s="141"/>
      <c r="CG420" s="141"/>
      <c r="CH420" s="141"/>
      <c r="CI420" s="141"/>
      <c r="CJ420" s="141"/>
      <c r="CK420" s="141"/>
    </row>
    <row r="421" spans="74:89" ht="15" customHeight="1" x14ac:dyDescent="0.35">
      <c r="BV421" s="140"/>
      <c r="BY421" s="141"/>
      <c r="BZ421" s="141"/>
      <c r="CA421" s="141"/>
      <c r="CB421" s="141"/>
      <c r="CC421" s="141"/>
      <c r="CD421" s="141"/>
      <c r="CE421" s="141"/>
      <c r="CF421" s="141"/>
      <c r="CG421" s="141"/>
      <c r="CH421" s="141"/>
      <c r="CI421" s="141"/>
      <c r="CJ421" s="141"/>
      <c r="CK421" s="141"/>
    </row>
    <row r="422" spans="74:89" ht="15" customHeight="1" x14ac:dyDescent="0.35">
      <c r="BV422" s="140"/>
      <c r="BY422" s="141"/>
      <c r="BZ422" s="141"/>
      <c r="CA422" s="141"/>
      <c r="CB422" s="141"/>
      <c r="CC422" s="141"/>
      <c r="CD422" s="141"/>
      <c r="CE422" s="141"/>
      <c r="CF422" s="141"/>
      <c r="CG422" s="141"/>
      <c r="CH422" s="141"/>
      <c r="CI422" s="141"/>
      <c r="CJ422" s="141"/>
      <c r="CK422" s="141"/>
    </row>
    <row r="423" spans="74:89" ht="15" customHeight="1" x14ac:dyDescent="0.35">
      <c r="BV423" s="140"/>
      <c r="BY423" s="141"/>
      <c r="BZ423" s="141"/>
      <c r="CA423" s="141"/>
      <c r="CB423" s="141"/>
      <c r="CC423" s="141"/>
      <c r="CD423" s="141"/>
      <c r="CE423" s="141"/>
      <c r="CF423" s="141"/>
      <c r="CG423" s="141"/>
      <c r="CH423" s="141"/>
      <c r="CI423" s="141"/>
      <c r="CJ423" s="141"/>
      <c r="CK423" s="141"/>
    </row>
    <row r="424" spans="74:89" ht="15" customHeight="1" x14ac:dyDescent="0.35">
      <c r="BV424" s="140"/>
      <c r="BY424" s="141"/>
      <c r="BZ424" s="141"/>
      <c r="CA424" s="141"/>
      <c r="CB424" s="141"/>
      <c r="CC424" s="141"/>
      <c r="CD424" s="141"/>
      <c r="CE424" s="141"/>
      <c r="CF424" s="141"/>
      <c r="CG424" s="141"/>
      <c r="CH424" s="141"/>
      <c r="CI424" s="141"/>
      <c r="CJ424" s="141"/>
      <c r="CK424" s="141"/>
    </row>
    <row r="425" spans="74:89" ht="15" customHeight="1" x14ac:dyDescent="0.35">
      <c r="BV425" s="140"/>
      <c r="BY425" s="141"/>
      <c r="BZ425" s="141"/>
      <c r="CA425" s="141"/>
      <c r="CB425" s="141"/>
      <c r="CC425" s="141"/>
      <c r="CD425" s="141"/>
      <c r="CE425" s="141"/>
      <c r="CF425" s="141"/>
      <c r="CG425" s="141"/>
      <c r="CH425" s="141"/>
      <c r="CI425" s="141"/>
      <c r="CJ425" s="141"/>
      <c r="CK425" s="141"/>
    </row>
    <row r="426" spans="74:89" ht="15" customHeight="1" x14ac:dyDescent="0.35">
      <c r="BV426" s="140"/>
      <c r="BY426" s="141"/>
      <c r="BZ426" s="141"/>
      <c r="CA426" s="141"/>
      <c r="CB426" s="141"/>
      <c r="CC426" s="141"/>
      <c r="CD426" s="141"/>
      <c r="CE426" s="141"/>
      <c r="CF426" s="141"/>
      <c r="CG426" s="141"/>
      <c r="CH426" s="141"/>
      <c r="CI426" s="141"/>
      <c r="CJ426" s="141"/>
      <c r="CK426" s="141"/>
    </row>
    <row r="427" spans="74:89" ht="15" customHeight="1" x14ac:dyDescent="0.35">
      <c r="BV427" s="140"/>
      <c r="BY427" s="141"/>
      <c r="BZ427" s="141"/>
      <c r="CA427" s="141"/>
      <c r="CB427" s="141"/>
      <c r="CC427" s="141"/>
      <c r="CD427" s="141"/>
      <c r="CE427" s="141"/>
      <c r="CF427" s="141"/>
      <c r="CG427" s="141"/>
      <c r="CH427" s="141"/>
      <c r="CI427" s="141"/>
      <c r="CJ427" s="141"/>
      <c r="CK427" s="141"/>
    </row>
    <row r="428" spans="74:89" ht="15" customHeight="1" x14ac:dyDescent="0.35">
      <c r="BV428" s="140"/>
      <c r="BY428" s="141"/>
      <c r="BZ428" s="141"/>
      <c r="CA428" s="141"/>
      <c r="CB428" s="141"/>
      <c r="CC428" s="141"/>
      <c r="CD428" s="141"/>
      <c r="CE428" s="141"/>
      <c r="CF428" s="141"/>
      <c r="CG428" s="141"/>
      <c r="CH428" s="141"/>
      <c r="CI428" s="141"/>
      <c r="CJ428" s="141"/>
      <c r="CK428" s="141"/>
    </row>
    <row r="429" spans="74:89" ht="15" customHeight="1" x14ac:dyDescent="0.35">
      <c r="BV429" s="140"/>
      <c r="BY429" s="141"/>
      <c r="BZ429" s="141"/>
      <c r="CA429" s="141"/>
      <c r="CB429" s="141"/>
      <c r="CC429" s="141"/>
      <c r="CD429" s="141"/>
      <c r="CE429" s="141"/>
      <c r="CF429" s="141"/>
      <c r="CG429" s="141"/>
      <c r="CH429" s="141"/>
      <c r="CI429" s="141"/>
      <c r="CJ429" s="141"/>
      <c r="CK429" s="141"/>
    </row>
    <row r="430" spans="74:89" ht="15" customHeight="1" x14ac:dyDescent="0.35">
      <c r="BV430" s="140"/>
      <c r="BY430" s="141"/>
      <c r="BZ430" s="141"/>
      <c r="CA430" s="141"/>
      <c r="CB430" s="141"/>
      <c r="CC430" s="141"/>
      <c r="CD430" s="141"/>
      <c r="CE430" s="141"/>
      <c r="CF430" s="141"/>
      <c r="CG430" s="141"/>
      <c r="CH430" s="141"/>
      <c r="CI430" s="141"/>
      <c r="CJ430" s="141"/>
      <c r="CK430" s="141"/>
    </row>
    <row r="431" spans="74:89" ht="15" customHeight="1" x14ac:dyDescent="0.35">
      <c r="BV431" s="140"/>
      <c r="BY431" s="141"/>
      <c r="BZ431" s="141"/>
      <c r="CA431" s="141"/>
      <c r="CB431" s="141"/>
      <c r="CC431" s="141"/>
      <c r="CD431" s="141"/>
      <c r="CE431" s="141"/>
      <c r="CF431" s="141"/>
      <c r="CG431" s="141"/>
      <c r="CH431" s="141"/>
      <c r="CI431" s="141"/>
      <c r="CJ431" s="141"/>
      <c r="CK431" s="141"/>
    </row>
    <row r="432" spans="74:89" ht="15" customHeight="1" x14ac:dyDescent="0.35">
      <c r="BV432" s="140"/>
      <c r="BY432" s="141"/>
      <c r="BZ432" s="141"/>
      <c r="CA432" s="141"/>
      <c r="CB432" s="141"/>
      <c r="CC432" s="141"/>
      <c r="CD432" s="141"/>
      <c r="CE432" s="141"/>
      <c r="CF432" s="141"/>
      <c r="CG432" s="141"/>
      <c r="CH432" s="141"/>
      <c r="CI432" s="141"/>
      <c r="CJ432" s="141"/>
      <c r="CK432" s="141"/>
    </row>
    <row r="433" spans="74:89" ht="15" customHeight="1" x14ac:dyDescent="0.35">
      <c r="BV433" s="140"/>
      <c r="BY433" s="141"/>
      <c r="BZ433" s="141"/>
      <c r="CA433" s="141"/>
      <c r="CB433" s="141"/>
      <c r="CC433" s="141"/>
      <c r="CD433" s="141"/>
      <c r="CE433" s="141"/>
      <c r="CF433" s="141"/>
      <c r="CG433" s="141"/>
      <c r="CH433" s="141"/>
      <c r="CI433" s="141"/>
      <c r="CJ433" s="141"/>
      <c r="CK433" s="141"/>
    </row>
    <row r="434" spans="74:89" ht="15" customHeight="1" x14ac:dyDescent="0.35">
      <c r="BV434" s="140"/>
      <c r="BY434" s="141"/>
      <c r="BZ434" s="141"/>
      <c r="CA434" s="141"/>
      <c r="CB434" s="141"/>
      <c r="CC434" s="141"/>
      <c r="CD434" s="141"/>
      <c r="CE434" s="141"/>
      <c r="CF434" s="141"/>
      <c r="CG434" s="141"/>
      <c r="CH434" s="141"/>
      <c r="CI434" s="141"/>
      <c r="CJ434" s="141"/>
      <c r="CK434" s="141"/>
    </row>
    <row r="435" spans="74:89" ht="15" customHeight="1" x14ac:dyDescent="0.35">
      <c r="BV435" s="140"/>
      <c r="BY435" s="141"/>
      <c r="BZ435" s="141"/>
      <c r="CA435" s="141"/>
      <c r="CB435" s="141"/>
      <c r="CC435" s="141"/>
      <c r="CD435" s="141"/>
      <c r="CE435" s="141"/>
      <c r="CF435" s="141"/>
      <c r="CG435" s="141"/>
      <c r="CH435" s="141"/>
      <c r="CI435" s="141"/>
      <c r="CJ435" s="141"/>
      <c r="CK435" s="141"/>
    </row>
    <row r="436" spans="74:89" ht="15" customHeight="1" x14ac:dyDescent="0.35">
      <c r="BV436" s="140"/>
      <c r="BY436" s="141"/>
      <c r="BZ436" s="141"/>
      <c r="CA436" s="141"/>
      <c r="CB436" s="141"/>
      <c r="CC436" s="141"/>
      <c r="CD436" s="141"/>
      <c r="CE436" s="141"/>
      <c r="CF436" s="141"/>
      <c r="CG436" s="141"/>
      <c r="CH436" s="141"/>
      <c r="CI436" s="141"/>
      <c r="CJ436" s="141"/>
      <c r="CK436" s="141"/>
    </row>
    <row r="437" spans="74:89" ht="15" customHeight="1" x14ac:dyDescent="0.35">
      <c r="BV437" s="140"/>
      <c r="BY437" s="141"/>
      <c r="BZ437" s="141"/>
      <c r="CA437" s="141"/>
      <c r="CB437" s="141"/>
      <c r="CC437" s="141"/>
      <c r="CD437" s="141"/>
      <c r="CE437" s="141"/>
      <c r="CF437" s="141"/>
      <c r="CG437" s="141"/>
      <c r="CH437" s="141"/>
      <c r="CI437" s="141"/>
      <c r="CJ437" s="141"/>
      <c r="CK437" s="141"/>
    </row>
    <row r="438" spans="74:89" ht="15" customHeight="1" x14ac:dyDescent="0.35">
      <c r="BV438" s="140"/>
      <c r="BY438" s="141"/>
      <c r="BZ438" s="141"/>
      <c r="CA438" s="141"/>
      <c r="CB438" s="141"/>
      <c r="CC438" s="141"/>
      <c r="CD438" s="141"/>
      <c r="CE438" s="141"/>
      <c r="CF438" s="141"/>
      <c r="CG438" s="141"/>
      <c r="CH438" s="141"/>
      <c r="CI438" s="141"/>
      <c r="CJ438" s="141"/>
      <c r="CK438" s="141"/>
    </row>
    <row r="439" spans="74:89" ht="15" customHeight="1" x14ac:dyDescent="0.35">
      <c r="BV439" s="140"/>
      <c r="BY439" s="141"/>
      <c r="BZ439" s="141"/>
      <c r="CA439" s="141"/>
      <c r="CB439" s="141"/>
      <c r="CC439" s="141"/>
      <c r="CD439" s="141"/>
      <c r="CE439" s="141"/>
      <c r="CF439" s="141"/>
      <c r="CG439" s="141"/>
      <c r="CH439" s="141"/>
      <c r="CI439" s="141"/>
      <c r="CJ439" s="141"/>
      <c r="CK439" s="141"/>
    </row>
    <row r="440" spans="74:89" ht="15" customHeight="1" x14ac:dyDescent="0.35">
      <c r="BV440" s="140"/>
      <c r="BY440" s="141"/>
      <c r="BZ440" s="141"/>
      <c r="CA440" s="141"/>
      <c r="CB440" s="141"/>
      <c r="CC440" s="141"/>
      <c r="CD440" s="141"/>
      <c r="CE440" s="141"/>
      <c r="CF440" s="141"/>
      <c r="CG440" s="141"/>
      <c r="CH440" s="141"/>
      <c r="CI440" s="141"/>
      <c r="CJ440" s="141"/>
      <c r="CK440" s="141"/>
    </row>
    <row r="441" spans="74:89" ht="15" customHeight="1" x14ac:dyDescent="0.35">
      <c r="BV441" s="140"/>
      <c r="BY441" s="141"/>
      <c r="BZ441" s="141"/>
      <c r="CA441" s="141"/>
      <c r="CB441" s="141"/>
      <c r="CC441" s="141"/>
      <c r="CD441" s="141"/>
      <c r="CE441" s="141"/>
      <c r="CF441" s="141"/>
      <c r="CG441" s="141"/>
      <c r="CH441" s="141"/>
      <c r="CI441" s="141"/>
      <c r="CJ441" s="141"/>
      <c r="CK441" s="141"/>
    </row>
    <row r="442" spans="74:89" ht="15" customHeight="1" x14ac:dyDescent="0.35">
      <c r="BV442" s="140"/>
      <c r="BY442" s="141"/>
      <c r="BZ442" s="141"/>
      <c r="CA442" s="141"/>
      <c r="CB442" s="141"/>
      <c r="CC442" s="141"/>
      <c r="CD442" s="141"/>
      <c r="CE442" s="141"/>
      <c r="CF442" s="141"/>
      <c r="CG442" s="141"/>
      <c r="CH442" s="141"/>
      <c r="CI442" s="141"/>
      <c r="CJ442" s="141"/>
      <c r="CK442" s="141"/>
    </row>
    <row r="443" spans="74:89" ht="15" customHeight="1" x14ac:dyDescent="0.35">
      <c r="BV443" s="140"/>
      <c r="BY443" s="141"/>
      <c r="BZ443" s="141"/>
      <c r="CA443" s="141"/>
      <c r="CB443" s="141"/>
      <c r="CC443" s="141"/>
      <c r="CD443" s="141"/>
      <c r="CE443" s="141"/>
      <c r="CF443" s="141"/>
      <c r="CG443" s="141"/>
      <c r="CH443" s="141"/>
      <c r="CI443" s="141"/>
      <c r="CJ443" s="141"/>
      <c r="CK443" s="141"/>
    </row>
    <row r="444" spans="74:89" ht="15" customHeight="1" x14ac:dyDescent="0.35">
      <c r="BV444" s="140"/>
      <c r="BY444" s="141"/>
      <c r="BZ444" s="141"/>
      <c r="CA444" s="141"/>
      <c r="CB444" s="141"/>
      <c r="CC444" s="141"/>
      <c r="CD444" s="141"/>
      <c r="CE444" s="141"/>
      <c r="CF444" s="141"/>
      <c r="CG444" s="141"/>
      <c r="CH444" s="141"/>
      <c r="CI444" s="141"/>
      <c r="CJ444" s="141"/>
      <c r="CK444" s="141"/>
    </row>
    <row r="445" spans="74:89" ht="15" customHeight="1" x14ac:dyDescent="0.35">
      <c r="BV445" s="140"/>
      <c r="BY445" s="141"/>
      <c r="BZ445" s="141"/>
      <c r="CA445" s="141"/>
      <c r="CB445" s="141"/>
      <c r="CC445" s="141"/>
      <c r="CD445" s="141"/>
      <c r="CE445" s="141"/>
      <c r="CF445" s="141"/>
      <c r="CG445" s="141"/>
      <c r="CH445" s="141"/>
      <c r="CI445" s="141"/>
      <c r="CJ445" s="141"/>
      <c r="CK445" s="141"/>
    </row>
    <row r="446" spans="74:89" ht="15" customHeight="1" x14ac:dyDescent="0.35">
      <c r="BV446" s="140"/>
      <c r="BY446" s="141"/>
      <c r="BZ446" s="141"/>
      <c r="CA446" s="141"/>
      <c r="CB446" s="141"/>
      <c r="CC446" s="141"/>
      <c r="CD446" s="141"/>
      <c r="CE446" s="141"/>
      <c r="CF446" s="141"/>
      <c r="CG446" s="141"/>
      <c r="CH446" s="141"/>
      <c r="CI446" s="141"/>
      <c r="CJ446" s="141"/>
      <c r="CK446" s="141"/>
    </row>
    <row r="447" spans="74:89" ht="15" customHeight="1" x14ac:dyDescent="0.35">
      <c r="BV447" s="140"/>
      <c r="BY447" s="141"/>
      <c r="BZ447" s="141"/>
      <c r="CA447" s="141"/>
      <c r="CB447" s="141"/>
      <c r="CC447" s="141"/>
      <c r="CD447" s="141"/>
      <c r="CE447" s="141"/>
      <c r="CF447" s="141"/>
      <c r="CG447" s="141"/>
      <c r="CH447" s="141"/>
      <c r="CI447" s="141"/>
      <c r="CJ447" s="141"/>
      <c r="CK447" s="141"/>
    </row>
    <row r="448" spans="74:89" ht="15" customHeight="1" x14ac:dyDescent="0.35">
      <c r="BV448" s="140"/>
      <c r="BY448" s="141"/>
      <c r="BZ448" s="141"/>
      <c r="CA448" s="141"/>
      <c r="CB448" s="141"/>
      <c r="CC448" s="141"/>
      <c r="CD448" s="141"/>
      <c r="CE448" s="141"/>
      <c r="CF448" s="141"/>
      <c r="CG448" s="141"/>
      <c r="CH448" s="141"/>
      <c r="CI448" s="141"/>
      <c r="CJ448" s="141"/>
      <c r="CK448" s="141"/>
    </row>
    <row r="449" spans="74:89" ht="15" customHeight="1" x14ac:dyDescent="0.35">
      <c r="BV449" s="140"/>
      <c r="BY449" s="141"/>
      <c r="BZ449" s="141"/>
      <c r="CA449" s="141"/>
      <c r="CB449" s="141"/>
      <c r="CC449" s="141"/>
      <c r="CD449" s="141"/>
      <c r="CE449" s="141"/>
      <c r="CF449" s="141"/>
      <c r="CG449" s="141"/>
      <c r="CH449" s="141"/>
      <c r="CI449" s="141"/>
      <c r="CJ449" s="141"/>
      <c r="CK449" s="141"/>
    </row>
    <row r="450" spans="74:89" ht="15" customHeight="1" x14ac:dyDescent="0.35">
      <c r="BV450" s="140"/>
      <c r="BY450" s="141"/>
      <c r="BZ450" s="141"/>
      <c r="CA450" s="141"/>
      <c r="CB450" s="141"/>
      <c r="CC450" s="141"/>
      <c r="CD450" s="141"/>
      <c r="CE450" s="141"/>
      <c r="CF450" s="141"/>
      <c r="CG450" s="141"/>
      <c r="CH450" s="141"/>
      <c r="CI450" s="141"/>
      <c r="CJ450" s="141"/>
      <c r="CK450" s="141"/>
    </row>
    <row r="451" spans="74:89" ht="15" customHeight="1" x14ac:dyDescent="0.35">
      <c r="BV451" s="140"/>
      <c r="BY451" s="141"/>
      <c r="BZ451" s="141"/>
      <c r="CA451" s="141"/>
      <c r="CB451" s="141"/>
      <c r="CC451" s="141"/>
      <c r="CD451" s="141"/>
      <c r="CE451" s="141"/>
      <c r="CF451" s="141"/>
      <c r="CG451" s="141"/>
      <c r="CH451" s="141"/>
      <c r="CI451" s="141"/>
      <c r="CJ451" s="141"/>
      <c r="CK451" s="141"/>
    </row>
    <row r="452" spans="74:89" ht="15" customHeight="1" x14ac:dyDescent="0.35">
      <c r="BV452" s="140"/>
      <c r="BY452" s="141"/>
      <c r="BZ452" s="141"/>
      <c r="CA452" s="141"/>
      <c r="CB452" s="141"/>
      <c r="CC452" s="141"/>
      <c r="CD452" s="141"/>
      <c r="CE452" s="141"/>
      <c r="CF452" s="141"/>
      <c r="CG452" s="141"/>
      <c r="CH452" s="141"/>
      <c r="CI452" s="141"/>
      <c r="CJ452" s="141"/>
      <c r="CK452" s="141"/>
    </row>
    <row r="453" spans="74:89" ht="15" customHeight="1" x14ac:dyDescent="0.35">
      <c r="BV453" s="140"/>
      <c r="BY453" s="141"/>
      <c r="BZ453" s="141"/>
      <c r="CA453" s="141"/>
      <c r="CB453" s="141"/>
      <c r="CC453" s="141"/>
      <c r="CD453" s="141"/>
      <c r="CE453" s="141"/>
      <c r="CF453" s="141"/>
      <c r="CG453" s="141"/>
      <c r="CH453" s="141"/>
      <c r="CI453" s="141"/>
      <c r="CJ453" s="141"/>
      <c r="CK453" s="141"/>
    </row>
    <row r="454" spans="74:89" ht="15" customHeight="1" x14ac:dyDescent="0.35">
      <c r="BV454" s="140"/>
      <c r="BY454" s="141"/>
      <c r="BZ454" s="141"/>
      <c r="CA454" s="141"/>
      <c r="CB454" s="141"/>
      <c r="CC454" s="141"/>
      <c r="CD454" s="141"/>
      <c r="CE454" s="141"/>
      <c r="CF454" s="141"/>
      <c r="CG454" s="141"/>
      <c r="CH454" s="141"/>
      <c r="CI454" s="141"/>
      <c r="CJ454" s="141"/>
      <c r="CK454" s="141"/>
    </row>
    <row r="455" spans="74:89" ht="15" customHeight="1" x14ac:dyDescent="0.35">
      <c r="BV455" s="140"/>
      <c r="BY455" s="141"/>
      <c r="BZ455" s="141"/>
      <c r="CA455" s="141"/>
      <c r="CB455" s="141"/>
      <c r="CC455" s="141"/>
      <c r="CD455" s="141"/>
      <c r="CE455" s="141"/>
      <c r="CF455" s="141"/>
      <c r="CG455" s="141"/>
      <c r="CH455" s="141"/>
      <c r="CI455" s="141"/>
      <c r="CJ455" s="141"/>
      <c r="CK455" s="141"/>
    </row>
    <row r="456" spans="74:89" ht="15" customHeight="1" x14ac:dyDescent="0.35">
      <c r="BV456" s="140"/>
      <c r="BY456" s="141"/>
      <c r="BZ456" s="141"/>
      <c r="CA456" s="141"/>
      <c r="CB456" s="141"/>
      <c r="CC456" s="141"/>
      <c r="CD456" s="141"/>
      <c r="CE456" s="141"/>
      <c r="CF456" s="141"/>
      <c r="CG456" s="141"/>
      <c r="CH456" s="141"/>
      <c r="CI456" s="141"/>
      <c r="CJ456" s="141"/>
      <c r="CK456" s="141"/>
    </row>
    <row r="457" spans="74:89" ht="49.5" customHeight="1" x14ac:dyDescent="0.35">
      <c r="BV457" s="140"/>
      <c r="BY457" s="141"/>
      <c r="BZ457" s="141"/>
      <c r="CA457" s="141"/>
      <c r="CB457" s="141"/>
      <c r="CC457" s="141"/>
      <c r="CD457" s="141"/>
      <c r="CE457" s="141"/>
      <c r="CF457" s="141"/>
      <c r="CG457" s="141"/>
      <c r="CH457" s="141"/>
      <c r="CI457" s="141"/>
      <c r="CJ457" s="141"/>
      <c r="CK457" s="141"/>
    </row>
    <row r="458" spans="74:89" ht="49.5" customHeight="1" x14ac:dyDescent="0.35">
      <c r="BV458" s="140"/>
      <c r="BY458" s="141"/>
      <c r="BZ458" s="141"/>
      <c r="CA458" s="141"/>
      <c r="CB458" s="141"/>
      <c r="CC458" s="141"/>
      <c r="CD458" s="141"/>
      <c r="CE458" s="141"/>
      <c r="CF458" s="141"/>
      <c r="CG458" s="141"/>
      <c r="CH458" s="141"/>
      <c r="CI458" s="141"/>
      <c r="CJ458" s="141"/>
      <c r="CK458" s="141"/>
    </row>
    <row r="459" spans="74:89" ht="49.5" customHeight="1" x14ac:dyDescent="0.35">
      <c r="BV459" s="140"/>
      <c r="BY459" s="141"/>
      <c r="BZ459" s="141"/>
      <c r="CA459" s="141"/>
      <c r="CB459" s="141"/>
      <c r="CC459" s="141"/>
      <c r="CD459" s="141"/>
      <c r="CE459" s="141"/>
      <c r="CF459" s="141"/>
      <c r="CG459" s="141"/>
      <c r="CH459" s="141"/>
      <c r="CI459" s="141"/>
      <c r="CJ459" s="141"/>
      <c r="CK459" s="141"/>
    </row>
    <row r="460" spans="74:89" ht="49.5" customHeight="1" x14ac:dyDescent="0.35">
      <c r="BV460" s="140"/>
      <c r="BY460" s="141"/>
      <c r="BZ460" s="141"/>
      <c r="CA460" s="141"/>
      <c r="CB460" s="141"/>
      <c r="CC460" s="141"/>
      <c r="CD460" s="141"/>
      <c r="CE460" s="141"/>
      <c r="CF460" s="141"/>
      <c r="CG460" s="141"/>
      <c r="CH460" s="141"/>
      <c r="CI460" s="141"/>
      <c r="CJ460" s="141"/>
      <c r="CK460" s="141"/>
    </row>
    <row r="461" spans="74:89" ht="49.5" customHeight="1" x14ac:dyDescent="0.35">
      <c r="BV461" s="140"/>
      <c r="BY461" s="141"/>
      <c r="BZ461" s="141"/>
      <c r="CA461" s="141"/>
      <c r="CB461" s="141"/>
      <c r="CC461" s="141"/>
      <c r="CD461" s="141"/>
      <c r="CE461" s="141"/>
      <c r="CF461" s="141"/>
      <c r="CG461" s="141"/>
      <c r="CH461" s="141"/>
      <c r="CI461" s="141"/>
      <c r="CJ461" s="141"/>
      <c r="CK461" s="141"/>
    </row>
    <row r="462" spans="74:89" ht="49.5" customHeight="1" x14ac:dyDescent="0.35">
      <c r="BV462" s="140"/>
      <c r="BY462" s="141"/>
      <c r="BZ462" s="141"/>
      <c r="CA462" s="141"/>
      <c r="CB462" s="141"/>
      <c r="CC462" s="141"/>
      <c r="CD462" s="141"/>
      <c r="CE462" s="141"/>
      <c r="CF462" s="141"/>
      <c r="CG462" s="141"/>
      <c r="CH462" s="141"/>
      <c r="CI462" s="141"/>
      <c r="CJ462" s="141"/>
      <c r="CK462" s="141"/>
    </row>
    <row r="463" spans="74:89" ht="49.5" customHeight="1" x14ac:dyDescent="0.35">
      <c r="BV463" s="140"/>
      <c r="BY463" s="141"/>
      <c r="BZ463" s="141"/>
      <c r="CA463" s="141"/>
      <c r="CB463" s="141"/>
      <c r="CC463" s="141"/>
      <c r="CD463" s="141"/>
      <c r="CE463" s="141"/>
      <c r="CF463" s="141"/>
      <c r="CG463" s="141"/>
      <c r="CH463" s="141"/>
      <c r="CI463" s="141"/>
      <c r="CJ463" s="141"/>
      <c r="CK463" s="141"/>
    </row>
    <row r="464" spans="74:89" ht="49.5" customHeight="1" x14ac:dyDescent="0.35">
      <c r="BV464" s="140"/>
      <c r="BY464" s="141"/>
      <c r="BZ464" s="141"/>
      <c r="CA464" s="141"/>
      <c r="CB464" s="141"/>
      <c r="CC464" s="141"/>
      <c r="CD464" s="141"/>
      <c r="CE464" s="141"/>
      <c r="CF464" s="141"/>
      <c r="CG464" s="141"/>
      <c r="CH464" s="141"/>
      <c r="CI464" s="141"/>
      <c r="CJ464" s="141"/>
      <c r="CK464" s="141"/>
    </row>
    <row r="465" spans="74:89" ht="49.5" customHeight="1" x14ac:dyDescent="0.35">
      <c r="BV465" s="140"/>
      <c r="BY465" s="141"/>
      <c r="BZ465" s="141"/>
      <c r="CA465" s="141"/>
      <c r="CB465" s="141"/>
      <c r="CC465" s="141"/>
      <c r="CD465" s="141"/>
      <c r="CE465" s="141"/>
      <c r="CF465" s="141"/>
      <c r="CG465" s="141"/>
      <c r="CH465" s="141"/>
      <c r="CI465" s="141"/>
      <c r="CJ465" s="141"/>
      <c r="CK465" s="141"/>
    </row>
    <row r="466" spans="74:89" ht="49.5" customHeight="1" x14ac:dyDescent="0.35">
      <c r="BV466" s="140"/>
      <c r="BY466" s="141"/>
      <c r="BZ466" s="141"/>
      <c r="CA466" s="141"/>
      <c r="CB466" s="141"/>
      <c r="CC466" s="141"/>
      <c r="CD466" s="141"/>
      <c r="CE466" s="141"/>
      <c r="CF466" s="141"/>
      <c r="CG466" s="141"/>
      <c r="CH466" s="141"/>
      <c r="CI466" s="141"/>
      <c r="CJ466" s="141"/>
      <c r="CK466" s="141"/>
    </row>
    <row r="467" spans="74:89" ht="49.5" customHeight="1" x14ac:dyDescent="0.35">
      <c r="BV467" s="140"/>
      <c r="BY467" s="141"/>
      <c r="BZ467" s="141"/>
      <c r="CA467" s="141"/>
      <c r="CB467" s="141"/>
      <c r="CC467" s="141"/>
      <c r="CD467" s="141"/>
      <c r="CE467" s="141"/>
      <c r="CF467" s="141"/>
      <c r="CG467" s="141"/>
      <c r="CH467" s="141"/>
      <c r="CI467" s="141"/>
      <c r="CJ467" s="141"/>
      <c r="CK467" s="141"/>
    </row>
    <row r="468" spans="74:89" ht="49.5" customHeight="1" x14ac:dyDescent="0.35">
      <c r="BV468" s="140"/>
      <c r="BY468" s="141"/>
      <c r="BZ468" s="141"/>
      <c r="CA468" s="141"/>
      <c r="CB468" s="141"/>
      <c r="CC468" s="141"/>
      <c r="CD468" s="141"/>
      <c r="CE468" s="141"/>
      <c r="CF468" s="141"/>
      <c r="CG468" s="141"/>
      <c r="CH468" s="141"/>
      <c r="CI468" s="141"/>
      <c r="CJ468" s="141"/>
      <c r="CK468" s="141"/>
    </row>
    <row r="469" spans="74:89" ht="49.5" customHeight="1" x14ac:dyDescent="0.35">
      <c r="BV469" s="140"/>
      <c r="BY469" s="141"/>
      <c r="BZ469" s="141"/>
      <c r="CA469" s="141"/>
      <c r="CB469" s="141"/>
      <c r="CC469" s="141"/>
      <c r="CD469" s="141"/>
      <c r="CE469" s="141"/>
      <c r="CF469" s="141"/>
      <c r="CG469" s="141"/>
      <c r="CH469" s="141"/>
      <c r="CI469" s="141"/>
      <c r="CJ469" s="141"/>
      <c r="CK469" s="141"/>
    </row>
    <row r="470" spans="74:89" ht="49.5" customHeight="1" x14ac:dyDescent="0.35">
      <c r="BV470" s="140"/>
      <c r="BY470" s="141"/>
      <c r="BZ470" s="141"/>
      <c r="CA470" s="141"/>
      <c r="CB470" s="141"/>
      <c r="CC470" s="141"/>
      <c r="CD470" s="141"/>
      <c r="CE470" s="141"/>
      <c r="CF470" s="141"/>
      <c r="CG470" s="141"/>
      <c r="CH470" s="141"/>
      <c r="CI470" s="141"/>
      <c r="CJ470" s="141"/>
      <c r="CK470" s="141"/>
    </row>
    <row r="471" spans="74:89" ht="49.5" customHeight="1" x14ac:dyDescent="0.35">
      <c r="BV471" s="140"/>
      <c r="BY471" s="141"/>
      <c r="BZ471" s="141"/>
      <c r="CA471" s="141"/>
      <c r="CB471" s="141"/>
      <c r="CC471" s="141"/>
      <c r="CD471" s="141"/>
      <c r="CE471" s="141"/>
      <c r="CF471" s="141"/>
      <c r="CG471" s="141"/>
      <c r="CH471" s="141"/>
      <c r="CI471" s="141"/>
      <c r="CJ471" s="141"/>
      <c r="CK471" s="141"/>
    </row>
    <row r="472" spans="74:89" ht="49.5" customHeight="1" x14ac:dyDescent="0.35">
      <c r="BV472" s="140"/>
      <c r="BY472" s="141"/>
      <c r="BZ472" s="141"/>
      <c r="CA472" s="141"/>
      <c r="CB472" s="141"/>
      <c r="CC472" s="141"/>
      <c r="CD472" s="141"/>
      <c r="CE472" s="141"/>
      <c r="CF472" s="141"/>
      <c r="CG472" s="141"/>
      <c r="CH472" s="141"/>
      <c r="CI472" s="141"/>
      <c r="CJ472" s="141"/>
      <c r="CK472" s="141"/>
    </row>
    <row r="473" spans="74:89" ht="49.5" customHeight="1" x14ac:dyDescent="0.35">
      <c r="BV473" s="140"/>
      <c r="BY473" s="141"/>
      <c r="BZ473" s="141"/>
      <c r="CA473" s="141"/>
      <c r="CB473" s="141"/>
      <c r="CC473" s="141"/>
      <c r="CD473" s="141"/>
      <c r="CE473" s="141"/>
      <c r="CF473" s="141"/>
      <c r="CG473" s="141"/>
      <c r="CH473" s="141"/>
      <c r="CI473" s="141"/>
      <c r="CJ473" s="141"/>
      <c r="CK473" s="141"/>
    </row>
    <row r="474" spans="74:89" ht="49.5" customHeight="1" x14ac:dyDescent="0.35">
      <c r="BV474" s="140"/>
      <c r="BY474" s="141"/>
      <c r="BZ474" s="141"/>
      <c r="CA474" s="141"/>
      <c r="CB474" s="141"/>
      <c r="CC474" s="141"/>
      <c r="CD474" s="141"/>
      <c r="CE474" s="141"/>
      <c r="CF474" s="141"/>
      <c r="CG474" s="141"/>
      <c r="CH474" s="141"/>
      <c r="CI474" s="141"/>
      <c r="CJ474" s="141"/>
      <c r="CK474" s="141"/>
    </row>
    <row r="475" spans="74:89" ht="49.5" customHeight="1" x14ac:dyDescent="0.35">
      <c r="BV475" s="140"/>
      <c r="BY475" s="141"/>
      <c r="BZ475" s="141"/>
      <c r="CA475" s="141"/>
      <c r="CB475" s="141"/>
      <c r="CC475" s="141"/>
      <c r="CD475" s="141"/>
      <c r="CE475" s="141"/>
      <c r="CF475" s="141"/>
      <c r="CG475" s="141"/>
      <c r="CH475" s="141"/>
      <c r="CI475" s="141"/>
      <c r="CJ475" s="141"/>
      <c r="CK475" s="141"/>
    </row>
    <row r="476" spans="74:89" ht="49.5" customHeight="1" x14ac:dyDescent="0.35">
      <c r="BV476" s="140"/>
      <c r="BY476" s="141"/>
      <c r="BZ476" s="141"/>
      <c r="CA476" s="141"/>
      <c r="CB476" s="141"/>
      <c r="CC476" s="141"/>
      <c r="CD476" s="141"/>
      <c r="CE476" s="141"/>
      <c r="CF476" s="141"/>
      <c r="CG476" s="141"/>
      <c r="CH476" s="141"/>
      <c r="CI476" s="141"/>
      <c r="CJ476" s="141"/>
      <c r="CK476" s="141"/>
    </row>
    <row r="477" spans="74:89" ht="49.5" customHeight="1" x14ac:dyDescent="0.35">
      <c r="BV477" s="140"/>
      <c r="BY477" s="141"/>
      <c r="BZ477" s="141"/>
      <c r="CA477" s="141"/>
      <c r="CB477" s="141"/>
      <c r="CC477" s="141"/>
      <c r="CD477" s="141"/>
      <c r="CE477" s="141"/>
      <c r="CF477" s="141"/>
      <c r="CG477" s="141"/>
      <c r="CH477" s="141"/>
      <c r="CI477" s="141"/>
      <c r="CJ477" s="141"/>
      <c r="CK477" s="141"/>
    </row>
    <row r="478" spans="74:89" ht="49.5" customHeight="1" x14ac:dyDescent="0.35">
      <c r="BV478" s="140"/>
      <c r="BY478" s="141"/>
      <c r="BZ478" s="141"/>
      <c r="CA478" s="141"/>
      <c r="CB478" s="141"/>
      <c r="CC478" s="141"/>
      <c r="CD478" s="141"/>
      <c r="CE478" s="141"/>
      <c r="CF478" s="141"/>
      <c r="CG478" s="141"/>
      <c r="CH478" s="141"/>
      <c r="CI478" s="141"/>
      <c r="CJ478" s="141"/>
      <c r="CK478" s="141"/>
    </row>
    <row r="479" spans="74:89" ht="49.5" customHeight="1" x14ac:dyDescent="0.35">
      <c r="BV479" s="140"/>
      <c r="BY479" s="141"/>
      <c r="BZ479" s="141"/>
      <c r="CA479" s="141"/>
      <c r="CB479" s="141"/>
      <c r="CC479" s="141"/>
      <c r="CD479" s="141"/>
      <c r="CE479" s="141"/>
      <c r="CF479" s="141"/>
      <c r="CG479" s="141"/>
      <c r="CH479" s="141"/>
      <c r="CI479" s="141"/>
      <c r="CJ479" s="141"/>
      <c r="CK479" s="141"/>
    </row>
    <row r="480" spans="74:89" ht="49.5" customHeight="1" x14ac:dyDescent="0.35">
      <c r="BV480" s="140"/>
      <c r="BY480" s="141"/>
      <c r="BZ480" s="141"/>
      <c r="CA480" s="141"/>
      <c r="CB480" s="141"/>
      <c r="CC480" s="141"/>
      <c r="CD480" s="141"/>
      <c r="CE480" s="141"/>
      <c r="CF480" s="141"/>
      <c r="CG480" s="141"/>
      <c r="CH480" s="141"/>
      <c r="CI480" s="141"/>
      <c r="CJ480" s="141"/>
      <c r="CK480" s="141"/>
    </row>
    <row r="481" spans="74:89" ht="49.5" customHeight="1" x14ac:dyDescent="0.35">
      <c r="BV481" s="140"/>
      <c r="BY481" s="141"/>
      <c r="BZ481" s="141"/>
      <c r="CA481" s="141"/>
      <c r="CB481" s="141"/>
      <c r="CC481" s="141"/>
      <c r="CD481" s="141"/>
      <c r="CE481" s="141"/>
      <c r="CF481" s="141"/>
      <c r="CG481" s="141"/>
      <c r="CH481" s="141"/>
      <c r="CI481" s="141"/>
      <c r="CJ481" s="141"/>
      <c r="CK481" s="141"/>
    </row>
    <row r="482" spans="74:89" ht="49.5" customHeight="1" x14ac:dyDescent="0.35">
      <c r="BV482" s="140"/>
      <c r="BY482" s="141"/>
      <c r="BZ482" s="141"/>
      <c r="CA482" s="141"/>
      <c r="CB482" s="141"/>
      <c r="CC482" s="141"/>
      <c r="CD482" s="141"/>
      <c r="CE482" s="141"/>
      <c r="CF482" s="141"/>
      <c r="CG482" s="141"/>
      <c r="CH482" s="141"/>
      <c r="CI482" s="141"/>
      <c r="CJ482" s="141"/>
      <c r="CK482" s="141"/>
    </row>
    <row r="483" spans="74:89" ht="49.5" customHeight="1" x14ac:dyDescent="0.35">
      <c r="BV483" s="140"/>
      <c r="BY483" s="141"/>
      <c r="BZ483" s="141"/>
      <c r="CA483" s="141"/>
      <c r="CB483" s="141"/>
      <c r="CC483" s="141"/>
      <c r="CD483" s="141"/>
      <c r="CE483" s="141"/>
      <c r="CF483" s="141"/>
      <c r="CG483" s="141"/>
      <c r="CH483" s="141"/>
      <c r="CI483" s="141"/>
      <c r="CJ483" s="141"/>
      <c r="CK483" s="141"/>
    </row>
    <row r="484" spans="74:89" ht="49.5" customHeight="1" x14ac:dyDescent="0.35">
      <c r="BV484" s="140"/>
      <c r="BY484" s="141"/>
      <c r="BZ484" s="141"/>
      <c r="CA484" s="141"/>
      <c r="CB484" s="141"/>
      <c r="CC484" s="141"/>
      <c r="CD484" s="141"/>
      <c r="CE484" s="141"/>
      <c r="CF484" s="141"/>
      <c r="CG484" s="141"/>
      <c r="CH484" s="141"/>
      <c r="CI484" s="141"/>
      <c r="CJ484" s="141"/>
      <c r="CK484" s="141"/>
    </row>
    <row r="485" spans="74:89" ht="49.5" customHeight="1" x14ac:dyDescent="0.35">
      <c r="BV485" s="140"/>
      <c r="BY485" s="141"/>
      <c r="BZ485" s="141"/>
      <c r="CA485" s="141"/>
      <c r="CB485" s="141"/>
      <c r="CC485" s="141"/>
      <c r="CD485" s="141"/>
      <c r="CE485" s="141"/>
      <c r="CF485" s="141"/>
      <c r="CG485" s="141"/>
      <c r="CH485" s="141"/>
      <c r="CI485" s="141"/>
      <c r="CJ485" s="141"/>
      <c r="CK485" s="141"/>
    </row>
    <row r="486" spans="74:89" ht="49.5" customHeight="1" x14ac:dyDescent="0.35">
      <c r="BV486" s="140"/>
      <c r="BY486" s="141"/>
      <c r="BZ486" s="141"/>
      <c r="CA486" s="141"/>
      <c r="CB486" s="141"/>
      <c r="CC486" s="141"/>
      <c r="CD486" s="141"/>
      <c r="CE486" s="141"/>
      <c r="CF486" s="141"/>
      <c r="CG486" s="141"/>
      <c r="CH486" s="141"/>
      <c r="CI486" s="141"/>
      <c r="CJ486" s="141"/>
      <c r="CK486" s="141"/>
    </row>
    <row r="487" spans="74:89" ht="49.5" customHeight="1" x14ac:dyDescent="0.35">
      <c r="BV487" s="140"/>
      <c r="BY487" s="141"/>
      <c r="BZ487" s="141"/>
      <c r="CA487" s="141"/>
      <c r="CB487" s="141"/>
      <c r="CC487" s="141"/>
      <c r="CD487" s="141"/>
      <c r="CE487" s="141"/>
      <c r="CF487" s="141"/>
      <c r="CG487" s="141"/>
      <c r="CH487" s="141"/>
      <c r="CI487" s="141"/>
      <c r="CJ487" s="141"/>
      <c r="CK487" s="141"/>
    </row>
    <row r="488" spans="74:89" ht="49.5" customHeight="1" x14ac:dyDescent="0.35">
      <c r="BV488" s="140"/>
      <c r="BY488" s="141"/>
      <c r="BZ488" s="141"/>
      <c r="CA488" s="141"/>
      <c r="CB488" s="141"/>
      <c r="CC488" s="141"/>
      <c r="CD488" s="141"/>
      <c r="CE488" s="141"/>
      <c r="CF488" s="141"/>
      <c r="CG488" s="141"/>
      <c r="CH488" s="141"/>
      <c r="CI488" s="141"/>
      <c r="CJ488" s="141"/>
      <c r="CK488" s="141"/>
    </row>
    <row r="489" spans="74:89" ht="49.5" customHeight="1" x14ac:dyDescent="0.35">
      <c r="BV489" s="140"/>
      <c r="BY489" s="141"/>
      <c r="BZ489" s="141"/>
      <c r="CA489" s="141"/>
      <c r="CB489" s="141"/>
      <c r="CC489" s="141"/>
      <c r="CD489" s="141"/>
      <c r="CE489" s="141"/>
      <c r="CF489" s="141"/>
      <c r="CG489" s="141"/>
      <c r="CH489" s="141"/>
      <c r="CI489" s="141"/>
      <c r="CJ489" s="141"/>
      <c r="CK489" s="141"/>
    </row>
    <row r="490" spans="74:89" ht="49.5" customHeight="1" x14ac:dyDescent="0.35">
      <c r="BV490" s="140"/>
      <c r="BY490" s="141"/>
      <c r="BZ490" s="141"/>
      <c r="CA490" s="141"/>
      <c r="CB490" s="141"/>
      <c r="CC490" s="141"/>
      <c r="CD490" s="141"/>
      <c r="CE490" s="141"/>
      <c r="CF490" s="141"/>
      <c r="CG490" s="141"/>
      <c r="CH490" s="141"/>
      <c r="CI490" s="141"/>
      <c r="CJ490" s="141"/>
      <c r="CK490" s="141"/>
    </row>
    <row r="491" spans="74:89" ht="49.5" customHeight="1" x14ac:dyDescent="0.35">
      <c r="BV491" s="140"/>
      <c r="BY491" s="141"/>
      <c r="BZ491" s="141"/>
      <c r="CA491" s="141"/>
      <c r="CB491" s="141"/>
      <c r="CC491" s="141"/>
      <c r="CD491" s="141"/>
      <c r="CE491" s="141"/>
      <c r="CF491" s="141"/>
      <c r="CG491" s="141"/>
      <c r="CH491" s="141"/>
      <c r="CI491" s="141"/>
      <c r="CJ491" s="141"/>
      <c r="CK491" s="141"/>
    </row>
    <row r="492" spans="74:89" ht="49.5" customHeight="1" x14ac:dyDescent="0.35">
      <c r="BV492" s="140"/>
      <c r="BY492" s="141"/>
      <c r="BZ492" s="141"/>
      <c r="CA492" s="141"/>
      <c r="CB492" s="141"/>
      <c r="CC492" s="141"/>
      <c r="CD492" s="141"/>
      <c r="CE492" s="141"/>
      <c r="CF492" s="141"/>
      <c r="CG492" s="141"/>
      <c r="CH492" s="141"/>
      <c r="CI492" s="141"/>
      <c r="CJ492" s="141"/>
      <c r="CK492" s="141"/>
    </row>
    <row r="493" spans="74:89" ht="49.5" customHeight="1" x14ac:dyDescent="0.35">
      <c r="BV493" s="140"/>
      <c r="BY493" s="141"/>
      <c r="BZ493" s="141"/>
      <c r="CA493" s="141"/>
      <c r="CB493" s="141"/>
      <c r="CC493" s="141"/>
      <c r="CD493" s="141"/>
      <c r="CE493" s="141"/>
      <c r="CF493" s="141"/>
      <c r="CG493" s="141"/>
      <c r="CH493" s="141"/>
      <c r="CI493" s="141"/>
      <c r="CJ493" s="141"/>
      <c r="CK493" s="141"/>
    </row>
    <row r="494" spans="74:89" ht="49.5" customHeight="1" x14ac:dyDescent="0.35">
      <c r="BV494" s="140"/>
      <c r="BY494" s="141"/>
      <c r="BZ494" s="141"/>
      <c r="CA494" s="141"/>
      <c r="CB494" s="141"/>
      <c r="CC494" s="141"/>
      <c r="CD494" s="141"/>
      <c r="CE494" s="141"/>
      <c r="CF494" s="141"/>
      <c r="CG494" s="141"/>
      <c r="CH494" s="141"/>
      <c r="CI494" s="141"/>
      <c r="CJ494" s="141"/>
      <c r="CK494" s="141"/>
    </row>
    <row r="495" spans="74:89" ht="49.5" customHeight="1" x14ac:dyDescent="0.35">
      <c r="BV495" s="140"/>
      <c r="BY495" s="141"/>
      <c r="BZ495" s="141"/>
      <c r="CA495" s="141"/>
      <c r="CB495" s="141"/>
      <c r="CC495" s="141"/>
      <c r="CD495" s="141"/>
      <c r="CE495" s="141"/>
      <c r="CF495" s="141"/>
      <c r="CG495" s="141"/>
      <c r="CH495" s="141"/>
      <c r="CI495" s="141"/>
      <c r="CJ495" s="141"/>
      <c r="CK495" s="141"/>
    </row>
    <row r="496" spans="74:89" ht="49.5" customHeight="1" x14ac:dyDescent="0.35">
      <c r="BV496" s="140"/>
      <c r="BY496" s="141"/>
      <c r="BZ496" s="141"/>
      <c r="CA496" s="141"/>
      <c r="CB496" s="141"/>
      <c r="CC496" s="141"/>
      <c r="CD496" s="141"/>
      <c r="CE496" s="141"/>
      <c r="CF496" s="141"/>
      <c r="CG496" s="141"/>
      <c r="CH496" s="141"/>
      <c r="CI496" s="141"/>
      <c r="CJ496" s="141"/>
      <c r="CK496" s="141"/>
    </row>
    <row r="497" spans="74:89" ht="49.5" customHeight="1" x14ac:dyDescent="0.35">
      <c r="BV497" s="140"/>
      <c r="BY497" s="141"/>
      <c r="BZ497" s="141"/>
      <c r="CA497" s="141"/>
      <c r="CB497" s="141"/>
      <c r="CC497" s="141"/>
      <c r="CD497" s="141"/>
      <c r="CE497" s="141"/>
      <c r="CF497" s="141"/>
      <c r="CG497" s="141"/>
      <c r="CH497" s="141"/>
      <c r="CI497" s="141"/>
      <c r="CJ497" s="141"/>
      <c r="CK497" s="141"/>
    </row>
    <row r="498" spans="74:89" ht="49.5" customHeight="1" x14ac:dyDescent="0.35">
      <c r="BV498" s="140"/>
      <c r="BY498" s="141"/>
      <c r="BZ498" s="141"/>
      <c r="CA498" s="141"/>
      <c r="CB498" s="141"/>
      <c r="CC498" s="141"/>
      <c r="CD498" s="141"/>
      <c r="CE498" s="141"/>
      <c r="CF498" s="141"/>
      <c r="CG498" s="141"/>
      <c r="CH498" s="141"/>
      <c r="CI498" s="141"/>
      <c r="CJ498" s="141"/>
      <c r="CK498" s="141"/>
    </row>
    <row r="499" spans="74:89" ht="49.5" customHeight="1" x14ac:dyDescent="0.35">
      <c r="BV499" s="140"/>
      <c r="BY499" s="141"/>
      <c r="BZ499" s="141"/>
      <c r="CA499" s="141"/>
      <c r="CB499" s="141"/>
      <c r="CC499" s="141"/>
      <c r="CD499" s="141"/>
      <c r="CE499" s="141"/>
      <c r="CF499" s="141"/>
      <c r="CG499" s="141"/>
      <c r="CH499" s="141"/>
      <c r="CI499" s="141"/>
      <c r="CJ499" s="141"/>
      <c r="CK499" s="141"/>
    </row>
    <row r="500" spans="74:89" ht="49.5" customHeight="1" x14ac:dyDescent="0.35">
      <c r="BV500" s="140"/>
      <c r="BY500" s="141"/>
      <c r="BZ500" s="141"/>
      <c r="CA500" s="141"/>
      <c r="CB500" s="141"/>
      <c r="CC500" s="141"/>
      <c r="CD500" s="141"/>
      <c r="CE500" s="141"/>
      <c r="CF500" s="141"/>
      <c r="CG500" s="141"/>
      <c r="CH500" s="141"/>
      <c r="CI500" s="141"/>
      <c r="CJ500" s="141"/>
      <c r="CK500" s="141"/>
    </row>
    <row r="501" spans="74:89" ht="49.5" customHeight="1" x14ac:dyDescent="0.35">
      <c r="BV501" s="140"/>
      <c r="BY501" s="141"/>
      <c r="BZ501" s="141"/>
      <c r="CA501" s="141"/>
      <c r="CB501" s="141"/>
      <c r="CC501" s="141"/>
      <c r="CD501" s="141"/>
      <c r="CE501" s="141"/>
      <c r="CF501" s="141"/>
      <c r="CG501" s="141"/>
      <c r="CH501" s="141"/>
      <c r="CI501" s="141"/>
      <c r="CJ501" s="141"/>
      <c r="CK501" s="141"/>
    </row>
    <row r="502" spans="74:89" ht="49.5" customHeight="1" x14ac:dyDescent="0.35">
      <c r="BV502" s="140"/>
      <c r="BY502" s="141"/>
      <c r="BZ502" s="141"/>
      <c r="CA502" s="141"/>
      <c r="CB502" s="141"/>
      <c r="CC502" s="141"/>
      <c r="CD502" s="141"/>
      <c r="CE502" s="141"/>
      <c r="CF502" s="141"/>
      <c r="CG502" s="141"/>
      <c r="CH502" s="141"/>
      <c r="CI502" s="141"/>
      <c r="CJ502" s="141"/>
      <c r="CK502" s="141"/>
    </row>
    <row r="503" spans="74:89" ht="49.5" customHeight="1" x14ac:dyDescent="0.35">
      <c r="BV503" s="140"/>
      <c r="BY503" s="141"/>
      <c r="BZ503" s="141"/>
      <c r="CA503" s="141"/>
      <c r="CB503" s="141"/>
      <c r="CC503" s="141"/>
      <c r="CD503" s="141"/>
      <c r="CE503" s="141"/>
      <c r="CF503" s="141"/>
      <c r="CG503" s="141"/>
      <c r="CH503" s="141"/>
      <c r="CI503" s="141"/>
      <c r="CJ503" s="141"/>
      <c r="CK503" s="141"/>
    </row>
    <row r="504" spans="74:89" ht="49.5" customHeight="1" x14ac:dyDescent="0.35">
      <c r="BV504" s="140"/>
      <c r="BY504" s="141"/>
      <c r="BZ504" s="141"/>
      <c r="CA504" s="141"/>
      <c r="CB504" s="141"/>
      <c r="CC504" s="141"/>
      <c r="CD504" s="141"/>
      <c r="CE504" s="141"/>
      <c r="CF504" s="141"/>
      <c r="CG504" s="141"/>
      <c r="CH504" s="141"/>
      <c r="CI504" s="141"/>
      <c r="CJ504" s="141"/>
      <c r="CK504" s="141"/>
    </row>
    <row r="505" spans="74:89" ht="49.5" customHeight="1" x14ac:dyDescent="0.35">
      <c r="BV505" s="140"/>
      <c r="BY505" s="141"/>
      <c r="BZ505" s="141"/>
      <c r="CA505" s="141"/>
      <c r="CB505" s="141"/>
      <c r="CC505" s="141"/>
      <c r="CD505" s="141"/>
      <c r="CE505" s="141"/>
      <c r="CF505" s="141"/>
      <c r="CG505" s="141"/>
      <c r="CH505" s="141"/>
      <c r="CI505" s="141"/>
      <c r="CJ505" s="141"/>
      <c r="CK505" s="141"/>
    </row>
    <row r="506" spans="74:89" ht="49.5" customHeight="1" x14ac:dyDescent="0.35">
      <c r="BV506" s="140"/>
      <c r="BY506" s="141"/>
      <c r="BZ506" s="141"/>
      <c r="CA506" s="141"/>
      <c r="CB506" s="141"/>
      <c r="CC506" s="141"/>
      <c r="CD506" s="141"/>
      <c r="CE506" s="141"/>
      <c r="CF506" s="141"/>
      <c r="CG506" s="141"/>
      <c r="CH506" s="141"/>
      <c r="CI506" s="141"/>
      <c r="CJ506" s="141"/>
      <c r="CK506" s="141"/>
    </row>
    <row r="507" spans="74:89" ht="49.5" customHeight="1" x14ac:dyDescent="0.35">
      <c r="BV507" s="140"/>
      <c r="BY507" s="141"/>
      <c r="BZ507" s="141"/>
      <c r="CA507" s="141"/>
      <c r="CB507" s="141"/>
      <c r="CC507" s="141"/>
      <c r="CD507" s="141"/>
      <c r="CE507" s="141"/>
      <c r="CF507" s="141"/>
      <c r="CG507" s="141"/>
      <c r="CH507" s="141"/>
      <c r="CI507" s="141"/>
      <c r="CJ507" s="141"/>
      <c r="CK507" s="141"/>
    </row>
    <row r="508" spans="74:89" ht="49.5" customHeight="1" x14ac:dyDescent="0.35">
      <c r="BV508" s="140"/>
      <c r="BY508" s="141"/>
      <c r="BZ508" s="141"/>
      <c r="CA508" s="141"/>
      <c r="CB508" s="141"/>
      <c r="CC508" s="141"/>
      <c r="CD508" s="141"/>
      <c r="CE508" s="141"/>
      <c r="CF508" s="141"/>
      <c r="CG508" s="141"/>
      <c r="CH508" s="141"/>
      <c r="CI508" s="141"/>
      <c r="CJ508" s="141"/>
      <c r="CK508" s="141"/>
    </row>
    <row r="509" spans="74:89" ht="49.5" customHeight="1" x14ac:dyDescent="0.35">
      <c r="BV509" s="140"/>
      <c r="BY509" s="141"/>
      <c r="BZ509" s="141"/>
      <c r="CA509" s="141"/>
      <c r="CB509" s="141"/>
      <c r="CC509" s="141"/>
      <c r="CD509" s="141"/>
      <c r="CE509" s="141"/>
      <c r="CF509" s="141"/>
      <c r="CG509" s="141"/>
      <c r="CH509" s="141"/>
      <c r="CI509" s="141"/>
      <c r="CJ509" s="141"/>
      <c r="CK509" s="141"/>
    </row>
    <row r="510" spans="74:89" ht="49.5" customHeight="1" x14ac:dyDescent="0.35">
      <c r="BV510" s="140"/>
      <c r="BY510" s="141"/>
      <c r="BZ510" s="141"/>
      <c r="CA510" s="141"/>
      <c r="CB510" s="141"/>
      <c r="CC510" s="141"/>
      <c r="CD510" s="141"/>
      <c r="CE510" s="141"/>
      <c r="CF510" s="141"/>
      <c r="CG510" s="141"/>
      <c r="CH510" s="141"/>
      <c r="CI510" s="141"/>
      <c r="CJ510" s="141"/>
      <c r="CK510" s="141"/>
    </row>
    <row r="511" spans="74:89" ht="49.5" customHeight="1" x14ac:dyDescent="0.35">
      <c r="BV511" s="140"/>
      <c r="BY511" s="141"/>
      <c r="BZ511" s="141"/>
      <c r="CA511" s="141"/>
      <c r="CB511" s="141"/>
      <c r="CC511" s="141"/>
      <c r="CD511" s="141"/>
      <c r="CE511" s="141"/>
      <c r="CF511" s="141"/>
      <c r="CG511" s="141"/>
      <c r="CH511" s="141"/>
      <c r="CI511" s="141"/>
      <c r="CJ511" s="141"/>
      <c r="CK511" s="141"/>
    </row>
    <row r="512" spans="74:89" ht="49.5" customHeight="1" x14ac:dyDescent="0.35">
      <c r="BV512" s="140"/>
      <c r="BY512" s="141"/>
      <c r="BZ512" s="141"/>
      <c r="CA512" s="141"/>
      <c r="CB512" s="141"/>
      <c r="CC512" s="141"/>
      <c r="CD512" s="141"/>
      <c r="CE512" s="141"/>
      <c r="CF512" s="141"/>
      <c r="CG512" s="141"/>
      <c r="CH512" s="141"/>
      <c r="CI512" s="141"/>
      <c r="CJ512" s="141"/>
      <c r="CK512" s="141"/>
    </row>
    <row r="513" spans="74:89" ht="49.5" customHeight="1" x14ac:dyDescent="0.35">
      <c r="BV513" s="140"/>
      <c r="BY513" s="141"/>
      <c r="BZ513" s="141"/>
      <c r="CA513" s="141"/>
      <c r="CB513" s="141"/>
      <c r="CC513" s="141"/>
      <c r="CD513" s="141"/>
      <c r="CE513" s="141"/>
      <c r="CF513" s="141"/>
      <c r="CG513" s="141"/>
      <c r="CH513" s="141"/>
      <c r="CI513" s="141"/>
      <c r="CJ513" s="141"/>
      <c r="CK513" s="141"/>
    </row>
    <row r="514" spans="74:89" ht="49.5" customHeight="1" x14ac:dyDescent="0.35">
      <c r="BV514" s="140"/>
      <c r="BY514" s="141"/>
      <c r="BZ514" s="141"/>
      <c r="CA514" s="141"/>
      <c r="CB514" s="141"/>
      <c r="CC514" s="141"/>
      <c r="CD514" s="141"/>
      <c r="CE514" s="141"/>
      <c r="CF514" s="141"/>
      <c r="CG514" s="141"/>
      <c r="CH514" s="141"/>
      <c r="CI514" s="141"/>
      <c r="CJ514" s="141"/>
      <c r="CK514" s="141"/>
    </row>
    <row r="515" spans="74:89" ht="49.5" customHeight="1" x14ac:dyDescent="0.35">
      <c r="BV515" s="140"/>
      <c r="BY515" s="141"/>
      <c r="BZ515" s="141"/>
      <c r="CA515" s="141"/>
      <c r="CB515" s="141"/>
      <c r="CC515" s="141"/>
      <c r="CD515" s="141"/>
      <c r="CE515" s="141"/>
      <c r="CF515" s="141"/>
      <c r="CG515" s="141"/>
      <c r="CH515" s="141"/>
      <c r="CI515" s="141"/>
      <c r="CJ515" s="141"/>
      <c r="CK515" s="141"/>
    </row>
    <row r="516" spans="74:89" ht="49.5" customHeight="1" x14ac:dyDescent="0.35">
      <c r="BV516" s="140"/>
      <c r="BY516" s="141"/>
      <c r="BZ516" s="141"/>
      <c r="CA516" s="141"/>
      <c r="CB516" s="141"/>
      <c r="CC516" s="141"/>
      <c r="CD516" s="141"/>
      <c r="CE516" s="141"/>
      <c r="CF516" s="141"/>
      <c r="CG516" s="141"/>
      <c r="CH516" s="141"/>
      <c r="CI516" s="141"/>
      <c r="CJ516" s="141"/>
      <c r="CK516" s="141"/>
    </row>
    <row r="517" spans="74:89" ht="49.5" customHeight="1" x14ac:dyDescent="0.35">
      <c r="BV517" s="140"/>
      <c r="BY517" s="141"/>
      <c r="BZ517" s="141"/>
      <c r="CA517" s="141"/>
      <c r="CB517" s="141"/>
      <c r="CC517" s="141"/>
      <c r="CD517" s="141"/>
      <c r="CE517" s="141"/>
      <c r="CF517" s="141"/>
      <c r="CG517" s="141"/>
      <c r="CH517" s="141"/>
      <c r="CI517" s="141"/>
      <c r="CJ517" s="141"/>
      <c r="CK517" s="141"/>
    </row>
    <row r="518" spans="74:89" ht="49.5" customHeight="1" x14ac:dyDescent="0.35">
      <c r="BV518" s="140"/>
      <c r="BY518" s="141"/>
      <c r="BZ518" s="141"/>
      <c r="CA518" s="141"/>
      <c r="CB518" s="141"/>
      <c r="CC518" s="141"/>
      <c r="CD518" s="141"/>
      <c r="CE518" s="141"/>
      <c r="CF518" s="141"/>
      <c r="CG518" s="141"/>
      <c r="CH518" s="141"/>
      <c r="CI518" s="141"/>
      <c r="CJ518" s="141"/>
      <c r="CK518" s="141"/>
    </row>
    <row r="519" spans="74:89" ht="49.5" customHeight="1" x14ac:dyDescent="0.35">
      <c r="BV519" s="140"/>
      <c r="BY519" s="141"/>
      <c r="BZ519" s="141"/>
      <c r="CA519" s="141"/>
      <c r="CB519" s="141"/>
      <c r="CC519" s="141"/>
      <c r="CD519" s="141"/>
      <c r="CE519" s="141"/>
      <c r="CF519" s="141"/>
      <c r="CG519" s="141"/>
      <c r="CH519" s="141"/>
      <c r="CI519" s="141"/>
      <c r="CJ519" s="141"/>
      <c r="CK519" s="141"/>
    </row>
    <row r="520" spans="74:89" ht="49.5" customHeight="1" x14ac:dyDescent="0.35">
      <c r="BV520" s="140"/>
      <c r="BY520" s="141"/>
      <c r="BZ520" s="141"/>
      <c r="CA520" s="141"/>
      <c r="CB520" s="141"/>
      <c r="CC520" s="141"/>
      <c r="CD520" s="141"/>
      <c r="CE520" s="141"/>
      <c r="CF520" s="141"/>
      <c r="CG520" s="141"/>
      <c r="CH520" s="141"/>
      <c r="CI520" s="141"/>
      <c r="CJ520" s="141"/>
      <c r="CK520" s="141"/>
    </row>
    <row r="521" spans="74:89" ht="49.5" customHeight="1" x14ac:dyDescent="0.35">
      <c r="BV521" s="140"/>
      <c r="BY521" s="141"/>
      <c r="BZ521" s="141"/>
      <c r="CA521" s="141"/>
      <c r="CB521" s="141"/>
      <c r="CC521" s="141"/>
      <c r="CD521" s="141"/>
      <c r="CE521" s="141"/>
      <c r="CF521" s="141"/>
      <c r="CG521" s="141"/>
      <c r="CH521" s="141"/>
      <c r="CI521" s="141"/>
      <c r="CJ521" s="141"/>
      <c r="CK521" s="141"/>
    </row>
    <row r="522" spans="74:89" ht="49.5" customHeight="1" x14ac:dyDescent="0.35">
      <c r="BV522" s="140"/>
      <c r="BY522" s="141"/>
      <c r="BZ522" s="141"/>
      <c r="CA522" s="141"/>
      <c r="CB522" s="141"/>
      <c r="CC522" s="141"/>
      <c r="CD522" s="141"/>
      <c r="CE522" s="141"/>
      <c r="CF522" s="141"/>
      <c r="CG522" s="141"/>
      <c r="CH522" s="141"/>
      <c r="CI522" s="141"/>
      <c r="CJ522" s="141"/>
      <c r="CK522" s="141"/>
    </row>
    <row r="523" spans="74:89" ht="49.5" customHeight="1" x14ac:dyDescent="0.35">
      <c r="BV523" s="140"/>
      <c r="BY523" s="141"/>
      <c r="BZ523" s="141"/>
      <c r="CA523" s="141"/>
      <c r="CB523" s="141"/>
      <c r="CC523" s="141"/>
      <c r="CD523" s="141"/>
      <c r="CE523" s="141"/>
      <c r="CF523" s="141"/>
      <c r="CG523" s="141"/>
      <c r="CH523" s="141"/>
      <c r="CI523" s="141"/>
      <c r="CJ523" s="141"/>
      <c r="CK523" s="141"/>
    </row>
    <row r="524" spans="74:89" ht="49.5" customHeight="1" x14ac:dyDescent="0.35">
      <c r="BV524" s="140"/>
      <c r="BY524" s="141"/>
      <c r="BZ524" s="141"/>
      <c r="CA524" s="141"/>
      <c r="CB524" s="141"/>
      <c r="CC524" s="141"/>
      <c r="CD524" s="141"/>
      <c r="CE524" s="141"/>
      <c r="CF524" s="141"/>
      <c r="CG524" s="141"/>
      <c r="CH524" s="141"/>
      <c r="CI524" s="141"/>
      <c r="CJ524" s="141"/>
      <c r="CK524" s="141"/>
    </row>
    <row r="525" spans="74:89" ht="49.5" customHeight="1" x14ac:dyDescent="0.35">
      <c r="BV525" s="140"/>
      <c r="BY525" s="141"/>
      <c r="BZ525" s="141"/>
      <c r="CA525" s="141"/>
      <c r="CB525" s="141"/>
      <c r="CC525" s="141"/>
      <c r="CD525" s="141"/>
      <c r="CE525" s="141"/>
      <c r="CF525" s="141"/>
      <c r="CG525" s="141"/>
      <c r="CH525" s="141"/>
      <c r="CI525" s="141"/>
      <c r="CJ525" s="141"/>
      <c r="CK525" s="141"/>
    </row>
    <row r="526" spans="74:89" ht="49.5" customHeight="1" x14ac:dyDescent="0.35">
      <c r="BV526" s="140"/>
      <c r="BY526" s="141"/>
      <c r="BZ526" s="141"/>
      <c r="CA526" s="141"/>
      <c r="CB526" s="141"/>
      <c r="CC526" s="141"/>
      <c r="CD526" s="141"/>
      <c r="CE526" s="141"/>
      <c r="CF526" s="141"/>
      <c r="CG526" s="141"/>
      <c r="CH526" s="141"/>
      <c r="CI526" s="141"/>
      <c r="CJ526" s="141"/>
      <c r="CK526" s="141"/>
    </row>
    <row r="527" spans="74:89" ht="49.5" customHeight="1" x14ac:dyDescent="0.35">
      <c r="BV527" s="140"/>
      <c r="BY527" s="141"/>
      <c r="BZ527" s="141"/>
      <c r="CA527" s="141"/>
      <c r="CB527" s="141"/>
      <c r="CC527" s="141"/>
      <c r="CD527" s="141"/>
      <c r="CE527" s="141"/>
      <c r="CF527" s="141"/>
      <c r="CG527" s="141"/>
      <c r="CH527" s="141"/>
      <c r="CI527" s="141"/>
      <c r="CJ527" s="141"/>
      <c r="CK527" s="141"/>
    </row>
    <row r="528" spans="74:89" ht="49.5" customHeight="1" x14ac:dyDescent="0.35">
      <c r="BV528" s="140"/>
      <c r="BY528" s="141"/>
      <c r="BZ528" s="141"/>
      <c r="CA528" s="141"/>
      <c r="CB528" s="141"/>
      <c r="CC528" s="141"/>
      <c r="CD528" s="141"/>
      <c r="CE528" s="141"/>
      <c r="CF528" s="141"/>
      <c r="CG528" s="141"/>
      <c r="CH528" s="141"/>
      <c r="CI528" s="141"/>
      <c r="CJ528" s="141"/>
      <c r="CK528" s="141"/>
    </row>
    <row r="529" spans="74:89" ht="49.5" customHeight="1" x14ac:dyDescent="0.35">
      <c r="BV529" s="140"/>
      <c r="BY529" s="141"/>
      <c r="BZ529" s="141"/>
      <c r="CA529" s="141"/>
      <c r="CB529" s="141"/>
      <c r="CC529" s="141"/>
      <c r="CD529" s="141"/>
      <c r="CE529" s="141"/>
      <c r="CF529" s="141"/>
      <c r="CG529" s="141"/>
      <c r="CH529" s="141"/>
      <c r="CI529" s="141"/>
      <c r="CJ529" s="141"/>
      <c r="CK529" s="141"/>
    </row>
    <row r="530" spans="74:89" ht="49.5" customHeight="1" x14ac:dyDescent="0.35">
      <c r="BV530" s="140"/>
      <c r="BY530" s="141"/>
      <c r="BZ530" s="141"/>
      <c r="CA530" s="141"/>
      <c r="CB530" s="141"/>
      <c r="CC530" s="141"/>
      <c r="CD530" s="141"/>
      <c r="CE530" s="141"/>
      <c r="CF530" s="141"/>
      <c r="CG530" s="141"/>
      <c r="CH530" s="141"/>
      <c r="CI530" s="141"/>
      <c r="CJ530" s="141"/>
      <c r="CK530" s="141"/>
    </row>
    <row r="531" spans="74:89" ht="49.5" customHeight="1" x14ac:dyDescent="0.35">
      <c r="BV531" s="140"/>
      <c r="BY531" s="141"/>
      <c r="BZ531" s="141"/>
      <c r="CA531" s="141"/>
      <c r="CB531" s="141"/>
      <c r="CC531" s="141"/>
      <c r="CD531" s="141"/>
      <c r="CE531" s="141"/>
      <c r="CF531" s="141"/>
      <c r="CG531" s="141"/>
      <c r="CH531" s="141"/>
      <c r="CI531" s="141"/>
      <c r="CJ531" s="141"/>
      <c r="CK531" s="141"/>
    </row>
    <row r="532" spans="74:89" ht="49.5" customHeight="1" x14ac:dyDescent="0.35">
      <c r="BV532" s="140"/>
      <c r="BY532" s="141"/>
      <c r="BZ532" s="141"/>
      <c r="CA532" s="141"/>
      <c r="CB532" s="141"/>
      <c r="CC532" s="141"/>
      <c r="CD532" s="141"/>
      <c r="CE532" s="141"/>
      <c r="CF532" s="141"/>
      <c r="CG532" s="141"/>
      <c r="CH532" s="141"/>
      <c r="CI532" s="141"/>
      <c r="CJ532" s="141"/>
      <c r="CK532" s="141"/>
    </row>
    <row r="533" spans="74:89" ht="49.5" customHeight="1" x14ac:dyDescent="0.35">
      <c r="BV533" s="140"/>
      <c r="BY533" s="141"/>
      <c r="BZ533" s="141"/>
      <c r="CA533" s="141"/>
      <c r="CB533" s="141"/>
      <c r="CC533" s="141"/>
      <c r="CD533" s="141"/>
      <c r="CE533" s="141"/>
      <c r="CF533" s="141"/>
      <c r="CG533" s="141"/>
      <c r="CH533" s="141"/>
      <c r="CI533" s="141"/>
      <c r="CJ533" s="141"/>
      <c r="CK533" s="141"/>
    </row>
    <row r="534" spans="74:89" ht="49.5" customHeight="1" x14ac:dyDescent="0.35">
      <c r="BV534" s="140"/>
      <c r="BY534" s="141"/>
      <c r="BZ534" s="141"/>
      <c r="CA534" s="141"/>
      <c r="CB534" s="141"/>
      <c r="CC534" s="141"/>
      <c r="CD534" s="141"/>
      <c r="CE534" s="141"/>
      <c r="CF534" s="141"/>
      <c r="CG534" s="141"/>
      <c r="CH534" s="141"/>
      <c r="CI534" s="141"/>
      <c r="CJ534" s="141"/>
      <c r="CK534" s="141"/>
    </row>
    <row r="535" spans="74:89" ht="49.5" customHeight="1" x14ac:dyDescent="0.35">
      <c r="BV535" s="140"/>
      <c r="BY535" s="141"/>
      <c r="BZ535" s="141"/>
      <c r="CA535" s="141"/>
      <c r="CB535" s="141"/>
      <c r="CC535" s="141"/>
      <c r="CD535" s="141"/>
      <c r="CE535" s="141"/>
      <c r="CF535" s="141"/>
      <c r="CG535" s="141"/>
      <c r="CH535" s="141"/>
      <c r="CI535" s="141"/>
      <c r="CJ535" s="141"/>
      <c r="CK535" s="141"/>
    </row>
    <row r="536" spans="74:89" ht="49.5" customHeight="1" x14ac:dyDescent="0.35">
      <c r="BV536" s="140"/>
      <c r="BY536" s="141"/>
      <c r="BZ536" s="141"/>
      <c r="CA536" s="141"/>
      <c r="CB536" s="141"/>
      <c r="CC536" s="141"/>
      <c r="CD536" s="141"/>
      <c r="CE536" s="141"/>
      <c r="CF536" s="141"/>
      <c r="CG536" s="141"/>
      <c r="CH536" s="141"/>
      <c r="CI536" s="141"/>
      <c r="CJ536" s="141"/>
      <c r="CK536" s="141"/>
    </row>
    <row r="537" spans="74:89" ht="49.5" customHeight="1" x14ac:dyDescent="0.35">
      <c r="BV537" s="140"/>
      <c r="BY537" s="141"/>
      <c r="BZ537" s="141"/>
      <c r="CA537" s="141"/>
      <c r="CB537" s="141"/>
      <c r="CC537" s="141"/>
      <c r="CD537" s="141"/>
      <c r="CE537" s="141"/>
      <c r="CF537" s="141"/>
      <c r="CG537" s="141"/>
      <c r="CH537" s="141"/>
      <c r="CI537" s="141"/>
      <c r="CJ537" s="141"/>
      <c r="CK537" s="141"/>
    </row>
    <row r="538" spans="74:89" ht="49.5" customHeight="1" x14ac:dyDescent="0.35">
      <c r="BV538" s="140"/>
      <c r="BY538" s="141"/>
      <c r="BZ538" s="141"/>
      <c r="CA538" s="141"/>
      <c r="CB538" s="141"/>
      <c r="CC538" s="141"/>
      <c r="CD538" s="141"/>
      <c r="CE538" s="141"/>
      <c r="CF538" s="141"/>
      <c r="CG538" s="141"/>
      <c r="CH538" s="141"/>
      <c r="CI538" s="141"/>
      <c r="CJ538" s="141"/>
      <c r="CK538" s="141"/>
    </row>
    <row r="539" spans="74:89" ht="49.5" customHeight="1" x14ac:dyDescent="0.35">
      <c r="BV539" s="140"/>
      <c r="BY539" s="141"/>
      <c r="BZ539" s="141"/>
      <c r="CA539" s="141"/>
      <c r="CB539" s="141"/>
      <c r="CC539" s="141"/>
      <c r="CD539" s="141"/>
      <c r="CE539" s="141"/>
      <c r="CF539" s="141"/>
      <c r="CG539" s="141"/>
      <c r="CH539" s="141"/>
      <c r="CI539" s="141"/>
      <c r="CJ539" s="141"/>
      <c r="CK539" s="141"/>
    </row>
    <row r="540" spans="74:89" ht="49.5" customHeight="1" x14ac:dyDescent="0.35">
      <c r="BV540" s="140"/>
      <c r="BY540" s="141"/>
      <c r="BZ540" s="141"/>
      <c r="CA540" s="141"/>
      <c r="CB540" s="141"/>
      <c r="CC540" s="141"/>
      <c r="CD540" s="141"/>
      <c r="CE540" s="141"/>
      <c r="CF540" s="141"/>
      <c r="CG540" s="141"/>
      <c r="CH540" s="141"/>
      <c r="CI540" s="141"/>
      <c r="CJ540" s="141"/>
      <c r="CK540" s="141"/>
    </row>
    <row r="541" spans="74:89" ht="49.5" customHeight="1" x14ac:dyDescent="0.35">
      <c r="BV541" s="140"/>
      <c r="BY541" s="141"/>
      <c r="BZ541" s="141"/>
      <c r="CA541" s="141"/>
      <c r="CB541" s="141"/>
      <c r="CC541" s="141"/>
      <c r="CD541" s="141"/>
      <c r="CE541" s="141"/>
      <c r="CF541" s="141"/>
      <c r="CG541" s="141"/>
      <c r="CH541" s="141"/>
      <c r="CI541" s="141"/>
      <c r="CJ541" s="141"/>
      <c r="CK541" s="141"/>
    </row>
    <row r="542" spans="74:89" ht="49.5" customHeight="1" x14ac:dyDescent="0.35">
      <c r="BV542" s="140"/>
      <c r="BY542" s="141"/>
      <c r="BZ542" s="141"/>
      <c r="CA542" s="141"/>
      <c r="CB542" s="141"/>
      <c r="CC542" s="141"/>
      <c r="CD542" s="141"/>
      <c r="CE542" s="141"/>
      <c r="CF542" s="141"/>
      <c r="CG542" s="141"/>
      <c r="CH542" s="141"/>
      <c r="CI542" s="141"/>
      <c r="CJ542" s="141"/>
      <c r="CK542" s="141"/>
    </row>
    <row r="543" spans="74:89" ht="49.5" customHeight="1" x14ac:dyDescent="0.35">
      <c r="BV543" s="140"/>
      <c r="BY543" s="141"/>
      <c r="BZ543" s="141"/>
      <c r="CA543" s="141"/>
      <c r="CB543" s="141"/>
      <c r="CC543" s="141"/>
      <c r="CD543" s="141"/>
      <c r="CE543" s="141"/>
      <c r="CF543" s="141"/>
      <c r="CG543" s="141"/>
      <c r="CH543" s="141"/>
      <c r="CI543" s="141"/>
      <c r="CJ543" s="141"/>
      <c r="CK543" s="141"/>
    </row>
    <row r="544" spans="74:89" ht="49.5" customHeight="1" x14ac:dyDescent="0.35">
      <c r="BV544" s="140"/>
      <c r="BY544" s="141"/>
      <c r="BZ544" s="141"/>
      <c r="CA544" s="141"/>
      <c r="CB544" s="141"/>
      <c r="CC544" s="141"/>
      <c r="CD544" s="141"/>
      <c r="CE544" s="141"/>
      <c r="CF544" s="141"/>
      <c r="CG544" s="141"/>
      <c r="CH544" s="141"/>
      <c r="CI544" s="141"/>
      <c r="CJ544" s="141"/>
      <c r="CK544" s="141"/>
    </row>
    <row r="545" spans="74:89" ht="49.5" customHeight="1" x14ac:dyDescent="0.35">
      <c r="BV545" s="140"/>
      <c r="BY545" s="141"/>
      <c r="BZ545" s="141"/>
      <c r="CA545" s="141"/>
      <c r="CB545" s="141"/>
      <c r="CC545" s="141"/>
      <c r="CD545" s="141"/>
      <c r="CE545" s="141"/>
      <c r="CF545" s="141"/>
      <c r="CG545" s="141"/>
      <c r="CH545" s="141"/>
      <c r="CI545" s="141"/>
      <c r="CJ545" s="141"/>
      <c r="CK545" s="141"/>
    </row>
    <row r="546" spans="74:89" ht="49.5" customHeight="1" x14ac:dyDescent="0.35">
      <c r="BV546" s="140"/>
      <c r="BY546" s="141"/>
      <c r="BZ546" s="141"/>
      <c r="CA546" s="141"/>
      <c r="CB546" s="141"/>
      <c r="CC546" s="141"/>
      <c r="CD546" s="141"/>
      <c r="CE546" s="141"/>
      <c r="CF546" s="141"/>
      <c r="CG546" s="141"/>
      <c r="CH546" s="141"/>
      <c r="CI546" s="141"/>
      <c r="CJ546" s="141"/>
      <c r="CK546" s="141"/>
    </row>
    <row r="547" spans="74:89" ht="49.5" customHeight="1" x14ac:dyDescent="0.35">
      <c r="BV547" s="140"/>
      <c r="BY547" s="141"/>
      <c r="BZ547" s="141"/>
      <c r="CA547" s="141"/>
      <c r="CB547" s="141"/>
      <c r="CC547" s="141"/>
      <c r="CD547" s="141"/>
      <c r="CE547" s="141"/>
      <c r="CF547" s="141"/>
      <c r="CG547" s="141"/>
      <c r="CH547" s="141"/>
      <c r="CI547" s="141"/>
      <c r="CJ547" s="141"/>
      <c r="CK547" s="141"/>
    </row>
    <row r="548" spans="74:89" ht="49.5" customHeight="1" x14ac:dyDescent="0.35">
      <c r="BV548" s="140"/>
      <c r="BY548" s="141"/>
      <c r="BZ548" s="141"/>
      <c r="CA548" s="141"/>
      <c r="CB548" s="141"/>
      <c r="CC548" s="141"/>
      <c r="CD548" s="141"/>
      <c r="CE548" s="141"/>
      <c r="CF548" s="141"/>
      <c r="CG548" s="141"/>
      <c r="CH548" s="141"/>
      <c r="CI548" s="141"/>
      <c r="CJ548" s="141"/>
      <c r="CK548" s="141"/>
    </row>
    <row r="549" spans="74:89" ht="49.5" customHeight="1" x14ac:dyDescent="0.35">
      <c r="BV549" s="140"/>
      <c r="BY549" s="141"/>
      <c r="BZ549" s="141"/>
      <c r="CA549" s="141"/>
      <c r="CB549" s="141"/>
      <c r="CC549" s="141"/>
      <c r="CD549" s="141"/>
      <c r="CE549" s="141"/>
      <c r="CF549" s="141"/>
      <c r="CG549" s="141"/>
      <c r="CH549" s="141"/>
      <c r="CI549" s="141"/>
      <c r="CJ549" s="141"/>
      <c r="CK549" s="141"/>
    </row>
    <row r="550" spans="74:89" ht="49.5" customHeight="1" x14ac:dyDescent="0.35">
      <c r="BV550" s="140"/>
      <c r="BY550" s="141"/>
      <c r="BZ550" s="141"/>
      <c r="CA550" s="141"/>
      <c r="CB550" s="141"/>
      <c r="CC550" s="141"/>
      <c r="CD550" s="141"/>
      <c r="CE550" s="141"/>
      <c r="CF550" s="141"/>
      <c r="CG550" s="141"/>
      <c r="CH550" s="141"/>
      <c r="CI550" s="141"/>
      <c r="CJ550" s="141"/>
      <c r="CK550" s="141"/>
    </row>
    <row r="551" spans="74:89" ht="49.5" customHeight="1" x14ac:dyDescent="0.35">
      <c r="BV551" s="140"/>
      <c r="BY551" s="141"/>
      <c r="BZ551" s="141"/>
      <c r="CA551" s="141"/>
      <c r="CB551" s="141"/>
      <c r="CC551" s="141"/>
      <c r="CD551" s="141"/>
      <c r="CE551" s="141"/>
      <c r="CF551" s="141"/>
      <c r="CG551" s="141"/>
      <c r="CH551" s="141"/>
      <c r="CI551" s="141"/>
      <c r="CJ551" s="141"/>
      <c r="CK551" s="141"/>
    </row>
    <row r="552" spans="74:89" ht="49.5" customHeight="1" x14ac:dyDescent="0.35">
      <c r="BV552" s="140"/>
      <c r="BY552" s="141"/>
      <c r="BZ552" s="141"/>
      <c r="CA552" s="141"/>
      <c r="CB552" s="141"/>
      <c r="CC552" s="141"/>
      <c r="CD552" s="141"/>
      <c r="CE552" s="141"/>
      <c r="CF552" s="141"/>
      <c r="CG552" s="141"/>
      <c r="CH552" s="141"/>
      <c r="CI552" s="141"/>
      <c r="CJ552" s="141"/>
      <c r="CK552" s="141"/>
    </row>
    <row r="553" spans="74:89" ht="49.5" customHeight="1" x14ac:dyDescent="0.35">
      <c r="BV553" s="140"/>
      <c r="BY553" s="141"/>
      <c r="BZ553" s="141"/>
      <c r="CA553" s="141"/>
      <c r="CB553" s="141"/>
      <c r="CC553" s="141"/>
      <c r="CD553" s="141"/>
      <c r="CE553" s="141"/>
      <c r="CF553" s="141"/>
      <c r="CG553" s="141"/>
      <c r="CH553" s="141"/>
      <c r="CI553" s="141"/>
      <c r="CJ553" s="141"/>
      <c r="CK553" s="141"/>
    </row>
    <row r="554" spans="74:89" ht="49.5" customHeight="1" x14ac:dyDescent="0.35">
      <c r="BV554" s="140"/>
      <c r="BY554" s="141"/>
      <c r="BZ554" s="141"/>
      <c r="CA554" s="141"/>
      <c r="CB554" s="141"/>
      <c r="CC554" s="141"/>
      <c r="CD554" s="141"/>
      <c r="CE554" s="141"/>
      <c r="CF554" s="141"/>
      <c r="CG554" s="141"/>
      <c r="CH554" s="141"/>
      <c r="CI554" s="141"/>
      <c r="CJ554" s="141"/>
      <c r="CK554" s="141"/>
    </row>
    <row r="555" spans="74:89" ht="49.5" customHeight="1" x14ac:dyDescent="0.35">
      <c r="BV555" s="140"/>
      <c r="BY555" s="141"/>
      <c r="BZ555" s="141"/>
      <c r="CA555" s="141"/>
      <c r="CB555" s="141"/>
      <c r="CC555" s="141"/>
      <c r="CD555" s="141"/>
      <c r="CE555" s="141"/>
      <c r="CF555" s="141"/>
      <c r="CG555" s="141"/>
      <c r="CH555" s="141"/>
      <c r="CI555" s="141"/>
      <c r="CJ555" s="141"/>
      <c r="CK555" s="141"/>
    </row>
    <row r="556" spans="74:89" ht="49.5" customHeight="1" x14ac:dyDescent="0.35">
      <c r="BV556" s="140"/>
      <c r="BY556" s="141"/>
      <c r="BZ556" s="141"/>
      <c r="CA556" s="141"/>
      <c r="CB556" s="141"/>
      <c r="CC556" s="141"/>
      <c r="CD556" s="141"/>
      <c r="CE556" s="141"/>
      <c r="CF556" s="141"/>
      <c r="CG556" s="141"/>
      <c r="CH556" s="141"/>
      <c r="CI556" s="141"/>
      <c r="CJ556" s="141"/>
      <c r="CK556" s="141"/>
    </row>
    <row r="557" spans="74:89" ht="49.5" customHeight="1" x14ac:dyDescent="0.35">
      <c r="BV557" s="140"/>
      <c r="BY557" s="141"/>
      <c r="BZ557" s="141"/>
      <c r="CA557" s="141"/>
      <c r="CB557" s="141"/>
      <c r="CC557" s="141"/>
      <c r="CD557" s="141"/>
      <c r="CE557" s="141"/>
      <c r="CF557" s="141"/>
      <c r="CG557" s="141"/>
      <c r="CH557" s="141"/>
      <c r="CI557" s="141"/>
      <c r="CJ557" s="141"/>
      <c r="CK557" s="141"/>
    </row>
    <row r="558" spans="74:89" ht="49.5" customHeight="1" x14ac:dyDescent="0.35">
      <c r="BV558" s="140"/>
      <c r="BY558" s="141"/>
      <c r="BZ558" s="141"/>
      <c r="CA558" s="141"/>
      <c r="CB558" s="141"/>
      <c r="CC558" s="141"/>
      <c r="CD558" s="141"/>
      <c r="CE558" s="141"/>
      <c r="CF558" s="141"/>
      <c r="CG558" s="141"/>
      <c r="CH558" s="141"/>
      <c r="CI558" s="141"/>
      <c r="CJ558" s="141"/>
      <c r="CK558" s="141"/>
    </row>
    <row r="559" spans="74:89" ht="49.5" customHeight="1" x14ac:dyDescent="0.35">
      <c r="BV559" s="140"/>
      <c r="BY559" s="141"/>
      <c r="BZ559" s="141"/>
      <c r="CA559" s="141"/>
      <c r="CB559" s="141"/>
      <c r="CC559" s="141"/>
      <c r="CD559" s="141"/>
      <c r="CE559" s="141"/>
      <c r="CF559" s="141"/>
      <c r="CG559" s="141"/>
      <c r="CH559" s="141"/>
      <c r="CI559" s="141"/>
      <c r="CJ559" s="141"/>
      <c r="CK559" s="141"/>
    </row>
    <row r="560" spans="74:89" ht="49.5" customHeight="1" x14ac:dyDescent="0.35">
      <c r="BV560" s="140"/>
      <c r="BY560" s="141"/>
      <c r="BZ560" s="141"/>
      <c r="CA560" s="141"/>
      <c r="CB560" s="141"/>
      <c r="CC560" s="141"/>
      <c r="CD560" s="141"/>
      <c r="CE560" s="141"/>
      <c r="CF560" s="141"/>
      <c r="CG560" s="141"/>
      <c r="CH560" s="141"/>
      <c r="CI560" s="141"/>
      <c r="CJ560" s="141"/>
      <c r="CK560" s="141"/>
    </row>
    <row r="561" spans="74:89" ht="49.5" customHeight="1" x14ac:dyDescent="0.35">
      <c r="BV561" s="140"/>
      <c r="BY561" s="141"/>
      <c r="BZ561" s="141"/>
      <c r="CA561" s="141"/>
      <c r="CB561" s="141"/>
      <c r="CC561" s="141"/>
      <c r="CD561" s="141"/>
      <c r="CE561" s="141"/>
      <c r="CF561" s="141"/>
      <c r="CG561" s="141"/>
      <c r="CH561" s="141"/>
      <c r="CI561" s="141"/>
      <c r="CJ561" s="141"/>
      <c r="CK561" s="141"/>
    </row>
    <row r="562" spans="74:89" ht="49.5" customHeight="1" x14ac:dyDescent="0.35">
      <c r="BV562" s="140"/>
      <c r="BY562" s="141"/>
      <c r="BZ562" s="141"/>
      <c r="CA562" s="141"/>
      <c r="CB562" s="141"/>
      <c r="CC562" s="141"/>
      <c r="CD562" s="141"/>
      <c r="CE562" s="141"/>
      <c r="CF562" s="141"/>
      <c r="CG562" s="141"/>
      <c r="CH562" s="141"/>
      <c r="CI562" s="141"/>
      <c r="CJ562" s="141"/>
      <c r="CK562" s="141"/>
    </row>
    <row r="563" spans="74:89" ht="49.5" customHeight="1" x14ac:dyDescent="0.35">
      <c r="BV563" s="140"/>
      <c r="BY563" s="141"/>
      <c r="BZ563" s="141"/>
      <c r="CA563" s="141"/>
      <c r="CB563" s="141"/>
      <c r="CC563" s="141"/>
      <c r="CD563" s="141"/>
      <c r="CE563" s="141"/>
      <c r="CF563" s="141"/>
      <c r="CG563" s="141"/>
      <c r="CH563" s="141"/>
      <c r="CI563" s="141"/>
      <c r="CJ563" s="141"/>
      <c r="CK563" s="141"/>
    </row>
    <row r="564" spans="74:89" ht="49.5" customHeight="1" x14ac:dyDescent="0.35">
      <c r="BV564" s="140"/>
      <c r="BY564" s="141"/>
      <c r="BZ564" s="141"/>
      <c r="CA564" s="141"/>
      <c r="CB564" s="141"/>
      <c r="CC564" s="141"/>
      <c r="CD564" s="141"/>
      <c r="CE564" s="141"/>
      <c r="CF564" s="141"/>
      <c r="CG564" s="141"/>
      <c r="CH564" s="141"/>
      <c r="CI564" s="141"/>
      <c r="CJ564" s="141"/>
      <c r="CK564" s="141"/>
    </row>
    <row r="565" spans="74:89" ht="49.5" customHeight="1" x14ac:dyDescent="0.35">
      <c r="BV565" s="140"/>
      <c r="BY565" s="141"/>
      <c r="BZ565" s="141"/>
      <c r="CA565" s="141"/>
      <c r="CB565" s="141"/>
      <c r="CC565" s="141"/>
      <c r="CD565" s="141"/>
      <c r="CE565" s="141"/>
      <c r="CF565" s="141"/>
      <c r="CG565" s="141"/>
      <c r="CH565" s="141"/>
      <c r="CI565" s="141"/>
      <c r="CJ565" s="141"/>
      <c r="CK565" s="141"/>
    </row>
    <row r="566" spans="74:89" ht="49.5" customHeight="1" x14ac:dyDescent="0.35">
      <c r="BV566" s="140"/>
      <c r="BY566" s="141"/>
      <c r="BZ566" s="141"/>
      <c r="CA566" s="141"/>
      <c r="CB566" s="141"/>
      <c r="CC566" s="141"/>
      <c r="CD566" s="141"/>
      <c r="CE566" s="141"/>
      <c r="CF566" s="141"/>
      <c r="CG566" s="141"/>
      <c r="CH566" s="141"/>
      <c r="CI566" s="141"/>
      <c r="CJ566" s="141"/>
      <c r="CK566" s="141"/>
    </row>
    <row r="567" spans="74:89" ht="49.5" customHeight="1" x14ac:dyDescent="0.35">
      <c r="BV567" s="140"/>
      <c r="BY567" s="141"/>
      <c r="BZ567" s="141"/>
      <c r="CA567" s="141"/>
      <c r="CB567" s="141"/>
      <c r="CC567" s="141"/>
      <c r="CD567" s="141"/>
      <c r="CE567" s="141"/>
      <c r="CF567" s="141"/>
      <c r="CG567" s="141"/>
      <c r="CH567" s="141"/>
      <c r="CI567" s="141"/>
      <c r="CJ567" s="141"/>
      <c r="CK567" s="141"/>
    </row>
    <row r="568" spans="74:89" ht="49.5" customHeight="1" x14ac:dyDescent="0.35">
      <c r="BV568" s="140"/>
      <c r="BY568" s="141"/>
      <c r="BZ568" s="141"/>
      <c r="CA568" s="141"/>
      <c r="CB568" s="141"/>
      <c r="CC568" s="141"/>
      <c r="CD568" s="141"/>
      <c r="CE568" s="141"/>
      <c r="CF568" s="141"/>
      <c r="CG568" s="141"/>
      <c r="CH568" s="141"/>
      <c r="CI568" s="141"/>
      <c r="CJ568" s="141"/>
      <c r="CK568" s="141"/>
    </row>
    <row r="569" spans="74:89" ht="49.5" customHeight="1" x14ac:dyDescent="0.35">
      <c r="BV569" s="140"/>
      <c r="BY569" s="141"/>
      <c r="BZ569" s="141"/>
      <c r="CA569" s="141"/>
      <c r="CB569" s="141"/>
      <c r="CC569" s="141"/>
      <c r="CD569" s="141"/>
      <c r="CE569" s="141"/>
      <c r="CF569" s="141"/>
      <c r="CG569" s="141"/>
      <c r="CH569" s="141"/>
      <c r="CI569" s="141"/>
      <c r="CJ569" s="141"/>
      <c r="CK569" s="141"/>
    </row>
    <row r="570" spans="74:89" ht="49.5" customHeight="1" x14ac:dyDescent="0.35">
      <c r="BV570" s="140"/>
      <c r="BY570" s="141"/>
      <c r="BZ570" s="141"/>
      <c r="CA570" s="141"/>
      <c r="CB570" s="141"/>
      <c r="CC570" s="141"/>
      <c r="CD570" s="141"/>
      <c r="CE570" s="141"/>
      <c r="CF570" s="141"/>
      <c r="CG570" s="141"/>
      <c r="CH570" s="141"/>
      <c r="CI570" s="141"/>
      <c r="CJ570" s="141"/>
      <c r="CK570" s="141"/>
    </row>
    <row r="571" spans="74:89" ht="49.5" customHeight="1" x14ac:dyDescent="0.35">
      <c r="BV571" s="140"/>
      <c r="BY571" s="141"/>
      <c r="BZ571" s="141"/>
      <c r="CA571" s="141"/>
      <c r="CB571" s="141"/>
      <c r="CC571" s="141"/>
      <c r="CD571" s="141"/>
      <c r="CE571" s="141"/>
      <c r="CF571" s="141"/>
      <c r="CG571" s="141"/>
      <c r="CH571" s="141"/>
      <c r="CI571" s="141"/>
      <c r="CJ571" s="141"/>
      <c r="CK571" s="141"/>
    </row>
    <row r="572" spans="74:89" ht="49.5" customHeight="1" x14ac:dyDescent="0.35">
      <c r="BV572" s="140"/>
      <c r="BY572" s="141"/>
      <c r="BZ572" s="141"/>
      <c r="CA572" s="141"/>
      <c r="CB572" s="141"/>
      <c r="CC572" s="141"/>
      <c r="CD572" s="141"/>
      <c r="CE572" s="141"/>
      <c r="CF572" s="141"/>
      <c r="CG572" s="141"/>
      <c r="CH572" s="141"/>
      <c r="CI572" s="141"/>
      <c r="CJ572" s="141"/>
      <c r="CK572" s="141"/>
    </row>
    <row r="573" spans="74:89" ht="49.5" customHeight="1" x14ac:dyDescent="0.35">
      <c r="BV573" s="140"/>
      <c r="BY573" s="141"/>
      <c r="BZ573" s="141"/>
      <c r="CA573" s="141"/>
      <c r="CB573" s="141"/>
      <c r="CC573" s="141"/>
      <c r="CD573" s="141"/>
      <c r="CE573" s="141"/>
      <c r="CF573" s="141"/>
      <c r="CG573" s="141"/>
      <c r="CH573" s="141"/>
      <c r="CI573" s="141"/>
      <c r="CJ573" s="141"/>
      <c r="CK573" s="141"/>
    </row>
    <row r="574" spans="74:89" ht="49.5" customHeight="1" x14ac:dyDescent="0.35">
      <c r="BV574" s="140"/>
      <c r="BY574" s="141"/>
      <c r="BZ574" s="141"/>
      <c r="CA574" s="141"/>
      <c r="CB574" s="141"/>
      <c r="CC574" s="141"/>
      <c r="CD574" s="141"/>
      <c r="CE574" s="141"/>
      <c r="CF574" s="141"/>
      <c r="CG574" s="141"/>
      <c r="CH574" s="141"/>
      <c r="CI574" s="141"/>
      <c r="CJ574" s="141"/>
      <c r="CK574" s="141"/>
    </row>
    <row r="575" spans="74:89" ht="49.5" customHeight="1" x14ac:dyDescent="0.35">
      <c r="BV575" s="140"/>
      <c r="BY575" s="141"/>
      <c r="BZ575" s="141"/>
      <c r="CA575" s="141"/>
      <c r="CB575" s="141"/>
      <c r="CC575" s="141"/>
      <c r="CD575" s="141"/>
      <c r="CE575" s="141"/>
      <c r="CF575" s="141"/>
      <c r="CG575" s="141"/>
      <c r="CH575" s="141"/>
      <c r="CI575" s="141"/>
      <c r="CJ575" s="141"/>
      <c r="CK575" s="141"/>
    </row>
    <row r="576" spans="74:89" ht="49.5" customHeight="1" x14ac:dyDescent="0.35">
      <c r="BV576" s="140"/>
      <c r="BY576" s="141"/>
      <c r="BZ576" s="141"/>
      <c r="CA576" s="141"/>
      <c r="CB576" s="141"/>
      <c r="CC576" s="141"/>
      <c r="CD576" s="141"/>
      <c r="CE576" s="141"/>
      <c r="CF576" s="141"/>
      <c r="CG576" s="141"/>
      <c r="CH576" s="141"/>
      <c r="CI576" s="141"/>
      <c r="CJ576" s="141"/>
      <c r="CK576" s="141"/>
    </row>
    <row r="577" spans="74:89" ht="49.5" customHeight="1" x14ac:dyDescent="0.35">
      <c r="BV577" s="140"/>
      <c r="BY577" s="141"/>
      <c r="BZ577" s="141"/>
      <c r="CA577" s="141"/>
      <c r="CB577" s="141"/>
      <c r="CC577" s="141"/>
      <c r="CD577" s="141"/>
      <c r="CE577" s="141"/>
      <c r="CF577" s="141"/>
      <c r="CG577" s="141"/>
      <c r="CH577" s="141"/>
      <c r="CI577" s="141"/>
      <c r="CJ577" s="141"/>
      <c r="CK577" s="141"/>
    </row>
    <row r="578" spans="74:89" ht="49.5" customHeight="1" x14ac:dyDescent="0.35">
      <c r="BV578" s="140"/>
      <c r="BY578" s="141"/>
      <c r="BZ578" s="141"/>
      <c r="CA578" s="141"/>
      <c r="CB578" s="141"/>
      <c r="CC578" s="141"/>
      <c r="CD578" s="141"/>
      <c r="CE578" s="141"/>
      <c r="CF578" s="141"/>
      <c r="CG578" s="141"/>
      <c r="CH578" s="141"/>
      <c r="CI578" s="141"/>
      <c r="CJ578" s="141"/>
      <c r="CK578" s="141"/>
    </row>
    <row r="579" spans="74:89" ht="49.5" customHeight="1" x14ac:dyDescent="0.35">
      <c r="BV579" s="140"/>
      <c r="BY579" s="141"/>
      <c r="BZ579" s="141"/>
      <c r="CA579" s="141"/>
      <c r="CB579" s="141"/>
      <c r="CC579" s="141"/>
      <c r="CD579" s="141"/>
      <c r="CE579" s="141"/>
      <c r="CF579" s="141"/>
      <c r="CG579" s="141"/>
      <c r="CH579" s="141"/>
      <c r="CI579" s="141"/>
      <c r="CJ579" s="141"/>
      <c r="CK579" s="141"/>
    </row>
    <row r="580" spans="74:89" ht="49.5" customHeight="1" x14ac:dyDescent="0.35">
      <c r="BV580" s="140"/>
      <c r="BY580" s="141"/>
      <c r="BZ580" s="141"/>
      <c r="CA580" s="141"/>
      <c r="CB580" s="141"/>
      <c r="CC580" s="141"/>
      <c r="CD580" s="141"/>
      <c r="CE580" s="141"/>
      <c r="CF580" s="141"/>
      <c r="CG580" s="141"/>
      <c r="CH580" s="141"/>
      <c r="CI580" s="141"/>
      <c r="CJ580" s="141"/>
      <c r="CK580" s="141"/>
    </row>
    <row r="581" spans="74:89" ht="49.5" customHeight="1" x14ac:dyDescent="0.35">
      <c r="BV581" s="140"/>
      <c r="BY581" s="141"/>
      <c r="BZ581" s="141"/>
      <c r="CA581" s="141"/>
      <c r="CB581" s="141"/>
      <c r="CC581" s="141"/>
      <c r="CD581" s="141"/>
      <c r="CE581" s="141"/>
      <c r="CF581" s="141"/>
      <c r="CG581" s="141"/>
      <c r="CH581" s="141"/>
      <c r="CI581" s="141"/>
      <c r="CJ581" s="141"/>
      <c r="CK581" s="141"/>
    </row>
    <row r="582" spans="74:89" ht="49.5" customHeight="1" x14ac:dyDescent="0.35">
      <c r="BV582" s="140"/>
      <c r="BY582" s="141"/>
      <c r="BZ582" s="141"/>
      <c r="CA582" s="141"/>
      <c r="CB582" s="141"/>
      <c r="CC582" s="141"/>
      <c r="CD582" s="141"/>
      <c r="CE582" s="141"/>
      <c r="CF582" s="141"/>
      <c r="CG582" s="141"/>
      <c r="CH582" s="141"/>
      <c r="CI582" s="141"/>
      <c r="CJ582" s="141"/>
      <c r="CK582" s="141"/>
    </row>
    <row r="583" spans="74:89" ht="49.5" customHeight="1" x14ac:dyDescent="0.35">
      <c r="BV583" s="140"/>
      <c r="BY583" s="141"/>
      <c r="BZ583" s="141"/>
      <c r="CA583" s="141"/>
      <c r="CB583" s="141"/>
      <c r="CC583" s="141"/>
      <c r="CD583" s="141"/>
      <c r="CE583" s="141"/>
      <c r="CF583" s="141"/>
      <c r="CG583" s="141"/>
      <c r="CH583" s="141"/>
      <c r="CI583" s="141"/>
      <c r="CJ583" s="141"/>
      <c r="CK583" s="141"/>
    </row>
    <row r="584" spans="74:89" ht="49.5" customHeight="1" x14ac:dyDescent="0.35">
      <c r="BV584" s="140"/>
      <c r="BY584" s="141"/>
      <c r="BZ584" s="141"/>
      <c r="CA584" s="141"/>
      <c r="CB584" s="141"/>
      <c r="CC584" s="141"/>
      <c r="CD584" s="141"/>
      <c r="CE584" s="141"/>
      <c r="CF584" s="141"/>
      <c r="CG584" s="141"/>
      <c r="CH584" s="141"/>
      <c r="CI584" s="141"/>
      <c r="CJ584" s="141"/>
      <c r="CK584" s="141"/>
    </row>
    <row r="585" spans="74:89" ht="49.5" customHeight="1" x14ac:dyDescent="0.35">
      <c r="BV585" s="140"/>
      <c r="BY585" s="141"/>
      <c r="BZ585" s="141"/>
      <c r="CA585" s="141"/>
      <c r="CB585" s="141"/>
      <c r="CC585" s="141"/>
      <c r="CD585" s="141"/>
      <c r="CE585" s="141"/>
      <c r="CF585" s="141"/>
      <c r="CG585" s="141"/>
      <c r="CH585" s="141"/>
      <c r="CI585" s="141"/>
      <c r="CJ585" s="141"/>
      <c r="CK585" s="141"/>
    </row>
    <row r="586" spans="74:89" ht="49.5" customHeight="1" x14ac:dyDescent="0.35">
      <c r="BV586" s="140"/>
      <c r="BY586" s="141"/>
      <c r="BZ586" s="141"/>
      <c r="CA586" s="141"/>
      <c r="CB586" s="141"/>
      <c r="CC586" s="141"/>
      <c r="CD586" s="141"/>
      <c r="CE586" s="141"/>
      <c r="CF586" s="141"/>
      <c r="CG586" s="141"/>
      <c r="CH586" s="141"/>
      <c r="CI586" s="141"/>
      <c r="CJ586" s="141"/>
      <c r="CK586" s="141"/>
    </row>
    <row r="587" spans="74:89" ht="49.5" customHeight="1" x14ac:dyDescent="0.35">
      <c r="BV587" s="140"/>
      <c r="BY587" s="141"/>
      <c r="BZ587" s="141"/>
      <c r="CA587" s="141"/>
      <c r="CB587" s="141"/>
      <c r="CC587" s="141"/>
      <c r="CD587" s="141"/>
      <c r="CE587" s="141"/>
      <c r="CF587" s="141"/>
      <c r="CG587" s="141"/>
      <c r="CH587" s="141"/>
      <c r="CI587" s="141"/>
      <c r="CJ587" s="141"/>
      <c r="CK587" s="141"/>
    </row>
    <row r="588" spans="74:89" ht="49.5" customHeight="1" x14ac:dyDescent="0.35">
      <c r="BV588" s="140"/>
      <c r="BY588" s="141"/>
      <c r="BZ588" s="141"/>
      <c r="CA588" s="141"/>
      <c r="CB588" s="141"/>
      <c r="CC588" s="141"/>
      <c r="CD588" s="141"/>
      <c r="CE588" s="141"/>
      <c r="CF588" s="141"/>
      <c r="CG588" s="141"/>
      <c r="CH588" s="141"/>
      <c r="CI588" s="141"/>
      <c r="CJ588" s="141"/>
      <c r="CK588" s="141"/>
    </row>
    <row r="589" spans="74:89" ht="49.5" customHeight="1" x14ac:dyDescent="0.35">
      <c r="BV589" s="140"/>
      <c r="BY589" s="141"/>
      <c r="BZ589" s="141"/>
      <c r="CA589" s="141"/>
      <c r="CB589" s="141"/>
      <c r="CC589" s="141"/>
      <c r="CD589" s="141"/>
      <c r="CE589" s="141"/>
      <c r="CF589" s="141"/>
      <c r="CG589" s="141"/>
      <c r="CH589" s="141"/>
      <c r="CI589" s="141"/>
      <c r="CJ589" s="141"/>
      <c r="CK589" s="141"/>
    </row>
    <row r="590" spans="74:89" ht="49.5" customHeight="1" x14ac:dyDescent="0.35">
      <c r="BV590" s="140"/>
      <c r="BY590" s="141"/>
      <c r="BZ590" s="141"/>
      <c r="CA590" s="141"/>
      <c r="CB590" s="141"/>
      <c r="CC590" s="141"/>
      <c r="CD590" s="141"/>
      <c r="CE590" s="141"/>
      <c r="CF590" s="141"/>
      <c r="CG590" s="141"/>
      <c r="CH590" s="141"/>
      <c r="CI590" s="141"/>
      <c r="CJ590" s="141"/>
      <c r="CK590" s="141"/>
    </row>
    <row r="591" spans="74:89" ht="49.5" customHeight="1" x14ac:dyDescent="0.35">
      <c r="BV591" s="140"/>
      <c r="BY591" s="141"/>
      <c r="BZ591" s="141"/>
      <c r="CA591" s="141"/>
      <c r="CB591" s="141"/>
      <c r="CC591" s="141"/>
      <c r="CD591" s="141"/>
      <c r="CE591" s="141"/>
      <c r="CF591" s="141"/>
      <c r="CG591" s="141"/>
      <c r="CH591" s="141"/>
      <c r="CI591" s="141"/>
      <c r="CJ591" s="141"/>
      <c r="CK591" s="141"/>
    </row>
    <row r="592" spans="74:89" ht="49.5" customHeight="1" x14ac:dyDescent="0.35">
      <c r="BV592" s="140"/>
      <c r="BY592" s="141"/>
      <c r="BZ592" s="141"/>
      <c r="CA592" s="141"/>
      <c r="CB592" s="141"/>
      <c r="CC592" s="141"/>
      <c r="CD592" s="141"/>
      <c r="CE592" s="141"/>
      <c r="CF592" s="141"/>
      <c r="CG592" s="141"/>
      <c r="CH592" s="141"/>
      <c r="CI592" s="141"/>
      <c r="CJ592" s="141"/>
      <c r="CK592" s="141"/>
    </row>
    <row r="593" spans="74:89" ht="49.5" customHeight="1" x14ac:dyDescent="0.35">
      <c r="BV593" s="140"/>
      <c r="BY593" s="141"/>
      <c r="BZ593" s="141"/>
      <c r="CA593" s="141"/>
      <c r="CB593" s="141"/>
      <c r="CC593" s="141"/>
      <c r="CD593" s="141"/>
      <c r="CE593" s="141"/>
      <c r="CF593" s="141"/>
      <c r="CG593" s="141"/>
      <c r="CH593" s="141"/>
      <c r="CI593" s="141"/>
      <c r="CJ593" s="141"/>
      <c r="CK593" s="141"/>
    </row>
    <row r="594" spans="74:89" ht="49.5" customHeight="1" x14ac:dyDescent="0.35">
      <c r="BV594" s="140"/>
      <c r="BY594" s="141"/>
      <c r="BZ594" s="141"/>
      <c r="CA594" s="141"/>
      <c r="CB594" s="141"/>
      <c r="CC594" s="141"/>
      <c r="CD594" s="141"/>
      <c r="CE594" s="141"/>
      <c r="CF594" s="141"/>
      <c r="CG594" s="141"/>
      <c r="CH594" s="141"/>
      <c r="CI594" s="141"/>
      <c r="CJ594" s="141"/>
      <c r="CK594" s="141"/>
    </row>
    <row r="595" spans="74:89" ht="49.5" customHeight="1" x14ac:dyDescent="0.35">
      <c r="BV595" s="140"/>
      <c r="BY595" s="141"/>
      <c r="BZ595" s="141"/>
      <c r="CA595" s="141"/>
      <c r="CB595" s="141"/>
      <c r="CC595" s="141"/>
      <c r="CD595" s="141"/>
      <c r="CE595" s="141"/>
      <c r="CF595" s="141"/>
      <c r="CG595" s="141"/>
      <c r="CH595" s="141"/>
      <c r="CI595" s="141"/>
      <c r="CJ595" s="141"/>
      <c r="CK595" s="141"/>
    </row>
    <row r="596" spans="74:89" ht="49.5" customHeight="1" x14ac:dyDescent="0.35">
      <c r="BV596" s="140"/>
      <c r="BY596" s="141"/>
      <c r="BZ596" s="141"/>
      <c r="CA596" s="141"/>
      <c r="CB596" s="141"/>
      <c r="CC596" s="141"/>
      <c r="CD596" s="141"/>
      <c r="CE596" s="141"/>
      <c r="CF596" s="141"/>
      <c r="CG596" s="141"/>
      <c r="CH596" s="141"/>
      <c r="CI596" s="141"/>
      <c r="CJ596" s="141"/>
      <c r="CK596" s="141"/>
    </row>
    <row r="597" spans="74:89" ht="49.5" customHeight="1" x14ac:dyDescent="0.35">
      <c r="BV597" s="140"/>
      <c r="BY597" s="141"/>
      <c r="BZ597" s="141"/>
      <c r="CA597" s="141"/>
      <c r="CB597" s="141"/>
      <c r="CC597" s="141"/>
      <c r="CD597" s="141"/>
      <c r="CE597" s="141"/>
      <c r="CF597" s="141"/>
      <c r="CG597" s="141"/>
      <c r="CH597" s="141"/>
      <c r="CI597" s="141"/>
      <c r="CJ597" s="141"/>
      <c r="CK597" s="141"/>
    </row>
    <row r="598" spans="74:89" ht="49.5" customHeight="1" x14ac:dyDescent="0.35">
      <c r="BV598" s="140"/>
      <c r="BY598" s="141"/>
      <c r="BZ598" s="141"/>
      <c r="CA598" s="141"/>
      <c r="CB598" s="141"/>
      <c r="CC598" s="141"/>
      <c r="CD598" s="141"/>
      <c r="CE598" s="141"/>
      <c r="CF598" s="141"/>
      <c r="CG598" s="141"/>
      <c r="CH598" s="141"/>
      <c r="CI598" s="141"/>
      <c r="CJ598" s="141"/>
      <c r="CK598" s="141"/>
    </row>
    <row r="599" spans="74:89" ht="49.5" customHeight="1" x14ac:dyDescent="0.35">
      <c r="BV599" s="140"/>
      <c r="BY599" s="141"/>
      <c r="BZ599" s="141"/>
      <c r="CA599" s="141"/>
      <c r="CB599" s="141"/>
      <c r="CC599" s="141"/>
      <c r="CD599" s="141"/>
      <c r="CE599" s="141"/>
      <c r="CF599" s="141"/>
      <c r="CG599" s="141"/>
      <c r="CH599" s="141"/>
      <c r="CI599" s="141"/>
      <c r="CJ599" s="141"/>
      <c r="CK599" s="141"/>
    </row>
    <row r="600" spans="74:89" ht="49.5" customHeight="1" x14ac:dyDescent="0.35">
      <c r="BV600" s="140"/>
      <c r="BY600" s="141"/>
      <c r="BZ600" s="141"/>
      <c r="CA600" s="141"/>
      <c r="CB600" s="141"/>
      <c r="CC600" s="141"/>
      <c r="CD600" s="141"/>
      <c r="CE600" s="141"/>
      <c r="CF600" s="141"/>
      <c r="CG600" s="141"/>
      <c r="CH600" s="141"/>
      <c r="CI600" s="141"/>
      <c r="CJ600" s="141"/>
      <c r="CK600" s="141"/>
    </row>
    <row r="601" spans="74:89" ht="49.5" customHeight="1" x14ac:dyDescent="0.35">
      <c r="BV601" s="140"/>
      <c r="BY601" s="141"/>
      <c r="BZ601" s="141"/>
      <c r="CA601" s="141"/>
      <c r="CB601" s="141"/>
      <c r="CC601" s="141"/>
      <c r="CD601" s="141"/>
      <c r="CE601" s="141"/>
      <c r="CF601" s="141"/>
      <c r="CG601" s="141"/>
      <c r="CH601" s="141"/>
      <c r="CI601" s="141"/>
      <c r="CJ601" s="141"/>
      <c r="CK601" s="141"/>
    </row>
    <row r="602" spans="74:89" ht="49.5" customHeight="1" x14ac:dyDescent="0.35">
      <c r="BV602" s="140"/>
      <c r="BY602" s="141"/>
      <c r="BZ602" s="141"/>
      <c r="CA602" s="141"/>
      <c r="CB602" s="141"/>
      <c r="CC602" s="141"/>
      <c r="CD602" s="141"/>
      <c r="CE602" s="141"/>
      <c r="CF602" s="141"/>
      <c r="CG602" s="141"/>
      <c r="CH602" s="141"/>
      <c r="CI602" s="141"/>
      <c r="CJ602" s="141"/>
      <c r="CK602" s="141"/>
    </row>
    <row r="603" spans="74:89" ht="49.5" customHeight="1" x14ac:dyDescent="0.35">
      <c r="BV603" s="140"/>
      <c r="BY603" s="141"/>
      <c r="BZ603" s="141"/>
      <c r="CA603" s="141"/>
      <c r="CB603" s="141"/>
      <c r="CC603" s="141"/>
      <c r="CD603" s="141"/>
      <c r="CE603" s="141"/>
      <c r="CF603" s="141"/>
      <c r="CG603" s="141"/>
      <c r="CH603" s="141"/>
      <c r="CI603" s="141"/>
      <c r="CJ603" s="141"/>
      <c r="CK603" s="141"/>
    </row>
    <row r="604" spans="74:89" ht="49.5" customHeight="1" x14ac:dyDescent="0.35">
      <c r="BV604" s="140"/>
      <c r="BY604" s="141"/>
      <c r="BZ604" s="141"/>
      <c r="CA604" s="141"/>
      <c r="CB604" s="141"/>
      <c r="CC604" s="141"/>
      <c r="CD604" s="141"/>
      <c r="CE604" s="141"/>
      <c r="CF604" s="141"/>
      <c r="CG604" s="141"/>
      <c r="CH604" s="141"/>
      <c r="CI604" s="141"/>
      <c r="CJ604" s="141"/>
      <c r="CK604" s="141"/>
    </row>
    <row r="605" spans="74:89" ht="49.5" customHeight="1" x14ac:dyDescent="0.35">
      <c r="BV605" s="140"/>
      <c r="BY605" s="141"/>
      <c r="BZ605" s="141"/>
      <c r="CA605" s="141"/>
      <c r="CB605" s="141"/>
      <c r="CC605" s="141"/>
      <c r="CD605" s="141"/>
      <c r="CE605" s="141"/>
      <c r="CF605" s="141"/>
      <c r="CG605" s="141"/>
      <c r="CH605" s="141"/>
      <c r="CI605" s="141"/>
      <c r="CJ605" s="141"/>
      <c r="CK605" s="141"/>
    </row>
    <row r="606" spans="74:89" ht="49.5" customHeight="1" x14ac:dyDescent="0.35">
      <c r="BV606" s="140"/>
      <c r="BY606" s="141"/>
      <c r="BZ606" s="141"/>
      <c r="CA606" s="141"/>
      <c r="CB606" s="141"/>
      <c r="CC606" s="141"/>
      <c r="CD606" s="141"/>
      <c r="CE606" s="141"/>
      <c r="CF606" s="141"/>
      <c r="CG606" s="141"/>
      <c r="CH606" s="141"/>
      <c r="CI606" s="141"/>
      <c r="CJ606" s="141"/>
      <c r="CK606" s="141"/>
    </row>
    <row r="607" spans="74:89" ht="49.5" customHeight="1" x14ac:dyDescent="0.35">
      <c r="BV607" s="140"/>
      <c r="BY607" s="141"/>
      <c r="BZ607" s="141"/>
      <c r="CA607" s="141"/>
      <c r="CB607" s="141"/>
      <c r="CC607" s="141"/>
      <c r="CD607" s="141"/>
      <c r="CE607" s="141"/>
      <c r="CF607" s="141"/>
      <c r="CG607" s="141"/>
      <c r="CH607" s="141"/>
      <c r="CI607" s="141"/>
      <c r="CJ607" s="141"/>
      <c r="CK607" s="141"/>
    </row>
    <row r="608" spans="74:89" ht="49.5" customHeight="1" x14ac:dyDescent="0.35">
      <c r="BV608" s="140"/>
      <c r="BY608" s="141"/>
      <c r="BZ608" s="141"/>
      <c r="CA608" s="141"/>
      <c r="CB608" s="141"/>
      <c r="CC608" s="141"/>
      <c r="CD608" s="141"/>
      <c r="CE608" s="141"/>
      <c r="CF608" s="141"/>
      <c r="CG608" s="141"/>
      <c r="CH608" s="141"/>
      <c r="CI608" s="141"/>
      <c r="CJ608" s="141"/>
      <c r="CK608" s="141"/>
    </row>
    <row r="609" spans="74:89" ht="49.5" customHeight="1" x14ac:dyDescent="0.35">
      <c r="BV609" s="140"/>
      <c r="BY609" s="141"/>
      <c r="BZ609" s="141"/>
      <c r="CA609" s="141"/>
      <c r="CB609" s="141"/>
      <c r="CC609" s="141"/>
      <c r="CD609" s="141"/>
      <c r="CE609" s="141"/>
      <c r="CF609" s="141"/>
      <c r="CG609" s="141"/>
      <c r="CH609" s="141"/>
      <c r="CI609" s="141"/>
      <c r="CJ609" s="141"/>
      <c r="CK609" s="141"/>
    </row>
    <row r="610" spans="74:89" ht="49.5" customHeight="1" x14ac:dyDescent="0.35">
      <c r="BV610" s="140"/>
      <c r="BY610" s="141"/>
      <c r="BZ610" s="141"/>
      <c r="CA610" s="141"/>
      <c r="CB610" s="141"/>
      <c r="CC610" s="141"/>
      <c r="CD610" s="141"/>
      <c r="CE610" s="141"/>
      <c r="CF610" s="141"/>
      <c r="CG610" s="141"/>
      <c r="CH610" s="141"/>
      <c r="CI610" s="141"/>
      <c r="CJ610" s="141"/>
      <c r="CK610" s="141"/>
    </row>
    <row r="611" spans="74:89" ht="49.5" customHeight="1" x14ac:dyDescent="0.35">
      <c r="BV611" s="140"/>
      <c r="BY611" s="141"/>
      <c r="BZ611" s="141"/>
      <c r="CA611" s="141"/>
      <c r="CB611" s="141"/>
      <c r="CC611" s="141"/>
      <c r="CD611" s="141"/>
      <c r="CE611" s="141"/>
      <c r="CF611" s="141"/>
      <c r="CG611" s="141"/>
      <c r="CH611" s="141"/>
      <c r="CI611" s="141"/>
      <c r="CJ611" s="141"/>
      <c r="CK611" s="141"/>
    </row>
    <row r="612" spans="74:89" ht="49.5" customHeight="1" x14ac:dyDescent="0.35">
      <c r="BV612" s="140"/>
      <c r="BY612" s="141"/>
      <c r="BZ612" s="141"/>
      <c r="CA612" s="141"/>
      <c r="CB612" s="141"/>
      <c r="CC612" s="141"/>
      <c r="CD612" s="141"/>
      <c r="CE612" s="141"/>
      <c r="CF612" s="141"/>
      <c r="CG612" s="141"/>
      <c r="CH612" s="141"/>
      <c r="CI612" s="141"/>
      <c r="CJ612" s="141"/>
      <c r="CK612" s="141"/>
    </row>
    <row r="613" spans="74:89" ht="49.5" customHeight="1" x14ac:dyDescent="0.35">
      <c r="BV613" s="140"/>
      <c r="BY613" s="141"/>
      <c r="BZ613" s="141"/>
      <c r="CA613" s="141"/>
      <c r="CB613" s="141"/>
      <c r="CC613" s="141"/>
      <c r="CD613" s="141"/>
      <c r="CE613" s="141"/>
      <c r="CF613" s="141"/>
      <c r="CG613" s="141"/>
      <c r="CH613" s="141"/>
      <c r="CI613" s="141"/>
      <c r="CJ613" s="141"/>
      <c r="CK613" s="141"/>
    </row>
    <row r="614" spans="74:89" ht="49.5" customHeight="1" x14ac:dyDescent="0.35">
      <c r="BV614" s="140"/>
      <c r="BY614" s="141"/>
      <c r="BZ614" s="141"/>
      <c r="CA614" s="141"/>
      <c r="CB614" s="141"/>
      <c r="CC614" s="141"/>
      <c r="CD614" s="141"/>
      <c r="CE614" s="141"/>
      <c r="CF614" s="141"/>
      <c r="CG614" s="141"/>
      <c r="CH614" s="141"/>
      <c r="CI614" s="141"/>
      <c r="CJ614" s="141"/>
      <c r="CK614" s="141"/>
    </row>
    <row r="615" spans="74:89" ht="49.5" customHeight="1" x14ac:dyDescent="0.35">
      <c r="BV615" s="140"/>
      <c r="BY615" s="141"/>
      <c r="BZ615" s="141"/>
      <c r="CA615" s="141"/>
      <c r="CB615" s="141"/>
      <c r="CC615" s="141"/>
      <c r="CD615" s="141"/>
      <c r="CE615" s="141"/>
      <c r="CF615" s="141"/>
      <c r="CG615" s="141"/>
      <c r="CH615" s="141"/>
      <c r="CI615" s="141"/>
      <c r="CJ615" s="141"/>
      <c r="CK615" s="141"/>
    </row>
    <row r="616" spans="74:89" ht="49.5" customHeight="1" x14ac:dyDescent="0.35">
      <c r="BV616" s="140"/>
      <c r="BY616" s="141"/>
      <c r="BZ616" s="141"/>
      <c r="CA616" s="141"/>
      <c r="CB616" s="141"/>
      <c r="CC616" s="141"/>
      <c r="CD616" s="141"/>
      <c r="CE616" s="141"/>
      <c r="CF616" s="141"/>
      <c r="CG616" s="141"/>
      <c r="CH616" s="141"/>
      <c r="CI616" s="141"/>
      <c r="CJ616" s="141"/>
      <c r="CK616" s="141"/>
    </row>
    <row r="617" spans="74:89" ht="49.5" customHeight="1" x14ac:dyDescent="0.35">
      <c r="BV617" s="140"/>
      <c r="BY617" s="141"/>
      <c r="BZ617" s="141"/>
      <c r="CA617" s="141"/>
      <c r="CB617" s="141"/>
      <c r="CC617" s="141"/>
      <c r="CD617" s="141"/>
      <c r="CE617" s="141"/>
      <c r="CF617" s="141"/>
      <c r="CG617" s="141"/>
      <c r="CH617" s="141"/>
      <c r="CI617" s="141"/>
      <c r="CJ617" s="141"/>
      <c r="CK617" s="141"/>
    </row>
    <row r="618" spans="74:89" ht="49.5" customHeight="1" x14ac:dyDescent="0.35">
      <c r="BV618" s="140"/>
      <c r="BY618" s="141"/>
      <c r="BZ618" s="141"/>
      <c r="CA618" s="141"/>
      <c r="CB618" s="141"/>
      <c r="CC618" s="141"/>
      <c r="CD618" s="141"/>
      <c r="CE618" s="141"/>
      <c r="CF618" s="141"/>
      <c r="CG618" s="141"/>
      <c r="CH618" s="141"/>
      <c r="CI618" s="141"/>
      <c r="CJ618" s="141"/>
      <c r="CK618" s="141"/>
    </row>
    <row r="619" spans="74:89" ht="49.5" customHeight="1" x14ac:dyDescent="0.35">
      <c r="BV619" s="140"/>
      <c r="BY619" s="141"/>
      <c r="BZ619" s="141"/>
      <c r="CA619" s="141"/>
      <c r="CB619" s="141"/>
      <c r="CC619" s="141"/>
      <c r="CD619" s="141"/>
      <c r="CE619" s="141"/>
      <c r="CF619" s="141"/>
      <c r="CG619" s="141"/>
      <c r="CH619" s="141"/>
      <c r="CI619" s="141"/>
      <c r="CJ619" s="141"/>
      <c r="CK619" s="141"/>
    </row>
    <row r="620" spans="74:89" ht="49.5" customHeight="1" x14ac:dyDescent="0.35">
      <c r="BV620" s="140"/>
      <c r="BY620" s="141"/>
      <c r="BZ620" s="141"/>
      <c r="CA620" s="141"/>
      <c r="CB620" s="141"/>
      <c r="CC620" s="141"/>
      <c r="CD620" s="141"/>
      <c r="CE620" s="141"/>
      <c r="CF620" s="141"/>
      <c r="CG620" s="141"/>
      <c r="CH620" s="141"/>
      <c r="CI620" s="141"/>
      <c r="CJ620" s="141"/>
      <c r="CK620" s="141"/>
    </row>
    <row r="621" spans="74:89" ht="49.5" customHeight="1" x14ac:dyDescent="0.35">
      <c r="BV621" s="140"/>
      <c r="BY621" s="141"/>
      <c r="BZ621" s="141"/>
      <c r="CA621" s="141"/>
      <c r="CB621" s="141"/>
      <c r="CC621" s="141"/>
      <c r="CD621" s="141"/>
      <c r="CE621" s="141"/>
      <c r="CF621" s="141"/>
      <c r="CG621" s="141"/>
      <c r="CH621" s="141"/>
      <c r="CI621" s="141"/>
      <c r="CJ621" s="141"/>
      <c r="CK621" s="141"/>
    </row>
    <row r="622" spans="74:89" ht="49.5" customHeight="1" x14ac:dyDescent="0.35">
      <c r="BV622" s="140"/>
      <c r="BY622" s="141"/>
      <c r="BZ622" s="141"/>
      <c r="CA622" s="141"/>
      <c r="CB622" s="141"/>
      <c r="CC622" s="141"/>
      <c r="CD622" s="141"/>
      <c r="CE622" s="141"/>
      <c r="CF622" s="141"/>
      <c r="CG622" s="141"/>
      <c r="CH622" s="141"/>
      <c r="CI622" s="141"/>
      <c r="CJ622" s="141"/>
      <c r="CK622" s="141"/>
    </row>
    <row r="623" spans="74:89" ht="49.5" customHeight="1" x14ac:dyDescent="0.35">
      <c r="BV623" s="140"/>
      <c r="BY623" s="141"/>
      <c r="BZ623" s="141"/>
      <c r="CA623" s="141"/>
      <c r="CB623" s="141"/>
      <c r="CC623" s="141"/>
      <c r="CD623" s="141"/>
      <c r="CE623" s="141"/>
      <c r="CF623" s="141"/>
      <c r="CG623" s="141"/>
      <c r="CH623" s="141"/>
      <c r="CI623" s="141"/>
      <c r="CJ623" s="141"/>
      <c r="CK623" s="141"/>
    </row>
    <row r="624" spans="74:89" ht="49.5" customHeight="1" x14ac:dyDescent="0.35">
      <c r="BV624" s="140"/>
      <c r="BY624" s="141"/>
      <c r="BZ624" s="141"/>
      <c r="CA624" s="141"/>
      <c r="CB624" s="141"/>
      <c r="CC624" s="141"/>
      <c r="CD624" s="141"/>
      <c r="CE624" s="141"/>
      <c r="CF624" s="141"/>
      <c r="CG624" s="141"/>
      <c r="CH624" s="141"/>
      <c r="CI624" s="141"/>
      <c r="CJ624" s="141"/>
      <c r="CK624" s="141"/>
    </row>
    <row r="625" spans="74:89" ht="49.5" customHeight="1" x14ac:dyDescent="0.35">
      <c r="BV625" s="140"/>
      <c r="BY625" s="141"/>
      <c r="BZ625" s="141"/>
      <c r="CA625" s="141"/>
      <c r="CB625" s="141"/>
      <c r="CC625" s="141"/>
      <c r="CD625" s="141"/>
      <c r="CE625" s="141"/>
      <c r="CF625" s="141"/>
      <c r="CG625" s="141"/>
      <c r="CH625" s="141"/>
      <c r="CI625" s="141"/>
      <c r="CJ625" s="141"/>
      <c r="CK625" s="141"/>
    </row>
    <row r="626" spans="74:89" ht="49.5" customHeight="1" x14ac:dyDescent="0.35">
      <c r="BV626" s="140"/>
      <c r="BY626" s="141"/>
      <c r="BZ626" s="141"/>
      <c r="CA626" s="141"/>
      <c r="CB626" s="141"/>
      <c r="CC626" s="141"/>
      <c r="CD626" s="141"/>
      <c r="CE626" s="141"/>
      <c r="CF626" s="141"/>
      <c r="CG626" s="141"/>
      <c r="CH626" s="141"/>
      <c r="CI626" s="141"/>
      <c r="CJ626" s="141"/>
      <c r="CK626" s="141"/>
    </row>
    <row r="627" spans="74:89" ht="49.5" customHeight="1" x14ac:dyDescent="0.35">
      <c r="BV627" s="140"/>
      <c r="BY627" s="141"/>
      <c r="BZ627" s="141"/>
      <c r="CA627" s="141"/>
      <c r="CB627" s="141"/>
      <c r="CC627" s="141"/>
      <c r="CD627" s="141"/>
      <c r="CE627" s="141"/>
      <c r="CF627" s="141"/>
      <c r="CG627" s="141"/>
      <c r="CH627" s="141"/>
      <c r="CI627" s="141"/>
      <c r="CJ627" s="141"/>
      <c r="CK627" s="141"/>
    </row>
    <row r="628" spans="74:89" ht="49.5" customHeight="1" x14ac:dyDescent="0.35">
      <c r="BV628" s="140"/>
      <c r="BY628" s="141"/>
      <c r="BZ628" s="141"/>
      <c r="CA628" s="141"/>
      <c r="CB628" s="141"/>
      <c r="CC628" s="141"/>
      <c r="CD628" s="141"/>
      <c r="CE628" s="141"/>
      <c r="CF628" s="141"/>
      <c r="CG628" s="141"/>
      <c r="CH628" s="141"/>
      <c r="CI628" s="141"/>
      <c r="CJ628" s="141"/>
      <c r="CK628" s="141"/>
    </row>
    <row r="629" spans="74:89" ht="49.5" customHeight="1" x14ac:dyDescent="0.35">
      <c r="BV629" s="140"/>
      <c r="BY629" s="141"/>
      <c r="BZ629" s="141"/>
      <c r="CA629" s="141"/>
      <c r="CB629" s="141"/>
      <c r="CC629" s="141"/>
      <c r="CD629" s="141"/>
      <c r="CE629" s="141"/>
      <c r="CF629" s="141"/>
      <c r="CG629" s="141"/>
      <c r="CH629" s="141"/>
      <c r="CI629" s="141"/>
      <c r="CJ629" s="141"/>
      <c r="CK629" s="141"/>
    </row>
    <row r="630" spans="74:89" ht="49.5" customHeight="1" x14ac:dyDescent="0.35">
      <c r="BV630" s="140"/>
      <c r="BY630" s="141"/>
      <c r="BZ630" s="141"/>
      <c r="CA630" s="141"/>
      <c r="CB630" s="141"/>
      <c r="CC630" s="141"/>
      <c r="CD630" s="141"/>
      <c r="CE630" s="141"/>
      <c r="CF630" s="141"/>
      <c r="CG630" s="141"/>
      <c r="CH630" s="141"/>
      <c r="CI630" s="141"/>
      <c r="CJ630" s="141"/>
      <c r="CK630" s="141"/>
    </row>
    <row r="631" spans="74:89" ht="49.5" customHeight="1" x14ac:dyDescent="0.35">
      <c r="BV631" s="140"/>
      <c r="BY631" s="141"/>
      <c r="BZ631" s="141"/>
      <c r="CA631" s="141"/>
      <c r="CB631" s="141"/>
      <c r="CC631" s="141"/>
      <c r="CD631" s="141"/>
      <c r="CE631" s="141"/>
      <c r="CF631" s="141"/>
      <c r="CG631" s="141"/>
      <c r="CH631" s="141"/>
      <c r="CI631" s="141"/>
      <c r="CJ631" s="141"/>
      <c r="CK631" s="141"/>
    </row>
    <row r="632" spans="74:89" ht="49.5" customHeight="1" x14ac:dyDescent="0.35">
      <c r="BV632" s="140"/>
      <c r="BY632" s="141"/>
      <c r="BZ632" s="141"/>
      <c r="CA632" s="141"/>
      <c r="CB632" s="141"/>
      <c r="CC632" s="141"/>
      <c r="CD632" s="141"/>
      <c r="CE632" s="141"/>
      <c r="CF632" s="141"/>
      <c r="CG632" s="141"/>
      <c r="CH632" s="141"/>
      <c r="CI632" s="141"/>
      <c r="CJ632" s="141"/>
      <c r="CK632" s="141"/>
    </row>
    <row r="633" spans="74:89" ht="49.5" customHeight="1" x14ac:dyDescent="0.35">
      <c r="BV633" s="140"/>
      <c r="BY633" s="141"/>
      <c r="BZ633" s="141"/>
      <c r="CA633" s="141"/>
      <c r="CB633" s="141"/>
      <c r="CC633" s="141"/>
      <c r="CD633" s="141"/>
      <c r="CE633" s="141"/>
      <c r="CF633" s="141"/>
      <c r="CG633" s="141"/>
      <c r="CH633" s="141"/>
      <c r="CI633" s="141"/>
      <c r="CJ633" s="141"/>
      <c r="CK633" s="141"/>
    </row>
    <row r="634" spans="74:89" ht="49.5" customHeight="1" x14ac:dyDescent="0.35">
      <c r="BV634" s="140"/>
      <c r="BY634" s="141"/>
      <c r="BZ634" s="141"/>
      <c r="CA634" s="141"/>
      <c r="CB634" s="141"/>
      <c r="CC634" s="141"/>
      <c r="CD634" s="141"/>
      <c r="CE634" s="141"/>
      <c r="CF634" s="141"/>
      <c r="CG634" s="141"/>
      <c r="CH634" s="141"/>
      <c r="CI634" s="141"/>
      <c r="CJ634" s="141"/>
      <c r="CK634" s="141"/>
    </row>
    <row r="635" spans="74:89" ht="49.5" customHeight="1" x14ac:dyDescent="0.35">
      <c r="BV635" s="140"/>
      <c r="BY635" s="141"/>
      <c r="BZ635" s="141"/>
      <c r="CA635" s="141"/>
      <c r="CB635" s="141"/>
      <c r="CC635" s="141"/>
      <c r="CD635" s="141"/>
      <c r="CE635" s="141"/>
      <c r="CF635" s="141"/>
      <c r="CG635" s="141"/>
      <c r="CH635" s="141"/>
      <c r="CI635" s="141"/>
      <c r="CJ635" s="141"/>
      <c r="CK635" s="141"/>
    </row>
    <row r="636" spans="74:89" ht="49.5" customHeight="1" x14ac:dyDescent="0.35">
      <c r="BV636" s="140"/>
      <c r="BY636" s="141"/>
      <c r="BZ636" s="141"/>
      <c r="CA636" s="141"/>
      <c r="CB636" s="141"/>
      <c r="CC636" s="141"/>
      <c r="CD636" s="141"/>
      <c r="CE636" s="141"/>
      <c r="CF636" s="141"/>
      <c r="CG636" s="141"/>
      <c r="CH636" s="141"/>
      <c r="CI636" s="141"/>
      <c r="CJ636" s="141"/>
      <c r="CK636" s="141"/>
    </row>
    <row r="637" spans="74:89" ht="49.5" customHeight="1" x14ac:dyDescent="0.35">
      <c r="BV637" s="140"/>
      <c r="BY637" s="141"/>
      <c r="BZ637" s="141"/>
      <c r="CA637" s="141"/>
      <c r="CB637" s="141"/>
      <c r="CC637" s="141"/>
      <c r="CD637" s="141"/>
      <c r="CE637" s="141"/>
      <c r="CF637" s="141"/>
      <c r="CG637" s="141"/>
      <c r="CH637" s="141"/>
      <c r="CI637" s="141"/>
      <c r="CJ637" s="141"/>
      <c r="CK637" s="141"/>
    </row>
    <row r="638" spans="74:89" ht="49.5" customHeight="1" x14ac:dyDescent="0.35">
      <c r="BV638" s="140"/>
      <c r="BY638" s="141"/>
      <c r="BZ638" s="141"/>
      <c r="CA638" s="141"/>
      <c r="CB638" s="141"/>
      <c r="CC638" s="141"/>
      <c r="CD638" s="141"/>
      <c r="CE638" s="141"/>
      <c r="CF638" s="141"/>
      <c r="CG638" s="141"/>
      <c r="CH638" s="141"/>
      <c r="CI638" s="141"/>
      <c r="CJ638" s="141"/>
      <c r="CK638" s="141"/>
    </row>
    <row r="639" spans="74:89" ht="49.5" customHeight="1" x14ac:dyDescent="0.35">
      <c r="BV639" s="140"/>
      <c r="BY639" s="141"/>
      <c r="BZ639" s="141"/>
      <c r="CA639" s="141"/>
      <c r="CB639" s="141"/>
      <c r="CC639" s="141"/>
      <c r="CD639" s="141"/>
      <c r="CE639" s="141"/>
      <c r="CF639" s="141"/>
      <c r="CG639" s="141"/>
      <c r="CH639" s="141"/>
      <c r="CI639" s="141"/>
      <c r="CJ639" s="141"/>
      <c r="CK639" s="141"/>
    </row>
    <row r="640" spans="74:89" ht="49.5" customHeight="1" x14ac:dyDescent="0.35">
      <c r="BV640" s="140"/>
      <c r="BY640" s="141"/>
      <c r="BZ640" s="141"/>
      <c r="CA640" s="141"/>
      <c r="CB640" s="141"/>
      <c r="CC640" s="141"/>
      <c r="CD640" s="141"/>
      <c r="CE640" s="141"/>
      <c r="CF640" s="141"/>
      <c r="CG640" s="141"/>
      <c r="CH640" s="141"/>
      <c r="CI640" s="141"/>
      <c r="CJ640" s="141"/>
      <c r="CK640" s="141"/>
    </row>
    <row r="641" spans="74:89" ht="49.5" customHeight="1" x14ac:dyDescent="0.35">
      <c r="BV641" s="140"/>
      <c r="BY641" s="141"/>
      <c r="BZ641" s="141"/>
      <c r="CA641" s="141"/>
      <c r="CB641" s="141"/>
      <c r="CC641" s="141"/>
      <c r="CD641" s="141"/>
      <c r="CE641" s="141"/>
      <c r="CF641" s="141"/>
      <c r="CG641" s="141"/>
      <c r="CH641" s="141"/>
      <c r="CI641" s="141"/>
      <c r="CJ641" s="141"/>
      <c r="CK641" s="141"/>
    </row>
    <row r="642" spans="74:89" ht="49.5" customHeight="1" x14ac:dyDescent="0.35">
      <c r="BV642" s="140"/>
      <c r="BY642" s="141"/>
      <c r="BZ642" s="141"/>
      <c r="CA642" s="141"/>
      <c r="CB642" s="141"/>
      <c r="CC642" s="141"/>
      <c r="CD642" s="141"/>
      <c r="CE642" s="141"/>
      <c r="CF642" s="141"/>
      <c r="CG642" s="141"/>
      <c r="CH642" s="141"/>
      <c r="CI642" s="141"/>
      <c r="CJ642" s="141"/>
      <c r="CK642" s="141"/>
    </row>
    <row r="643" spans="74:89" ht="49.5" customHeight="1" x14ac:dyDescent="0.35">
      <c r="BV643" s="140"/>
      <c r="BY643" s="141"/>
      <c r="BZ643" s="141"/>
      <c r="CA643" s="141"/>
      <c r="CB643" s="141"/>
      <c r="CC643" s="141"/>
      <c r="CD643" s="141"/>
      <c r="CE643" s="141"/>
      <c r="CF643" s="141"/>
      <c r="CG643" s="141"/>
      <c r="CH643" s="141"/>
      <c r="CI643" s="141"/>
      <c r="CJ643" s="141"/>
      <c r="CK643" s="141"/>
    </row>
    <row r="644" spans="74:89" ht="49.5" customHeight="1" x14ac:dyDescent="0.35">
      <c r="BV644" s="140"/>
      <c r="BY644" s="141"/>
      <c r="BZ644" s="141"/>
      <c r="CA644" s="141"/>
      <c r="CB644" s="141"/>
      <c r="CC644" s="141"/>
      <c r="CD644" s="141"/>
      <c r="CE644" s="141"/>
      <c r="CF644" s="141"/>
      <c r="CG644" s="141"/>
      <c r="CH644" s="141"/>
      <c r="CI644" s="141"/>
      <c r="CJ644" s="141"/>
      <c r="CK644" s="141"/>
    </row>
    <row r="645" spans="74:89" ht="49.5" customHeight="1" x14ac:dyDescent="0.35">
      <c r="BV645" s="140"/>
      <c r="BY645" s="141"/>
      <c r="BZ645" s="141"/>
      <c r="CA645" s="141"/>
      <c r="CB645" s="141"/>
      <c r="CC645" s="141"/>
      <c r="CD645" s="141"/>
      <c r="CE645" s="141"/>
      <c r="CF645" s="141"/>
      <c r="CG645" s="141"/>
      <c r="CH645" s="141"/>
      <c r="CI645" s="141"/>
      <c r="CJ645" s="141"/>
      <c r="CK645" s="141"/>
    </row>
    <row r="646" spans="74:89" ht="49.5" customHeight="1" x14ac:dyDescent="0.35">
      <c r="BV646" s="140"/>
      <c r="BY646" s="141"/>
      <c r="BZ646" s="141"/>
      <c r="CA646" s="141"/>
      <c r="CB646" s="141"/>
      <c r="CC646" s="141"/>
      <c r="CD646" s="141"/>
      <c r="CE646" s="141"/>
      <c r="CF646" s="141"/>
      <c r="CG646" s="141"/>
      <c r="CH646" s="141"/>
      <c r="CI646" s="141"/>
      <c r="CJ646" s="141"/>
      <c r="CK646" s="141"/>
    </row>
    <row r="647" spans="74:89" ht="49.5" customHeight="1" x14ac:dyDescent="0.35">
      <c r="BV647" s="140"/>
      <c r="BY647" s="141"/>
      <c r="BZ647" s="141"/>
      <c r="CA647" s="141"/>
      <c r="CB647" s="141"/>
      <c r="CC647" s="141"/>
      <c r="CD647" s="141"/>
      <c r="CE647" s="141"/>
      <c r="CF647" s="141"/>
      <c r="CG647" s="141"/>
      <c r="CH647" s="141"/>
      <c r="CI647" s="141"/>
      <c r="CJ647" s="141"/>
      <c r="CK647" s="141"/>
    </row>
    <row r="648" spans="74:89" ht="49.5" customHeight="1" x14ac:dyDescent="0.35">
      <c r="BV648" s="140"/>
      <c r="BY648" s="141"/>
      <c r="BZ648" s="141"/>
      <c r="CA648" s="141"/>
      <c r="CB648" s="141"/>
      <c r="CC648" s="141"/>
      <c r="CD648" s="141"/>
      <c r="CE648" s="141"/>
      <c r="CF648" s="141"/>
      <c r="CG648" s="141"/>
      <c r="CH648" s="141"/>
      <c r="CI648" s="141"/>
      <c r="CJ648" s="141"/>
      <c r="CK648" s="141"/>
    </row>
    <row r="649" spans="74:89" ht="49.5" customHeight="1" x14ac:dyDescent="0.35">
      <c r="BV649" s="140"/>
      <c r="BY649" s="141"/>
      <c r="BZ649" s="141"/>
      <c r="CA649" s="141"/>
      <c r="CB649" s="141"/>
      <c r="CC649" s="141"/>
      <c r="CD649" s="141"/>
      <c r="CE649" s="141"/>
      <c r="CF649" s="141"/>
      <c r="CG649" s="141"/>
      <c r="CH649" s="141"/>
      <c r="CI649" s="141"/>
      <c r="CJ649" s="141"/>
      <c r="CK649" s="141"/>
    </row>
    <row r="650" spans="74:89" ht="49.5" customHeight="1" x14ac:dyDescent="0.35">
      <c r="BV650" s="140"/>
      <c r="BY650" s="141"/>
      <c r="BZ650" s="141"/>
      <c r="CA650" s="141"/>
      <c r="CB650" s="141"/>
      <c r="CC650" s="141"/>
      <c r="CD650" s="141"/>
      <c r="CE650" s="141"/>
      <c r="CF650" s="141"/>
      <c r="CG650" s="141"/>
      <c r="CH650" s="141"/>
      <c r="CI650" s="141"/>
      <c r="CJ650" s="141"/>
      <c r="CK650" s="141"/>
    </row>
    <row r="651" spans="74:89" ht="49.5" customHeight="1" x14ac:dyDescent="0.35">
      <c r="BV651" s="140"/>
      <c r="BY651" s="141"/>
      <c r="BZ651" s="141"/>
      <c r="CA651" s="141"/>
      <c r="CB651" s="141"/>
      <c r="CC651" s="141"/>
      <c r="CD651" s="141"/>
      <c r="CE651" s="141"/>
      <c r="CF651" s="141"/>
      <c r="CG651" s="141"/>
      <c r="CH651" s="141"/>
      <c r="CI651" s="141"/>
      <c r="CJ651" s="141"/>
      <c r="CK651" s="141"/>
    </row>
    <row r="652" spans="74:89" ht="49.5" customHeight="1" x14ac:dyDescent="0.35">
      <c r="BV652" s="140"/>
      <c r="BY652" s="141"/>
      <c r="BZ652" s="141"/>
      <c r="CA652" s="141"/>
      <c r="CB652" s="141"/>
      <c r="CC652" s="141"/>
      <c r="CD652" s="141"/>
      <c r="CE652" s="141"/>
      <c r="CF652" s="141"/>
      <c r="CG652" s="141"/>
      <c r="CH652" s="141"/>
      <c r="CI652" s="141"/>
      <c r="CJ652" s="141"/>
      <c r="CK652" s="141"/>
    </row>
    <row r="653" spans="74:89" ht="49.5" customHeight="1" x14ac:dyDescent="0.35">
      <c r="BV653" s="140"/>
      <c r="BY653" s="141"/>
      <c r="BZ653" s="141"/>
      <c r="CA653" s="141"/>
      <c r="CB653" s="141"/>
      <c r="CC653" s="141"/>
      <c r="CD653" s="141"/>
      <c r="CE653" s="141"/>
      <c r="CF653" s="141"/>
      <c r="CG653" s="141"/>
      <c r="CH653" s="141"/>
      <c r="CI653" s="141"/>
      <c r="CJ653" s="141"/>
      <c r="CK653" s="141"/>
    </row>
    <row r="654" spans="74:89" ht="49.5" customHeight="1" x14ac:dyDescent="0.35">
      <c r="BV654" s="140"/>
      <c r="BY654" s="141"/>
      <c r="BZ654" s="141"/>
      <c r="CA654" s="141"/>
      <c r="CB654" s="141"/>
      <c r="CC654" s="141"/>
      <c r="CD654" s="141"/>
      <c r="CE654" s="141"/>
      <c r="CF654" s="141"/>
      <c r="CG654" s="141"/>
      <c r="CH654" s="141"/>
      <c r="CI654" s="141"/>
      <c r="CJ654" s="141"/>
      <c r="CK654" s="141"/>
    </row>
    <row r="655" spans="74:89" ht="49.5" customHeight="1" x14ac:dyDescent="0.35">
      <c r="BV655" s="140"/>
      <c r="BY655" s="141"/>
      <c r="BZ655" s="141"/>
      <c r="CA655" s="141"/>
      <c r="CB655" s="141"/>
      <c r="CC655" s="141"/>
      <c r="CD655" s="141"/>
      <c r="CE655" s="141"/>
      <c r="CF655" s="141"/>
      <c r="CG655" s="141"/>
      <c r="CH655" s="141"/>
      <c r="CI655" s="141"/>
      <c r="CJ655" s="141"/>
      <c r="CK655" s="141"/>
    </row>
    <row r="656" spans="74:89" ht="49.5" customHeight="1" x14ac:dyDescent="0.35">
      <c r="BV656" s="140"/>
      <c r="BY656" s="141"/>
      <c r="BZ656" s="141"/>
      <c r="CA656" s="141"/>
      <c r="CB656" s="141"/>
      <c r="CC656" s="141"/>
      <c r="CD656" s="141"/>
      <c r="CE656" s="141"/>
      <c r="CF656" s="141"/>
      <c r="CG656" s="141"/>
      <c r="CH656" s="141"/>
      <c r="CI656" s="141"/>
      <c r="CJ656" s="141"/>
      <c r="CK656" s="141"/>
    </row>
    <row r="657" spans="74:89" ht="49.5" customHeight="1" x14ac:dyDescent="0.35">
      <c r="BV657" s="140"/>
      <c r="BY657" s="141"/>
      <c r="BZ657" s="141"/>
      <c r="CA657" s="141"/>
      <c r="CB657" s="141"/>
      <c r="CC657" s="141"/>
      <c r="CD657" s="141"/>
      <c r="CE657" s="141"/>
      <c r="CF657" s="141"/>
      <c r="CG657" s="141"/>
      <c r="CH657" s="141"/>
      <c r="CI657" s="141"/>
      <c r="CJ657" s="141"/>
      <c r="CK657" s="141"/>
    </row>
    <row r="658" spans="74:89" ht="49.5" customHeight="1" x14ac:dyDescent="0.35">
      <c r="BV658" s="140"/>
      <c r="BY658" s="141"/>
      <c r="BZ658" s="141"/>
      <c r="CA658" s="141"/>
      <c r="CB658" s="141"/>
      <c r="CC658" s="141"/>
      <c r="CD658" s="141"/>
      <c r="CE658" s="141"/>
      <c r="CF658" s="141"/>
      <c r="CG658" s="141"/>
      <c r="CH658" s="141"/>
      <c r="CI658" s="141"/>
      <c r="CJ658" s="141"/>
      <c r="CK658" s="141"/>
    </row>
    <row r="659" spans="74:89" ht="49.5" customHeight="1" x14ac:dyDescent="0.35">
      <c r="BV659" s="140"/>
      <c r="BY659" s="141"/>
      <c r="BZ659" s="141"/>
      <c r="CA659" s="141"/>
      <c r="CB659" s="141"/>
      <c r="CC659" s="141"/>
      <c r="CD659" s="141"/>
      <c r="CE659" s="141"/>
      <c r="CF659" s="141"/>
      <c r="CG659" s="141"/>
      <c r="CH659" s="141"/>
      <c r="CI659" s="141"/>
      <c r="CJ659" s="141"/>
      <c r="CK659" s="141"/>
    </row>
    <row r="660" spans="74:89" ht="49.5" customHeight="1" x14ac:dyDescent="0.35">
      <c r="BV660" s="140"/>
      <c r="BY660" s="141"/>
      <c r="BZ660" s="141"/>
      <c r="CA660" s="141"/>
      <c r="CB660" s="141"/>
      <c r="CC660" s="141"/>
      <c r="CD660" s="141"/>
      <c r="CE660" s="141"/>
      <c r="CF660" s="141"/>
      <c r="CG660" s="141"/>
      <c r="CH660" s="141"/>
      <c r="CI660" s="141"/>
      <c r="CJ660" s="141"/>
      <c r="CK660" s="141"/>
    </row>
    <row r="661" spans="74:89" ht="49.5" customHeight="1" x14ac:dyDescent="0.35">
      <c r="BV661" s="140"/>
      <c r="BY661" s="141"/>
      <c r="BZ661" s="141"/>
      <c r="CA661" s="141"/>
      <c r="CB661" s="141"/>
      <c r="CC661" s="141"/>
      <c r="CD661" s="141"/>
      <c r="CE661" s="141"/>
      <c r="CF661" s="141"/>
      <c r="CG661" s="141"/>
      <c r="CH661" s="141"/>
      <c r="CI661" s="141"/>
      <c r="CJ661" s="141"/>
      <c r="CK661" s="141"/>
    </row>
    <row r="662" spans="74:89" ht="49.5" customHeight="1" x14ac:dyDescent="0.35">
      <c r="BV662" s="140"/>
      <c r="BY662" s="141"/>
      <c r="BZ662" s="141"/>
      <c r="CA662" s="141"/>
      <c r="CB662" s="141"/>
      <c r="CC662" s="141"/>
      <c r="CD662" s="141"/>
      <c r="CE662" s="141"/>
      <c r="CF662" s="141"/>
      <c r="CG662" s="141"/>
      <c r="CH662" s="141"/>
      <c r="CI662" s="141"/>
      <c r="CJ662" s="141"/>
      <c r="CK662" s="141"/>
    </row>
    <row r="663" spans="74:89" ht="49.5" customHeight="1" x14ac:dyDescent="0.35">
      <c r="BV663" s="140"/>
      <c r="BY663" s="141"/>
      <c r="BZ663" s="141"/>
      <c r="CA663" s="141"/>
      <c r="CB663" s="141"/>
      <c r="CC663" s="141"/>
      <c r="CD663" s="141"/>
      <c r="CE663" s="141"/>
      <c r="CF663" s="141"/>
      <c r="CG663" s="141"/>
      <c r="CH663" s="141"/>
      <c r="CI663" s="141"/>
      <c r="CJ663" s="141"/>
      <c r="CK663" s="141"/>
    </row>
    <row r="664" spans="74:89" ht="49.5" customHeight="1" x14ac:dyDescent="0.35">
      <c r="BV664" s="140"/>
      <c r="BY664" s="141"/>
      <c r="BZ664" s="141"/>
      <c r="CA664" s="141"/>
      <c r="CB664" s="141"/>
      <c r="CC664" s="141"/>
      <c r="CD664" s="141"/>
      <c r="CE664" s="141"/>
      <c r="CF664" s="141"/>
      <c r="CG664" s="141"/>
      <c r="CH664" s="141"/>
      <c r="CI664" s="141"/>
      <c r="CJ664" s="141"/>
      <c r="CK664" s="141"/>
    </row>
    <row r="665" spans="74:89" ht="49.5" customHeight="1" x14ac:dyDescent="0.35">
      <c r="BV665" s="140"/>
      <c r="BY665" s="141"/>
      <c r="BZ665" s="141"/>
      <c r="CA665" s="141"/>
      <c r="CB665" s="141"/>
      <c r="CC665" s="141"/>
      <c r="CD665" s="141"/>
      <c r="CE665" s="141"/>
      <c r="CF665" s="141"/>
      <c r="CG665" s="141"/>
      <c r="CH665" s="141"/>
      <c r="CI665" s="141"/>
      <c r="CJ665" s="141"/>
      <c r="CK665" s="141"/>
    </row>
    <row r="666" spans="74:89" ht="49.5" customHeight="1" x14ac:dyDescent="0.35">
      <c r="BV666" s="140"/>
      <c r="BY666" s="141"/>
      <c r="BZ666" s="141"/>
      <c r="CA666" s="141"/>
      <c r="CB666" s="141"/>
      <c r="CC666" s="141"/>
      <c r="CD666" s="141"/>
      <c r="CE666" s="141"/>
      <c r="CF666" s="141"/>
      <c r="CG666" s="141"/>
      <c r="CH666" s="141"/>
      <c r="CI666" s="141"/>
      <c r="CJ666" s="141"/>
      <c r="CK666" s="141"/>
    </row>
    <row r="667" spans="74:89" ht="49.5" customHeight="1" x14ac:dyDescent="0.35">
      <c r="BV667" s="140"/>
      <c r="BY667" s="141"/>
      <c r="BZ667" s="141"/>
      <c r="CA667" s="141"/>
      <c r="CB667" s="141"/>
      <c r="CC667" s="141"/>
      <c r="CD667" s="141"/>
      <c r="CE667" s="141"/>
      <c r="CF667" s="141"/>
      <c r="CG667" s="141"/>
      <c r="CH667" s="141"/>
      <c r="CI667" s="141"/>
      <c r="CJ667" s="141"/>
      <c r="CK667" s="141"/>
    </row>
    <row r="668" spans="74:89" ht="49.5" customHeight="1" x14ac:dyDescent="0.35">
      <c r="BV668" s="140"/>
      <c r="BY668" s="141"/>
      <c r="BZ668" s="141"/>
      <c r="CA668" s="141"/>
      <c r="CB668" s="141"/>
      <c r="CC668" s="141"/>
      <c r="CD668" s="141"/>
      <c r="CE668" s="141"/>
      <c r="CF668" s="141"/>
      <c r="CG668" s="141"/>
      <c r="CH668" s="141"/>
      <c r="CI668" s="141"/>
      <c r="CJ668" s="141"/>
      <c r="CK668" s="141"/>
    </row>
    <row r="669" spans="74:89" ht="49.5" customHeight="1" x14ac:dyDescent="0.35">
      <c r="BV669" s="140"/>
      <c r="BY669" s="141"/>
      <c r="BZ669" s="141"/>
      <c r="CA669" s="141"/>
      <c r="CB669" s="141"/>
      <c r="CC669" s="141"/>
      <c r="CD669" s="141"/>
      <c r="CE669" s="141"/>
      <c r="CF669" s="141"/>
      <c r="CG669" s="141"/>
      <c r="CH669" s="141"/>
      <c r="CI669" s="141"/>
      <c r="CJ669" s="141"/>
      <c r="CK669" s="141"/>
    </row>
    <row r="670" spans="74:89" ht="49.5" customHeight="1" x14ac:dyDescent="0.35">
      <c r="BV670" s="140"/>
      <c r="BY670" s="141"/>
      <c r="BZ670" s="141"/>
      <c r="CA670" s="141"/>
      <c r="CB670" s="141"/>
      <c r="CC670" s="141"/>
      <c r="CD670" s="141"/>
      <c r="CE670" s="141"/>
      <c r="CF670" s="141"/>
      <c r="CG670" s="141"/>
      <c r="CH670" s="141"/>
      <c r="CI670" s="141"/>
      <c r="CJ670" s="141"/>
      <c r="CK670" s="141"/>
    </row>
    <row r="671" spans="74:89" ht="49.5" customHeight="1" x14ac:dyDescent="0.35">
      <c r="BV671" s="140"/>
      <c r="BY671" s="141"/>
      <c r="BZ671" s="141"/>
      <c r="CA671" s="141"/>
      <c r="CB671" s="141"/>
      <c r="CC671" s="141"/>
      <c r="CD671" s="141"/>
      <c r="CE671" s="141"/>
      <c r="CF671" s="141"/>
      <c r="CG671" s="141"/>
      <c r="CH671" s="141"/>
      <c r="CI671" s="141"/>
      <c r="CJ671" s="141"/>
      <c r="CK671" s="141"/>
    </row>
    <row r="672" spans="74:89" ht="49.5" customHeight="1" x14ac:dyDescent="0.35">
      <c r="BV672" s="140"/>
      <c r="BY672" s="141"/>
      <c r="BZ672" s="141"/>
      <c r="CA672" s="141"/>
      <c r="CB672" s="141"/>
      <c r="CC672" s="141"/>
      <c r="CD672" s="141"/>
      <c r="CE672" s="141"/>
      <c r="CF672" s="141"/>
      <c r="CG672" s="141"/>
      <c r="CH672" s="141"/>
      <c r="CI672" s="141"/>
      <c r="CJ672" s="141"/>
      <c r="CK672" s="141"/>
    </row>
    <row r="673" spans="74:89" ht="49.5" customHeight="1" x14ac:dyDescent="0.35">
      <c r="BV673" s="140"/>
      <c r="BY673" s="141"/>
      <c r="BZ673" s="141"/>
      <c r="CA673" s="141"/>
      <c r="CB673" s="141"/>
      <c r="CC673" s="141"/>
      <c r="CD673" s="141"/>
      <c r="CE673" s="141"/>
      <c r="CF673" s="141"/>
      <c r="CG673" s="141"/>
      <c r="CH673" s="141"/>
      <c r="CI673" s="141"/>
      <c r="CJ673" s="141"/>
      <c r="CK673" s="141"/>
    </row>
    <row r="674" spans="74:89" ht="49.5" customHeight="1" x14ac:dyDescent="0.35">
      <c r="BV674" s="140"/>
      <c r="BY674" s="141"/>
      <c r="BZ674" s="141"/>
      <c r="CA674" s="141"/>
      <c r="CB674" s="141"/>
      <c r="CC674" s="141"/>
      <c r="CD674" s="141"/>
      <c r="CE674" s="141"/>
      <c r="CF674" s="141"/>
      <c r="CG674" s="141"/>
      <c r="CH674" s="141"/>
      <c r="CI674" s="141"/>
      <c r="CJ674" s="141"/>
      <c r="CK674" s="141"/>
    </row>
    <row r="675" spans="74:89" ht="49.5" customHeight="1" x14ac:dyDescent="0.35">
      <c r="BV675" s="140"/>
      <c r="BY675" s="141"/>
      <c r="BZ675" s="141"/>
      <c r="CA675" s="141"/>
      <c r="CB675" s="141"/>
      <c r="CC675" s="141"/>
      <c r="CD675" s="141"/>
      <c r="CE675" s="141"/>
      <c r="CF675" s="141"/>
      <c r="CG675" s="141"/>
      <c r="CH675" s="141"/>
      <c r="CI675" s="141"/>
      <c r="CJ675" s="141"/>
      <c r="CK675" s="141"/>
    </row>
    <row r="676" spans="74:89" ht="49.5" customHeight="1" x14ac:dyDescent="0.35">
      <c r="BV676" s="140"/>
      <c r="BY676" s="141"/>
      <c r="BZ676" s="141"/>
      <c r="CA676" s="141"/>
      <c r="CB676" s="141"/>
      <c r="CC676" s="141"/>
      <c r="CD676" s="141"/>
      <c r="CE676" s="141"/>
      <c r="CF676" s="141"/>
      <c r="CG676" s="141"/>
      <c r="CH676" s="141"/>
      <c r="CI676" s="141"/>
      <c r="CJ676" s="141"/>
      <c r="CK676" s="141"/>
    </row>
    <row r="677" spans="74:89" ht="49.5" customHeight="1" x14ac:dyDescent="0.35">
      <c r="BV677" s="140"/>
      <c r="BY677" s="141"/>
      <c r="BZ677" s="141"/>
      <c r="CA677" s="141"/>
      <c r="CB677" s="141"/>
      <c r="CC677" s="141"/>
      <c r="CD677" s="141"/>
      <c r="CE677" s="141"/>
      <c r="CF677" s="141"/>
      <c r="CG677" s="141"/>
      <c r="CH677" s="141"/>
      <c r="CI677" s="141"/>
      <c r="CJ677" s="141"/>
      <c r="CK677" s="141"/>
    </row>
    <row r="678" spans="74:89" ht="49.5" customHeight="1" x14ac:dyDescent="0.35">
      <c r="BV678" s="140"/>
      <c r="BY678" s="141"/>
      <c r="BZ678" s="141"/>
      <c r="CA678" s="141"/>
      <c r="CB678" s="141"/>
      <c r="CC678" s="141"/>
      <c r="CD678" s="141"/>
      <c r="CE678" s="141"/>
      <c r="CF678" s="141"/>
      <c r="CG678" s="141"/>
      <c r="CH678" s="141"/>
      <c r="CI678" s="141"/>
      <c r="CJ678" s="141"/>
      <c r="CK678" s="141"/>
    </row>
    <row r="679" spans="74:89" ht="49.5" customHeight="1" x14ac:dyDescent="0.35">
      <c r="BV679" s="140"/>
      <c r="BY679" s="141"/>
      <c r="BZ679" s="141"/>
      <c r="CA679" s="141"/>
      <c r="CB679" s="141"/>
      <c r="CC679" s="141"/>
      <c r="CD679" s="141"/>
      <c r="CE679" s="141"/>
      <c r="CF679" s="141"/>
      <c r="CG679" s="141"/>
      <c r="CH679" s="141"/>
      <c r="CI679" s="141"/>
      <c r="CJ679" s="141"/>
      <c r="CK679" s="141"/>
    </row>
    <row r="680" spans="74:89" ht="49.5" customHeight="1" x14ac:dyDescent="0.35">
      <c r="BV680" s="140"/>
      <c r="BY680" s="141"/>
      <c r="BZ680" s="141"/>
      <c r="CA680" s="141"/>
      <c r="CB680" s="141"/>
      <c r="CC680" s="141"/>
      <c r="CD680" s="141"/>
      <c r="CE680" s="141"/>
      <c r="CF680" s="141"/>
      <c r="CG680" s="141"/>
      <c r="CH680" s="141"/>
      <c r="CI680" s="141"/>
      <c r="CJ680" s="141"/>
      <c r="CK680" s="141"/>
    </row>
    <row r="681" spans="74:89" ht="49.5" customHeight="1" x14ac:dyDescent="0.35">
      <c r="BV681" s="140"/>
      <c r="BY681" s="141"/>
      <c r="BZ681" s="141"/>
      <c r="CA681" s="141"/>
      <c r="CB681" s="141"/>
      <c r="CC681" s="141"/>
      <c r="CD681" s="141"/>
      <c r="CE681" s="141"/>
      <c r="CF681" s="141"/>
      <c r="CG681" s="141"/>
      <c r="CH681" s="141"/>
      <c r="CI681" s="141"/>
      <c r="CJ681" s="141"/>
      <c r="CK681" s="141"/>
    </row>
    <row r="682" spans="74:89" ht="49.5" customHeight="1" x14ac:dyDescent="0.35">
      <c r="BV682" s="140"/>
      <c r="BY682" s="141"/>
      <c r="BZ682" s="141"/>
      <c r="CA682" s="141"/>
      <c r="CB682" s="141"/>
      <c r="CC682" s="141"/>
      <c r="CD682" s="141"/>
      <c r="CE682" s="141"/>
      <c r="CF682" s="141"/>
      <c r="CG682" s="141"/>
      <c r="CH682" s="141"/>
      <c r="CI682" s="141"/>
      <c r="CJ682" s="141"/>
      <c r="CK682" s="141"/>
    </row>
    <row r="683" spans="74:89" ht="49.5" customHeight="1" x14ac:dyDescent="0.35">
      <c r="BV683" s="140"/>
      <c r="BY683" s="141"/>
      <c r="BZ683" s="141"/>
      <c r="CA683" s="141"/>
      <c r="CB683" s="141"/>
      <c r="CC683" s="141"/>
      <c r="CD683" s="141"/>
      <c r="CE683" s="141"/>
      <c r="CF683" s="141"/>
      <c r="CG683" s="141"/>
      <c r="CH683" s="141"/>
      <c r="CI683" s="141"/>
      <c r="CJ683" s="141"/>
      <c r="CK683" s="141"/>
    </row>
    <row r="684" spans="74:89" ht="49.5" customHeight="1" x14ac:dyDescent="0.35">
      <c r="BV684" s="140"/>
      <c r="BY684" s="141"/>
      <c r="BZ684" s="141"/>
      <c r="CA684" s="141"/>
      <c r="CB684" s="141"/>
      <c r="CC684" s="141"/>
      <c r="CD684" s="141"/>
      <c r="CE684" s="141"/>
      <c r="CF684" s="141"/>
      <c r="CG684" s="141"/>
      <c r="CH684" s="141"/>
      <c r="CI684" s="141"/>
      <c r="CJ684" s="141"/>
      <c r="CK684" s="141"/>
    </row>
    <row r="685" spans="74:89" ht="49.5" customHeight="1" x14ac:dyDescent="0.35">
      <c r="BV685" s="140"/>
      <c r="BY685" s="141"/>
      <c r="BZ685" s="141"/>
      <c r="CA685" s="141"/>
      <c r="CB685" s="141"/>
      <c r="CC685" s="141"/>
      <c r="CD685" s="141"/>
      <c r="CE685" s="141"/>
      <c r="CF685" s="141"/>
      <c r="CG685" s="141"/>
      <c r="CH685" s="141"/>
      <c r="CI685" s="141"/>
      <c r="CJ685" s="141"/>
      <c r="CK685" s="141"/>
    </row>
    <row r="686" spans="74:89" ht="49.5" customHeight="1" x14ac:dyDescent="0.35">
      <c r="BV686" s="140"/>
      <c r="BY686" s="141"/>
      <c r="BZ686" s="141"/>
      <c r="CA686" s="141"/>
      <c r="CB686" s="141"/>
      <c r="CC686" s="141"/>
      <c r="CD686" s="141"/>
      <c r="CE686" s="141"/>
      <c r="CF686" s="141"/>
      <c r="CG686" s="141"/>
      <c r="CH686" s="141"/>
      <c r="CI686" s="141"/>
      <c r="CJ686" s="141"/>
      <c r="CK686" s="141"/>
    </row>
    <row r="687" spans="74:89" ht="49.5" customHeight="1" x14ac:dyDescent="0.35">
      <c r="BV687" s="140"/>
      <c r="BY687" s="141"/>
      <c r="BZ687" s="141"/>
      <c r="CA687" s="141"/>
      <c r="CB687" s="141"/>
      <c r="CC687" s="141"/>
      <c r="CD687" s="141"/>
      <c r="CE687" s="141"/>
      <c r="CF687" s="141"/>
      <c r="CG687" s="141"/>
      <c r="CH687" s="141"/>
      <c r="CI687" s="141"/>
      <c r="CJ687" s="141"/>
      <c r="CK687" s="141"/>
    </row>
    <row r="688" spans="74:89" ht="49.5" customHeight="1" x14ac:dyDescent="0.35">
      <c r="BV688" s="140"/>
      <c r="BY688" s="141"/>
      <c r="BZ688" s="141"/>
      <c r="CA688" s="141"/>
      <c r="CB688" s="141"/>
      <c r="CC688" s="141"/>
      <c r="CD688" s="141"/>
      <c r="CE688" s="141"/>
      <c r="CF688" s="141"/>
      <c r="CG688" s="141"/>
      <c r="CH688" s="141"/>
      <c r="CI688" s="141"/>
      <c r="CJ688" s="141"/>
      <c r="CK688" s="141"/>
    </row>
    <row r="689" spans="74:89" ht="49.5" customHeight="1" x14ac:dyDescent="0.35">
      <c r="BV689" s="140"/>
      <c r="BY689" s="141"/>
      <c r="BZ689" s="141"/>
      <c r="CA689" s="141"/>
      <c r="CB689" s="141"/>
      <c r="CC689" s="141"/>
      <c r="CD689" s="141"/>
      <c r="CE689" s="141"/>
      <c r="CF689" s="141"/>
      <c r="CG689" s="141"/>
      <c r="CH689" s="141"/>
      <c r="CI689" s="141"/>
      <c r="CJ689" s="141"/>
      <c r="CK689" s="141"/>
    </row>
    <row r="690" spans="74:89" ht="49.5" customHeight="1" x14ac:dyDescent="0.35">
      <c r="BV690" s="140"/>
      <c r="BY690" s="141"/>
      <c r="BZ690" s="141"/>
      <c r="CA690" s="141"/>
      <c r="CB690" s="141"/>
      <c r="CC690" s="141"/>
      <c r="CD690" s="141"/>
      <c r="CE690" s="141"/>
      <c r="CF690" s="141"/>
      <c r="CG690" s="141"/>
      <c r="CH690" s="141"/>
      <c r="CI690" s="141"/>
      <c r="CJ690" s="141"/>
      <c r="CK690" s="141"/>
    </row>
    <row r="691" spans="74:89" ht="49.5" customHeight="1" x14ac:dyDescent="0.35">
      <c r="BV691" s="140"/>
      <c r="BY691" s="141"/>
      <c r="BZ691" s="141"/>
      <c r="CA691" s="141"/>
      <c r="CB691" s="141"/>
      <c r="CC691" s="141"/>
      <c r="CD691" s="141"/>
      <c r="CE691" s="141"/>
      <c r="CF691" s="141"/>
      <c r="CG691" s="141"/>
      <c r="CH691" s="141"/>
      <c r="CI691" s="141"/>
      <c r="CJ691" s="141"/>
      <c r="CK691" s="141"/>
    </row>
    <row r="692" spans="74:89" ht="49.5" customHeight="1" x14ac:dyDescent="0.35">
      <c r="BV692" s="140"/>
      <c r="BY692" s="141"/>
      <c r="BZ692" s="141"/>
      <c r="CA692" s="141"/>
      <c r="CB692" s="141"/>
      <c r="CC692" s="141"/>
      <c r="CD692" s="141"/>
      <c r="CE692" s="141"/>
      <c r="CF692" s="141"/>
      <c r="CG692" s="141"/>
      <c r="CH692" s="141"/>
      <c r="CI692" s="141"/>
      <c r="CJ692" s="141"/>
      <c r="CK692" s="141"/>
    </row>
    <row r="693" spans="74:89" ht="49.5" customHeight="1" x14ac:dyDescent="0.35">
      <c r="BV693" s="140"/>
      <c r="BY693" s="141"/>
      <c r="BZ693" s="141"/>
      <c r="CA693" s="141"/>
      <c r="CB693" s="141"/>
      <c r="CC693" s="141"/>
      <c r="CD693" s="141"/>
      <c r="CE693" s="141"/>
      <c r="CF693" s="141"/>
      <c r="CG693" s="141"/>
      <c r="CH693" s="141"/>
      <c r="CI693" s="141"/>
      <c r="CJ693" s="141"/>
      <c r="CK693" s="141"/>
    </row>
    <row r="694" spans="74:89" ht="49.5" customHeight="1" x14ac:dyDescent="0.35">
      <c r="BV694" s="140"/>
      <c r="BY694" s="141"/>
      <c r="BZ694" s="141"/>
      <c r="CA694" s="141"/>
      <c r="CB694" s="141"/>
      <c r="CC694" s="141"/>
      <c r="CD694" s="141"/>
      <c r="CE694" s="141"/>
      <c r="CF694" s="141"/>
      <c r="CG694" s="141"/>
      <c r="CH694" s="141"/>
      <c r="CI694" s="141"/>
      <c r="CJ694" s="141"/>
      <c r="CK694" s="141"/>
    </row>
    <row r="695" spans="74:89" ht="49.5" customHeight="1" x14ac:dyDescent="0.35">
      <c r="BV695" s="140"/>
      <c r="BY695" s="141"/>
      <c r="BZ695" s="141"/>
      <c r="CA695" s="141"/>
      <c r="CB695" s="141"/>
      <c r="CC695" s="141"/>
      <c r="CD695" s="141"/>
      <c r="CE695" s="141"/>
      <c r="CF695" s="141"/>
      <c r="CG695" s="141"/>
      <c r="CH695" s="141"/>
      <c r="CI695" s="141"/>
      <c r="CJ695" s="141"/>
      <c r="CK695" s="141"/>
    </row>
    <row r="696" spans="74:89" ht="49.5" customHeight="1" x14ac:dyDescent="0.35">
      <c r="BV696" s="140"/>
      <c r="BY696" s="141"/>
      <c r="BZ696" s="141"/>
      <c r="CA696" s="141"/>
      <c r="CB696" s="141"/>
      <c r="CC696" s="141"/>
      <c r="CD696" s="141"/>
      <c r="CE696" s="141"/>
      <c r="CF696" s="141"/>
      <c r="CG696" s="141"/>
      <c r="CH696" s="141"/>
      <c r="CI696" s="141"/>
      <c r="CJ696" s="141"/>
      <c r="CK696" s="141"/>
    </row>
    <row r="697" spans="74:89" ht="49.5" customHeight="1" x14ac:dyDescent="0.35">
      <c r="BV697" s="140"/>
      <c r="BY697" s="141"/>
      <c r="BZ697" s="141"/>
      <c r="CA697" s="141"/>
      <c r="CB697" s="141"/>
      <c r="CC697" s="141"/>
      <c r="CD697" s="141"/>
      <c r="CE697" s="141"/>
      <c r="CF697" s="141"/>
      <c r="CG697" s="141"/>
      <c r="CH697" s="141"/>
      <c r="CI697" s="141"/>
      <c r="CJ697" s="141"/>
      <c r="CK697" s="141"/>
    </row>
    <row r="698" spans="74:89" ht="49.5" customHeight="1" x14ac:dyDescent="0.35">
      <c r="BV698" s="140"/>
      <c r="BY698" s="141"/>
      <c r="BZ698" s="141"/>
      <c r="CA698" s="141"/>
      <c r="CB698" s="141"/>
      <c r="CC698" s="141"/>
      <c r="CD698" s="141"/>
      <c r="CE698" s="141"/>
      <c r="CF698" s="141"/>
      <c r="CG698" s="141"/>
      <c r="CH698" s="141"/>
      <c r="CI698" s="141"/>
      <c r="CJ698" s="141"/>
      <c r="CK698" s="141"/>
    </row>
    <row r="699" spans="74:89" ht="49.5" customHeight="1" x14ac:dyDescent="0.35">
      <c r="BV699" s="140"/>
      <c r="BY699" s="141"/>
      <c r="BZ699" s="141"/>
      <c r="CA699" s="141"/>
      <c r="CB699" s="141"/>
      <c r="CC699" s="141"/>
      <c r="CD699" s="141"/>
      <c r="CE699" s="141"/>
      <c r="CF699" s="141"/>
      <c r="CG699" s="141"/>
      <c r="CH699" s="141"/>
      <c r="CI699" s="141"/>
      <c r="CJ699" s="141"/>
      <c r="CK699" s="141"/>
    </row>
    <row r="700" spans="74:89" ht="49.5" customHeight="1" x14ac:dyDescent="0.35">
      <c r="BV700" s="140"/>
      <c r="BY700" s="141"/>
      <c r="BZ700" s="141"/>
      <c r="CA700" s="141"/>
      <c r="CB700" s="141"/>
      <c r="CC700" s="141"/>
      <c r="CD700" s="141"/>
      <c r="CE700" s="141"/>
      <c r="CF700" s="141"/>
      <c r="CG700" s="141"/>
      <c r="CH700" s="141"/>
      <c r="CI700" s="141"/>
      <c r="CJ700" s="141"/>
      <c r="CK700" s="141"/>
    </row>
    <row r="701" spans="74:89" ht="49.5" customHeight="1" x14ac:dyDescent="0.35">
      <c r="BV701" s="140"/>
      <c r="BY701" s="141"/>
      <c r="BZ701" s="141"/>
      <c r="CA701" s="141"/>
      <c r="CB701" s="141"/>
      <c r="CC701" s="141"/>
      <c r="CD701" s="141"/>
      <c r="CE701" s="141"/>
      <c r="CF701" s="141"/>
      <c r="CG701" s="141"/>
      <c r="CH701" s="141"/>
      <c r="CI701" s="141"/>
      <c r="CJ701" s="141"/>
      <c r="CK701" s="141"/>
    </row>
    <row r="702" spans="74:89" ht="49.5" customHeight="1" x14ac:dyDescent="0.35">
      <c r="BV702" s="140"/>
      <c r="BY702" s="141"/>
      <c r="BZ702" s="141"/>
      <c r="CA702" s="141"/>
      <c r="CB702" s="141"/>
      <c r="CC702" s="141"/>
      <c r="CD702" s="141"/>
      <c r="CE702" s="141"/>
      <c r="CF702" s="141"/>
      <c r="CG702" s="141"/>
      <c r="CH702" s="141"/>
      <c r="CI702" s="141"/>
      <c r="CJ702" s="141"/>
      <c r="CK702" s="141"/>
    </row>
    <row r="703" spans="74:89" ht="49.5" customHeight="1" x14ac:dyDescent="0.35">
      <c r="BV703" s="140"/>
      <c r="BY703" s="141"/>
      <c r="BZ703" s="141"/>
      <c r="CA703" s="141"/>
      <c r="CB703" s="141"/>
      <c r="CC703" s="141"/>
      <c r="CD703" s="141"/>
      <c r="CE703" s="141"/>
      <c r="CF703" s="141"/>
      <c r="CG703" s="141"/>
      <c r="CH703" s="141"/>
      <c r="CI703" s="141"/>
      <c r="CJ703" s="141"/>
      <c r="CK703" s="141"/>
    </row>
    <row r="704" spans="74:89" ht="49.5" customHeight="1" x14ac:dyDescent="0.35">
      <c r="BV704" s="140"/>
      <c r="BY704" s="141"/>
      <c r="BZ704" s="141"/>
      <c r="CA704" s="141"/>
      <c r="CB704" s="141"/>
      <c r="CC704" s="141"/>
      <c r="CD704" s="141"/>
      <c r="CE704" s="141"/>
      <c r="CF704" s="141"/>
      <c r="CG704" s="141"/>
      <c r="CH704" s="141"/>
      <c r="CI704" s="141"/>
      <c r="CJ704" s="141"/>
      <c r="CK704" s="141"/>
    </row>
    <row r="705" spans="74:89" ht="49.5" customHeight="1" x14ac:dyDescent="0.35">
      <c r="BV705" s="140"/>
      <c r="BY705" s="141"/>
      <c r="BZ705" s="141"/>
      <c r="CA705" s="141"/>
      <c r="CB705" s="141"/>
      <c r="CC705" s="141"/>
      <c r="CD705" s="141"/>
      <c r="CE705" s="141"/>
      <c r="CF705" s="141"/>
      <c r="CG705" s="141"/>
      <c r="CH705" s="141"/>
      <c r="CI705" s="141"/>
      <c r="CJ705" s="141"/>
      <c r="CK705" s="141"/>
    </row>
    <row r="706" spans="74:89" ht="49.5" customHeight="1" x14ac:dyDescent="0.35">
      <c r="BV706" s="140"/>
      <c r="BY706" s="141"/>
      <c r="BZ706" s="141"/>
      <c r="CA706" s="141"/>
      <c r="CB706" s="141"/>
      <c r="CC706" s="141"/>
      <c r="CD706" s="141"/>
      <c r="CE706" s="141"/>
      <c r="CF706" s="141"/>
      <c r="CG706" s="141"/>
      <c r="CH706" s="141"/>
      <c r="CI706" s="141"/>
      <c r="CJ706" s="141"/>
      <c r="CK706" s="141"/>
    </row>
    <row r="707" spans="74:89" ht="49.5" customHeight="1" x14ac:dyDescent="0.35">
      <c r="BV707" s="140"/>
      <c r="BY707" s="141"/>
      <c r="BZ707" s="141"/>
      <c r="CA707" s="141"/>
      <c r="CB707" s="141"/>
      <c r="CC707" s="141"/>
      <c r="CD707" s="141"/>
      <c r="CE707" s="141"/>
      <c r="CF707" s="141"/>
      <c r="CG707" s="141"/>
      <c r="CH707" s="141"/>
      <c r="CI707" s="141"/>
      <c r="CJ707" s="141"/>
      <c r="CK707" s="141"/>
    </row>
    <row r="708" spans="74:89" ht="49.5" customHeight="1" x14ac:dyDescent="0.35">
      <c r="BV708" s="140"/>
      <c r="BY708" s="141"/>
      <c r="BZ708" s="141"/>
      <c r="CA708" s="141"/>
      <c r="CB708" s="141"/>
      <c r="CC708" s="141"/>
      <c r="CD708" s="141"/>
      <c r="CE708" s="141"/>
      <c r="CF708" s="141"/>
      <c r="CG708" s="141"/>
      <c r="CH708" s="141"/>
      <c r="CI708" s="141"/>
      <c r="CJ708" s="141"/>
      <c r="CK708" s="141"/>
    </row>
    <row r="709" spans="74:89" ht="49.5" customHeight="1" x14ac:dyDescent="0.35">
      <c r="BV709" s="140"/>
      <c r="BY709" s="141"/>
      <c r="BZ709" s="141"/>
      <c r="CA709" s="141"/>
      <c r="CB709" s="141"/>
      <c r="CC709" s="141"/>
      <c r="CD709" s="141"/>
      <c r="CE709" s="141"/>
      <c r="CF709" s="141"/>
      <c r="CG709" s="141"/>
      <c r="CH709" s="141"/>
      <c r="CI709" s="141"/>
      <c r="CJ709" s="141"/>
      <c r="CK709" s="141"/>
    </row>
    <row r="710" spans="74:89" ht="49.5" customHeight="1" x14ac:dyDescent="0.35">
      <c r="BV710" s="140"/>
      <c r="BY710" s="141"/>
      <c r="BZ710" s="141"/>
      <c r="CA710" s="141"/>
      <c r="CB710" s="141"/>
      <c r="CC710" s="141"/>
      <c r="CD710" s="141"/>
      <c r="CE710" s="141"/>
      <c r="CF710" s="141"/>
      <c r="CG710" s="141"/>
      <c r="CH710" s="141"/>
      <c r="CI710" s="141"/>
      <c r="CJ710" s="141"/>
      <c r="CK710" s="141"/>
    </row>
    <row r="711" spans="74:89" ht="49.5" customHeight="1" x14ac:dyDescent="0.35">
      <c r="BV711" s="140"/>
      <c r="BY711" s="141"/>
      <c r="BZ711" s="141"/>
      <c r="CA711" s="141"/>
      <c r="CB711" s="141"/>
      <c r="CC711" s="141"/>
      <c r="CD711" s="141"/>
      <c r="CE711" s="141"/>
      <c r="CF711" s="141"/>
      <c r="CG711" s="141"/>
      <c r="CH711" s="141"/>
      <c r="CI711" s="141"/>
      <c r="CJ711" s="141"/>
      <c r="CK711" s="141"/>
    </row>
    <row r="712" spans="74:89" ht="49.5" customHeight="1" x14ac:dyDescent="0.35">
      <c r="BV712" s="140"/>
      <c r="BY712" s="141"/>
      <c r="BZ712" s="141"/>
      <c r="CA712" s="141"/>
      <c r="CB712" s="141"/>
      <c r="CC712" s="141"/>
      <c r="CD712" s="141"/>
      <c r="CE712" s="141"/>
      <c r="CF712" s="141"/>
      <c r="CG712" s="141"/>
      <c r="CH712" s="141"/>
      <c r="CI712" s="141"/>
      <c r="CJ712" s="141"/>
      <c r="CK712" s="141"/>
    </row>
    <row r="713" spans="74:89" ht="49.5" customHeight="1" x14ac:dyDescent="0.35">
      <c r="BV713" s="140"/>
      <c r="BY713" s="141"/>
      <c r="BZ713" s="141"/>
      <c r="CA713" s="141"/>
      <c r="CB713" s="141"/>
      <c r="CC713" s="141"/>
      <c r="CD713" s="141"/>
      <c r="CE713" s="141"/>
      <c r="CF713" s="141"/>
      <c r="CG713" s="141"/>
      <c r="CH713" s="141"/>
      <c r="CI713" s="141"/>
      <c r="CJ713" s="141"/>
      <c r="CK713" s="141"/>
    </row>
    <row r="714" spans="74:89" ht="49.5" customHeight="1" x14ac:dyDescent="0.35">
      <c r="BV714" s="140"/>
      <c r="BY714" s="141"/>
      <c r="BZ714" s="141"/>
      <c r="CA714" s="141"/>
      <c r="CB714" s="141"/>
      <c r="CC714" s="141"/>
      <c r="CD714" s="141"/>
      <c r="CE714" s="141"/>
      <c r="CF714" s="141"/>
      <c r="CG714" s="141"/>
      <c r="CH714" s="141"/>
      <c r="CI714" s="141"/>
      <c r="CJ714" s="141"/>
      <c r="CK714" s="141"/>
    </row>
    <row r="715" spans="74:89" ht="49.5" customHeight="1" x14ac:dyDescent="0.35">
      <c r="BV715" s="140"/>
      <c r="BY715" s="141"/>
      <c r="BZ715" s="141"/>
      <c r="CA715" s="141"/>
      <c r="CB715" s="141"/>
      <c r="CC715" s="141"/>
      <c r="CD715" s="141"/>
      <c r="CE715" s="141"/>
      <c r="CF715" s="141"/>
      <c r="CG715" s="141"/>
      <c r="CH715" s="141"/>
      <c r="CI715" s="141"/>
      <c r="CJ715" s="141"/>
      <c r="CK715" s="141"/>
    </row>
    <row r="716" spans="74:89" ht="49.5" customHeight="1" x14ac:dyDescent="0.35">
      <c r="BV716" s="140"/>
      <c r="BY716" s="141"/>
      <c r="BZ716" s="141"/>
      <c r="CA716" s="141"/>
      <c r="CB716" s="141"/>
      <c r="CC716" s="141"/>
      <c r="CD716" s="141"/>
      <c r="CE716" s="141"/>
      <c r="CF716" s="141"/>
      <c r="CG716" s="141"/>
      <c r="CH716" s="141"/>
      <c r="CI716" s="141"/>
      <c r="CJ716" s="141"/>
      <c r="CK716" s="141"/>
    </row>
    <row r="717" spans="74:89" ht="49.5" customHeight="1" x14ac:dyDescent="0.35">
      <c r="BV717" s="140"/>
      <c r="BY717" s="141"/>
      <c r="BZ717" s="141"/>
      <c r="CA717" s="141"/>
      <c r="CB717" s="141"/>
      <c r="CC717" s="141"/>
      <c r="CD717" s="141"/>
      <c r="CE717" s="141"/>
      <c r="CF717" s="141"/>
      <c r="CG717" s="141"/>
      <c r="CH717" s="141"/>
      <c r="CI717" s="141"/>
      <c r="CJ717" s="141"/>
      <c r="CK717" s="141"/>
    </row>
    <row r="718" spans="74:89" ht="49.5" customHeight="1" x14ac:dyDescent="0.35">
      <c r="BV718" s="140"/>
      <c r="BY718" s="141"/>
      <c r="BZ718" s="141"/>
      <c r="CA718" s="141"/>
      <c r="CB718" s="141"/>
      <c r="CC718" s="141"/>
      <c r="CD718" s="141"/>
      <c r="CE718" s="141"/>
      <c r="CF718" s="141"/>
      <c r="CG718" s="141"/>
      <c r="CH718" s="141"/>
      <c r="CI718" s="141"/>
      <c r="CJ718" s="141"/>
      <c r="CK718" s="141"/>
    </row>
    <row r="719" spans="74:89" ht="49.5" customHeight="1" x14ac:dyDescent="0.35">
      <c r="BV719" s="140"/>
      <c r="BY719" s="141"/>
      <c r="BZ719" s="141"/>
      <c r="CA719" s="141"/>
      <c r="CB719" s="141"/>
      <c r="CC719" s="141"/>
      <c r="CD719" s="141"/>
      <c r="CE719" s="141"/>
      <c r="CF719" s="141"/>
      <c r="CG719" s="141"/>
      <c r="CH719" s="141"/>
      <c r="CI719" s="141"/>
      <c r="CJ719" s="141"/>
      <c r="CK719" s="141"/>
    </row>
    <row r="720" spans="74:89" ht="49.5" customHeight="1" x14ac:dyDescent="0.35">
      <c r="BV720" s="140"/>
      <c r="BY720" s="141"/>
      <c r="BZ720" s="141"/>
      <c r="CA720" s="141"/>
      <c r="CB720" s="141"/>
      <c r="CC720" s="141"/>
      <c r="CD720" s="141"/>
      <c r="CE720" s="141"/>
      <c r="CF720" s="141"/>
      <c r="CG720" s="141"/>
      <c r="CH720" s="141"/>
      <c r="CI720" s="141"/>
      <c r="CJ720" s="141"/>
      <c r="CK720" s="141"/>
    </row>
    <row r="721" spans="74:89" ht="49.5" customHeight="1" x14ac:dyDescent="0.35">
      <c r="BV721" s="140"/>
      <c r="BY721" s="141"/>
      <c r="BZ721" s="141"/>
      <c r="CA721" s="141"/>
      <c r="CB721" s="141"/>
      <c r="CC721" s="141"/>
      <c r="CD721" s="141"/>
      <c r="CE721" s="141"/>
      <c r="CF721" s="141"/>
      <c r="CG721" s="141"/>
      <c r="CH721" s="141"/>
      <c r="CI721" s="141"/>
      <c r="CJ721" s="141"/>
      <c r="CK721" s="141"/>
    </row>
    <row r="722" spans="74:89" ht="49.5" customHeight="1" x14ac:dyDescent="0.35">
      <c r="BV722" s="140"/>
      <c r="BY722" s="141"/>
      <c r="BZ722" s="141"/>
      <c r="CA722" s="141"/>
      <c r="CB722" s="141"/>
      <c r="CC722" s="141"/>
      <c r="CD722" s="141"/>
      <c r="CE722" s="141"/>
      <c r="CF722" s="141"/>
      <c r="CG722" s="141"/>
      <c r="CH722" s="141"/>
      <c r="CI722" s="141"/>
      <c r="CJ722" s="141"/>
      <c r="CK722" s="141"/>
    </row>
    <row r="723" spans="74:89" ht="49.5" customHeight="1" x14ac:dyDescent="0.35">
      <c r="BV723" s="140"/>
      <c r="BY723" s="141"/>
      <c r="BZ723" s="141"/>
      <c r="CA723" s="141"/>
      <c r="CB723" s="141"/>
      <c r="CC723" s="141"/>
      <c r="CD723" s="141"/>
      <c r="CE723" s="141"/>
      <c r="CF723" s="141"/>
      <c r="CG723" s="141"/>
      <c r="CH723" s="141"/>
      <c r="CI723" s="141"/>
      <c r="CJ723" s="141"/>
      <c r="CK723" s="141"/>
    </row>
    <row r="724" spans="74:89" ht="49.5" customHeight="1" x14ac:dyDescent="0.35">
      <c r="BV724" s="140"/>
      <c r="BY724" s="141"/>
      <c r="BZ724" s="141"/>
      <c r="CA724" s="141"/>
      <c r="CB724" s="141"/>
      <c r="CC724" s="141"/>
      <c r="CD724" s="141"/>
      <c r="CE724" s="141"/>
      <c r="CF724" s="141"/>
      <c r="CG724" s="141"/>
      <c r="CH724" s="141"/>
      <c r="CI724" s="141"/>
      <c r="CJ724" s="141"/>
      <c r="CK724" s="141"/>
    </row>
    <row r="725" spans="74:89" ht="49.5" customHeight="1" x14ac:dyDescent="0.35">
      <c r="BV725" s="140"/>
      <c r="BY725" s="141"/>
      <c r="BZ725" s="141"/>
      <c r="CA725" s="141"/>
      <c r="CB725" s="141"/>
      <c r="CC725" s="141"/>
      <c r="CD725" s="141"/>
      <c r="CE725" s="141"/>
      <c r="CF725" s="141"/>
      <c r="CG725" s="141"/>
      <c r="CH725" s="141"/>
      <c r="CI725" s="141"/>
      <c r="CJ725" s="141"/>
      <c r="CK725" s="141"/>
    </row>
    <row r="726" spans="74:89" ht="49.5" customHeight="1" x14ac:dyDescent="0.35">
      <c r="BV726" s="140"/>
      <c r="BY726" s="141"/>
      <c r="BZ726" s="141"/>
      <c r="CA726" s="141"/>
      <c r="CB726" s="141"/>
      <c r="CC726" s="141"/>
      <c r="CD726" s="141"/>
      <c r="CE726" s="141"/>
      <c r="CF726" s="141"/>
      <c r="CG726" s="141"/>
      <c r="CH726" s="141"/>
      <c r="CI726" s="141"/>
      <c r="CJ726" s="141"/>
      <c r="CK726" s="141"/>
    </row>
    <row r="727" spans="74:89" ht="49.5" customHeight="1" x14ac:dyDescent="0.35">
      <c r="BV727" s="140"/>
      <c r="BY727" s="141"/>
      <c r="BZ727" s="141"/>
      <c r="CA727" s="141"/>
      <c r="CB727" s="141"/>
      <c r="CC727" s="141"/>
      <c r="CD727" s="141"/>
      <c r="CE727" s="141"/>
      <c r="CF727" s="141"/>
      <c r="CG727" s="141"/>
      <c r="CH727" s="141"/>
      <c r="CI727" s="141"/>
      <c r="CJ727" s="141"/>
      <c r="CK727" s="141"/>
    </row>
    <row r="728" spans="74:89" ht="49.5" customHeight="1" x14ac:dyDescent="0.35">
      <c r="BV728" s="140"/>
      <c r="BY728" s="141"/>
      <c r="BZ728" s="141"/>
      <c r="CA728" s="141"/>
      <c r="CB728" s="141"/>
      <c r="CC728" s="141"/>
      <c r="CD728" s="141"/>
      <c r="CE728" s="141"/>
      <c r="CF728" s="141"/>
      <c r="CG728" s="141"/>
      <c r="CH728" s="141"/>
      <c r="CI728" s="141"/>
      <c r="CJ728" s="141"/>
      <c r="CK728" s="141"/>
    </row>
    <row r="729" spans="74:89" ht="49.5" customHeight="1" x14ac:dyDescent="0.35">
      <c r="BV729" s="140"/>
      <c r="BY729" s="141"/>
      <c r="BZ729" s="141"/>
      <c r="CA729" s="141"/>
      <c r="CB729" s="141"/>
      <c r="CC729" s="141"/>
      <c r="CD729" s="141"/>
      <c r="CE729" s="141"/>
      <c r="CF729" s="141"/>
      <c r="CG729" s="141"/>
      <c r="CH729" s="141"/>
      <c r="CI729" s="141"/>
      <c r="CJ729" s="141"/>
      <c r="CK729" s="141"/>
    </row>
    <row r="730" spans="74:89" ht="49.5" customHeight="1" x14ac:dyDescent="0.35">
      <c r="BV730" s="140"/>
      <c r="BY730" s="141"/>
      <c r="BZ730" s="141"/>
      <c r="CA730" s="141"/>
      <c r="CB730" s="141"/>
      <c r="CC730" s="141"/>
      <c r="CD730" s="141"/>
      <c r="CE730" s="141"/>
      <c r="CF730" s="141"/>
      <c r="CG730" s="141"/>
      <c r="CH730" s="141"/>
      <c r="CI730" s="141"/>
      <c r="CJ730" s="141"/>
      <c r="CK730" s="141"/>
    </row>
    <row r="731" spans="74:89" ht="49.5" customHeight="1" x14ac:dyDescent="0.35">
      <c r="BV731" s="140"/>
      <c r="BY731" s="141"/>
      <c r="BZ731" s="141"/>
      <c r="CA731" s="141"/>
      <c r="CB731" s="141"/>
      <c r="CC731" s="141"/>
      <c r="CD731" s="141"/>
      <c r="CE731" s="141"/>
      <c r="CF731" s="141"/>
      <c r="CG731" s="141"/>
      <c r="CH731" s="141"/>
      <c r="CI731" s="141"/>
      <c r="CJ731" s="141"/>
      <c r="CK731" s="141"/>
    </row>
    <row r="732" spans="74:89" ht="49.5" customHeight="1" x14ac:dyDescent="0.35">
      <c r="BV732" s="140"/>
      <c r="BY732" s="141"/>
      <c r="BZ732" s="141"/>
      <c r="CA732" s="141"/>
      <c r="CB732" s="141"/>
      <c r="CC732" s="141"/>
      <c r="CD732" s="141"/>
      <c r="CE732" s="141"/>
      <c r="CF732" s="141"/>
      <c r="CG732" s="141"/>
      <c r="CH732" s="141"/>
      <c r="CI732" s="141"/>
      <c r="CJ732" s="141"/>
      <c r="CK732" s="141"/>
    </row>
    <row r="733" spans="74:89" ht="49.5" customHeight="1" x14ac:dyDescent="0.35">
      <c r="BV733" s="140"/>
      <c r="BY733" s="141"/>
      <c r="BZ733" s="141"/>
      <c r="CA733" s="141"/>
      <c r="CB733" s="141"/>
      <c r="CC733" s="141"/>
      <c r="CD733" s="141"/>
      <c r="CE733" s="141"/>
      <c r="CF733" s="141"/>
      <c r="CG733" s="141"/>
      <c r="CH733" s="141"/>
      <c r="CI733" s="141"/>
      <c r="CJ733" s="141"/>
      <c r="CK733" s="141"/>
    </row>
    <row r="734" spans="74:89" ht="49.5" customHeight="1" x14ac:dyDescent="0.35">
      <c r="BV734" s="140"/>
      <c r="BY734" s="141"/>
      <c r="BZ734" s="141"/>
      <c r="CA734" s="141"/>
      <c r="CB734" s="141"/>
      <c r="CC734" s="141"/>
      <c r="CD734" s="141"/>
      <c r="CE734" s="141"/>
      <c r="CF734" s="141"/>
      <c r="CG734" s="141"/>
      <c r="CH734" s="141"/>
      <c r="CI734" s="141"/>
      <c r="CJ734" s="141"/>
      <c r="CK734" s="141"/>
    </row>
    <row r="735" spans="74:89" ht="49.5" customHeight="1" x14ac:dyDescent="0.35">
      <c r="BV735" s="140"/>
      <c r="BY735" s="141"/>
      <c r="BZ735" s="141"/>
      <c r="CA735" s="141"/>
      <c r="CB735" s="141"/>
      <c r="CC735" s="141"/>
      <c r="CD735" s="141"/>
      <c r="CE735" s="141"/>
      <c r="CF735" s="141"/>
      <c r="CG735" s="141"/>
      <c r="CH735" s="141"/>
      <c r="CI735" s="141"/>
      <c r="CJ735" s="141"/>
      <c r="CK735" s="141"/>
    </row>
    <row r="736" spans="74:89" ht="49.5" customHeight="1" x14ac:dyDescent="0.35">
      <c r="BV736" s="140"/>
      <c r="BY736" s="141"/>
      <c r="BZ736" s="141"/>
      <c r="CA736" s="141"/>
      <c r="CB736" s="141"/>
      <c r="CC736" s="141"/>
      <c r="CD736" s="141"/>
      <c r="CE736" s="141"/>
      <c r="CF736" s="141"/>
      <c r="CG736" s="141"/>
      <c r="CH736" s="141"/>
      <c r="CI736" s="141"/>
      <c r="CJ736" s="141"/>
      <c r="CK736" s="141"/>
    </row>
    <row r="737" spans="74:89" ht="49.5" customHeight="1" x14ac:dyDescent="0.35">
      <c r="BV737" s="140"/>
      <c r="BY737" s="141"/>
      <c r="BZ737" s="141"/>
      <c r="CA737" s="141"/>
      <c r="CB737" s="141"/>
      <c r="CC737" s="141"/>
      <c r="CD737" s="141"/>
      <c r="CE737" s="141"/>
      <c r="CF737" s="141"/>
      <c r="CG737" s="141"/>
      <c r="CH737" s="141"/>
      <c r="CI737" s="141"/>
      <c r="CJ737" s="141"/>
      <c r="CK737" s="141"/>
    </row>
    <row r="738" spans="74:89" ht="49.5" customHeight="1" x14ac:dyDescent="0.35">
      <c r="BV738" s="140"/>
      <c r="BY738" s="141"/>
      <c r="BZ738" s="141"/>
      <c r="CA738" s="141"/>
      <c r="CB738" s="141"/>
      <c r="CC738" s="141"/>
      <c r="CD738" s="141"/>
      <c r="CE738" s="141"/>
      <c r="CF738" s="141"/>
      <c r="CG738" s="141"/>
      <c r="CH738" s="141"/>
      <c r="CI738" s="141"/>
      <c r="CJ738" s="141"/>
      <c r="CK738" s="141"/>
    </row>
    <row r="739" spans="74:89" ht="49.5" customHeight="1" x14ac:dyDescent="0.35">
      <c r="BV739" s="140"/>
      <c r="BY739" s="141"/>
      <c r="BZ739" s="141"/>
      <c r="CA739" s="141"/>
      <c r="CB739" s="141"/>
      <c r="CC739" s="141"/>
      <c r="CD739" s="141"/>
      <c r="CE739" s="141"/>
      <c r="CF739" s="141"/>
      <c r="CG739" s="141"/>
      <c r="CH739" s="141"/>
      <c r="CI739" s="141"/>
      <c r="CJ739" s="141"/>
      <c r="CK739" s="141"/>
    </row>
    <row r="740" spans="74:89" ht="49.5" customHeight="1" x14ac:dyDescent="0.35">
      <c r="BV740" s="140"/>
      <c r="BY740" s="141"/>
      <c r="BZ740" s="141"/>
      <c r="CA740" s="141"/>
      <c r="CB740" s="141"/>
      <c r="CC740" s="141"/>
      <c r="CD740" s="141"/>
      <c r="CE740" s="141"/>
      <c r="CF740" s="141"/>
      <c r="CG740" s="141"/>
      <c r="CH740" s="141"/>
      <c r="CI740" s="141"/>
      <c r="CJ740" s="141"/>
      <c r="CK740" s="141"/>
    </row>
    <row r="741" spans="74:89" ht="49.5" customHeight="1" x14ac:dyDescent="0.35">
      <c r="BV741" s="140"/>
      <c r="BY741" s="141"/>
      <c r="BZ741" s="141"/>
      <c r="CA741" s="141"/>
      <c r="CB741" s="141"/>
      <c r="CC741" s="141"/>
      <c r="CD741" s="141"/>
      <c r="CE741" s="141"/>
      <c r="CF741" s="141"/>
      <c r="CG741" s="141"/>
      <c r="CH741" s="141"/>
      <c r="CI741" s="141"/>
      <c r="CJ741" s="141"/>
      <c r="CK741" s="141"/>
    </row>
    <row r="742" spans="74:89" ht="49.5" customHeight="1" x14ac:dyDescent="0.35">
      <c r="BV742" s="140"/>
      <c r="BY742" s="141"/>
      <c r="BZ742" s="141"/>
      <c r="CA742" s="141"/>
      <c r="CB742" s="141"/>
      <c r="CC742" s="141"/>
      <c r="CD742" s="141"/>
      <c r="CE742" s="141"/>
      <c r="CF742" s="141"/>
      <c r="CG742" s="141"/>
      <c r="CH742" s="141"/>
      <c r="CI742" s="141"/>
      <c r="CJ742" s="141"/>
      <c r="CK742" s="141"/>
    </row>
    <row r="743" spans="74:89" ht="49.5" customHeight="1" x14ac:dyDescent="0.35">
      <c r="BV743" s="140"/>
      <c r="BY743" s="141"/>
      <c r="BZ743" s="141"/>
      <c r="CA743" s="141"/>
      <c r="CB743" s="141"/>
      <c r="CC743" s="141"/>
      <c r="CD743" s="141"/>
      <c r="CE743" s="141"/>
      <c r="CF743" s="141"/>
      <c r="CG743" s="141"/>
      <c r="CH743" s="141"/>
      <c r="CI743" s="141"/>
      <c r="CJ743" s="141"/>
      <c r="CK743" s="141"/>
    </row>
    <row r="744" spans="74:89" ht="49.5" customHeight="1" x14ac:dyDescent="0.35">
      <c r="BV744" s="140"/>
      <c r="BY744" s="141"/>
      <c r="BZ744" s="141"/>
      <c r="CA744" s="141"/>
      <c r="CB744" s="141"/>
      <c r="CC744" s="141"/>
      <c r="CD744" s="141"/>
      <c r="CE744" s="141"/>
      <c r="CF744" s="141"/>
      <c r="CG744" s="141"/>
      <c r="CH744" s="141"/>
      <c r="CI744" s="141"/>
      <c r="CJ744" s="141"/>
      <c r="CK744" s="141"/>
    </row>
    <row r="745" spans="74:89" ht="49.5" customHeight="1" x14ac:dyDescent="0.35">
      <c r="BV745" s="140"/>
      <c r="BY745" s="141"/>
      <c r="BZ745" s="141"/>
      <c r="CA745" s="141"/>
      <c r="CB745" s="141"/>
      <c r="CC745" s="141"/>
      <c r="CD745" s="141"/>
      <c r="CE745" s="141"/>
      <c r="CF745" s="141"/>
      <c r="CG745" s="141"/>
      <c r="CH745" s="141"/>
      <c r="CI745" s="141"/>
      <c r="CJ745" s="141"/>
      <c r="CK745" s="141"/>
    </row>
    <row r="746" spans="74:89" ht="49.5" customHeight="1" x14ac:dyDescent="0.35">
      <c r="BV746" s="140"/>
      <c r="BY746" s="141"/>
      <c r="BZ746" s="141"/>
      <c r="CA746" s="141"/>
      <c r="CB746" s="141"/>
      <c r="CC746" s="141"/>
      <c r="CD746" s="141"/>
      <c r="CE746" s="141"/>
      <c r="CF746" s="141"/>
      <c r="CG746" s="141"/>
      <c r="CH746" s="141"/>
      <c r="CI746" s="141"/>
      <c r="CJ746" s="141"/>
      <c r="CK746" s="141"/>
    </row>
    <row r="747" spans="74:89" ht="49.5" customHeight="1" x14ac:dyDescent="0.35">
      <c r="BV747" s="140"/>
      <c r="BY747" s="141"/>
      <c r="BZ747" s="141"/>
      <c r="CA747" s="141"/>
      <c r="CB747" s="141"/>
      <c r="CC747" s="141"/>
      <c r="CD747" s="141"/>
      <c r="CE747" s="141"/>
      <c r="CF747" s="141"/>
      <c r="CG747" s="141"/>
      <c r="CH747" s="141"/>
      <c r="CI747" s="141"/>
      <c r="CJ747" s="141"/>
      <c r="CK747" s="141"/>
    </row>
    <row r="748" spans="74:89" ht="49.5" customHeight="1" x14ac:dyDescent="0.35">
      <c r="BV748" s="140"/>
      <c r="BY748" s="141"/>
      <c r="BZ748" s="141"/>
      <c r="CA748" s="141"/>
      <c r="CB748" s="141"/>
      <c r="CC748" s="141"/>
      <c r="CD748" s="141"/>
      <c r="CE748" s="141"/>
      <c r="CF748" s="141"/>
      <c r="CG748" s="141"/>
      <c r="CH748" s="141"/>
      <c r="CI748" s="141"/>
      <c r="CJ748" s="141"/>
      <c r="CK748" s="141"/>
    </row>
    <row r="749" spans="74:89" ht="49.5" customHeight="1" x14ac:dyDescent="0.35">
      <c r="BV749" s="140"/>
      <c r="BY749" s="141"/>
      <c r="BZ749" s="141"/>
      <c r="CA749" s="141"/>
      <c r="CB749" s="141"/>
      <c r="CC749" s="141"/>
      <c r="CD749" s="141"/>
      <c r="CE749" s="141"/>
      <c r="CF749" s="141"/>
      <c r="CG749" s="141"/>
      <c r="CH749" s="141"/>
      <c r="CI749" s="141"/>
      <c r="CJ749" s="141"/>
      <c r="CK749" s="141"/>
    </row>
    <row r="750" spans="74:89" ht="49.5" customHeight="1" x14ac:dyDescent="0.35">
      <c r="BV750" s="140"/>
      <c r="BY750" s="141"/>
      <c r="BZ750" s="141"/>
      <c r="CA750" s="141"/>
      <c r="CB750" s="141"/>
      <c r="CC750" s="141"/>
      <c r="CD750" s="141"/>
      <c r="CE750" s="141"/>
      <c r="CF750" s="141"/>
      <c r="CG750" s="141"/>
      <c r="CH750" s="141"/>
      <c r="CI750" s="141"/>
      <c r="CJ750" s="141"/>
      <c r="CK750" s="141"/>
    </row>
    <row r="751" spans="74:89" ht="49.5" customHeight="1" x14ac:dyDescent="0.35">
      <c r="BV751" s="140"/>
      <c r="BY751" s="141"/>
      <c r="BZ751" s="141"/>
      <c r="CA751" s="141"/>
      <c r="CB751" s="141"/>
      <c r="CC751" s="141"/>
      <c r="CD751" s="141"/>
      <c r="CE751" s="141"/>
      <c r="CF751" s="141"/>
      <c r="CG751" s="141"/>
      <c r="CH751" s="141"/>
      <c r="CI751" s="141"/>
      <c r="CJ751" s="141"/>
      <c r="CK751" s="141"/>
    </row>
    <row r="752" spans="74:89" ht="49.5" customHeight="1" x14ac:dyDescent="0.35">
      <c r="BV752" s="140"/>
      <c r="BY752" s="141"/>
      <c r="BZ752" s="141"/>
      <c r="CA752" s="141"/>
      <c r="CB752" s="141"/>
      <c r="CC752" s="141"/>
      <c r="CD752" s="141"/>
      <c r="CE752" s="141"/>
      <c r="CF752" s="141"/>
      <c r="CG752" s="141"/>
      <c r="CH752" s="141"/>
      <c r="CI752" s="141"/>
      <c r="CJ752" s="141"/>
      <c r="CK752" s="141"/>
    </row>
    <row r="753" spans="74:89" ht="49.5" customHeight="1" x14ac:dyDescent="0.35">
      <c r="BV753" s="140"/>
      <c r="BY753" s="141"/>
      <c r="BZ753" s="141"/>
      <c r="CA753" s="141"/>
      <c r="CB753" s="141"/>
      <c r="CC753" s="141"/>
      <c r="CD753" s="141"/>
      <c r="CE753" s="141"/>
      <c r="CF753" s="141"/>
      <c r="CG753" s="141"/>
      <c r="CH753" s="141"/>
      <c r="CI753" s="141"/>
      <c r="CJ753" s="141"/>
      <c r="CK753" s="141"/>
    </row>
    <row r="754" spans="74:89" ht="49.5" customHeight="1" x14ac:dyDescent="0.35">
      <c r="BV754" s="140"/>
      <c r="BY754" s="141"/>
      <c r="BZ754" s="141"/>
      <c r="CA754" s="141"/>
      <c r="CB754" s="141"/>
      <c r="CC754" s="141"/>
      <c r="CD754" s="141"/>
      <c r="CE754" s="141"/>
      <c r="CF754" s="141"/>
      <c r="CG754" s="141"/>
      <c r="CH754" s="141"/>
      <c r="CI754" s="141"/>
      <c r="CJ754" s="141"/>
      <c r="CK754" s="141"/>
    </row>
    <row r="755" spans="74:89" ht="49.5" customHeight="1" x14ac:dyDescent="0.35">
      <c r="BV755" s="140"/>
      <c r="BY755" s="141"/>
      <c r="BZ755" s="141"/>
      <c r="CA755" s="141"/>
      <c r="CB755" s="141"/>
      <c r="CC755" s="141"/>
      <c r="CD755" s="141"/>
      <c r="CE755" s="141"/>
      <c r="CF755" s="141"/>
      <c r="CG755" s="141"/>
      <c r="CH755" s="141"/>
      <c r="CI755" s="141"/>
      <c r="CJ755" s="141"/>
      <c r="CK755" s="141"/>
    </row>
    <row r="756" spans="74:89" ht="49.5" customHeight="1" x14ac:dyDescent="0.35">
      <c r="BV756" s="140"/>
      <c r="BY756" s="141"/>
      <c r="BZ756" s="141"/>
      <c r="CA756" s="141"/>
      <c r="CB756" s="141"/>
      <c r="CC756" s="141"/>
      <c r="CD756" s="141"/>
      <c r="CE756" s="141"/>
      <c r="CF756" s="141"/>
      <c r="CG756" s="141"/>
      <c r="CH756" s="141"/>
      <c r="CI756" s="141"/>
      <c r="CJ756" s="141"/>
      <c r="CK756" s="141"/>
    </row>
    <row r="757" spans="74:89" ht="49.5" customHeight="1" x14ac:dyDescent="0.35">
      <c r="BV757" s="140"/>
      <c r="BY757" s="141"/>
      <c r="BZ757" s="141"/>
      <c r="CA757" s="141"/>
      <c r="CB757" s="141"/>
      <c r="CC757" s="141"/>
      <c r="CD757" s="141"/>
      <c r="CE757" s="141"/>
      <c r="CF757" s="141"/>
      <c r="CG757" s="141"/>
      <c r="CH757" s="141"/>
      <c r="CI757" s="141"/>
      <c r="CJ757" s="141"/>
      <c r="CK757" s="141"/>
    </row>
    <row r="758" spans="74:89" ht="49.5" customHeight="1" x14ac:dyDescent="0.35">
      <c r="BV758" s="140"/>
      <c r="BY758" s="141"/>
      <c r="BZ758" s="141"/>
      <c r="CA758" s="141"/>
      <c r="CB758" s="141"/>
      <c r="CC758" s="141"/>
      <c r="CD758" s="141"/>
      <c r="CE758" s="141"/>
      <c r="CF758" s="141"/>
      <c r="CG758" s="141"/>
      <c r="CH758" s="141"/>
      <c r="CI758" s="141"/>
      <c r="CJ758" s="141"/>
      <c r="CK758" s="141"/>
    </row>
    <row r="759" spans="74:89" ht="49.5" customHeight="1" x14ac:dyDescent="0.35">
      <c r="BV759" s="140"/>
      <c r="BY759" s="141"/>
      <c r="BZ759" s="141"/>
      <c r="CA759" s="141"/>
      <c r="CB759" s="141"/>
      <c r="CC759" s="141"/>
      <c r="CD759" s="141"/>
      <c r="CE759" s="141"/>
      <c r="CF759" s="141"/>
      <c r="CG759" s="141"/>
      <c r="CH759" s="141"/>
      <c r="CI759" s="141"/>
      <c r="CJ759" s="141"/>
      <c r="CK759" s="141"/>
    </row>
    <row r="760" spans="74:89" ht="49.5" customHeight="1" x14ac:dyDescent="0.35">
      <c r="BV760" s="140"/>
      <c r="BY760" s="141"/>
      <c r="BZ760" s="141"/>
      <c r="CA760" s="141"/>
      <c r="CB760" s="141"/>
      <c r="CC760" s="141"/>
      <c r="CD760" s="141"/>
      <c r="CE760" s="141"/>
      <c r="CF760" s="141"/>
      <c r="CG760" s="141"/>
      <c r="CH760" s="141"/>
      <c r="CI760" s="141"/>
      <c r="CJ760" s="141"/>
      <c r="CK760" s="141"/>
    </row>
    <row r="761" spans="74:89" ht="49.5" customHeight="1" x14ac:dyDescent="0.35">
      <c r="BV761" s="140"/>
      <c r="BY761" s="141"/>
      <c r="BZ761" s="141"/>
      <c r="CA761" s="141"/>
      <c r="CB761" s="141"/>
      <c r="CC761" s="141"/>
      <c r="CD761" s="141"/>
      <c r="CE761" s="141"/>
      <c r="CF761" s="141"/>
      <c r="CG761" s="141"/>
      <c r="CH761" s="141"/>
      <c r="CI761" s="141"/>
      <c r="CJ761" s="141"/>
      <c r="CK761" s="141"/>
    </row>
    <row r="762" spans="74:89" ht="49.5" customHeight="1" x14ac:dyDescent="0.35">
      <c r="BV762" s="140"/>
      <c r="BY762" s="141"/>
      <c r="BZ762" s="141"/>
      <c r="CA762" s="141"/>
      <c r="CB762" s="141"/>
      <c r="CC762" s="141"/>
      <c r="CD762" s="141"/>
      <c r="CE762" s="141"/>
      <c r="CF762" s="141"/>
      <c r="CG762" s="141"/>
      <c r="CH762" s="141"/>
      <c r="CI762" s="141"/>
      <c r="CJ762" s="141"/>
      <c r="CK762" s="141"/>
    </row>
    <row r="763" spans="74:89" ht="49.5" customHeight="1" x14ac:dyDescent="0.35">
      <c r="BV763" s="140"/>
      <c r="BY763" s="141"/>
      <c r="BZ763" s="141"/>
      <c r="CA763" s="141"/>
      <c r="CB763" s="141"/>
      <c r="CC763" s="141"/>
      <c r="CD763" s="141"/>
      <c r="CE763" s="141"/>
      <c r="CF763" s="141"/>
      <c r="CG763" s="141"/>
      <c r="CH763" s="141"/>
      <c r="CI763" s="141"/>
      <c r="CJ763" s="141"/>
      <c r="CK763" s="141"/>
    </row>
    <row r="764" spans="74:89" ht="49.5" customHeight="1" x14ac:dyDescent="0.35">
      <c r="BV764" s="140"/>
      <c r="BY764" s="141"/>
      <c r="BZ764" s="141"/>
      <c r="CA764" s="141"/>
      <c r="CB764" s="141"/>
      <c r="CC764" s="141"/>
      <c r="CD764" s="141"/>
      <c r="CE764" s="141"/>
      <c r="CF764" s="141"/>
      <c r="CG764" s="141"/>
      <c r="CH764" s="141"/>
      <c r="CI764" s="141"/>
      <c r="CJ764" s="141"/>
      <c r="CK764" s="141"/>
    </row>
    <row r="765" spans="74:89" ht="49.5" customHeight="1" x14ac:dyDescent="0.35">
      <c r="BV765" s="140"/>
      <c r="BY765" s="141"/>
      <c r="BZ765" s="141"/>
      <c r="CA765" s="141"/>
      <c r="CB765" s="141"/>
      <c r="CC765" s="141"/>
      <c r="CD765" s="141"/>
      <c r="CE765" s="141"/>
      <c r="CF765" s="141"/>
      <c r="CG765" s="141"/>
      <c r="CH765" s="141"/>
      <c r="CI765" s="141"/>
      <c r="CJ765" s="141"/>
      <c r="CK765" s="141"/>
    </row>
    <row r="766" spans="74:89" ht="49.5" customHeight="1" x14ac:dyDescent="0.35">
      <c r="BV766" s="140"/>
      <c r="BY766" s="141"/>
      <c r="BZ766" s="141"/>
      <c r="CA766" s="141"/>
      <c r="CB766" s="141"/>
      <c r="CC766" s="141"/>
      <c r="CD766" s="141"/>
      <c r="CE766" s="141"/>
      <c r="CF766" s="141"/>
      <c r="CG766" s="141"/>
      <c r="CH766" s="141"/>
      <c r="CI766" s="141"/>
      <c r="CJ766" s="141"/>
      <c r="CK766" s="141"/>
    </row>
    <row r="767" spans="74:89" ht="49.5" customHeight="1" x14ac:dyDescent="0.35">
      <c r="BV767" s="140"/>
      <c r="BY767" s="141"/>
      <c r="BZ767" s="141"/>
      <c r="CA767" s="141"/>
      <c r="CB767" s="141"/>
      <c r="CC767" s="141"/>
      <c r="CD767" s="141"/>
      <c r="CE767" s="141"/>
      <c r="CF767" s="141"/>
      <c r="CG767" s="141"/>
      <c r="CH767" s="141"/>
      <c r="CI767" s="141"/>
      <c r="CJ767" s="141"/>
      <c r="CK767" s="141"/>
    </row>
    <row r="768" spans="74:89" ht="49.5" customHeight="1" x14ac:dyDescent="0.35">
      <c r="BV768" s="140"/>
      <c r="BY768" s="141"/>
      <c r="BZ768" s="141"/>
      <c r="CA768" s="141"/>
      <c r="CB768" s="141"/>
      <c r="CC768" s="141"/>
      <c r="CD768" s="141"/>
      <c r="CE768" s="141"/>
      <c r="CF768" s="141"/>
      <c r="CG768" s="141"/>
      <c r="CH768" s="141"/>
      <c r="CI768" s="141"/>
      <c r="CJ768" s="141"/>
      <c r="CK768" s="141"/>
    </row>
    <row r="769" spans="74:89" ht="49.5" customHeight="1" x14ac:dyDescent="0.35">
      <c r="BV769" s="140"/>
      <c r="BY769" s="141"/>
      <c r="BZ769" s="141"/>
      <c r="CA769" s="141"/>
      <c r="CB769" s="141"/>
      <c r="CC769" s="141"/>
      <c r="CD769" s="141"/>
      <c r="CE769" s="141"/>
      <c r="CF769" s="141"/>
      <c r="CG769" s="141"/>
      <c r="CH769" s="141"/>
      <c r="CI769" s="141"/>
      <c r="CJ769" s="141"/>
      <c r="CK769" s="141"/>
    </row>
    <row r="770" spans="74:89" ht="49.5" customHeight="1" x14ac:dyDescent="0.35">
      <c r="BV770" s="140"/>
      <c r="BY770" s="141"/>
      <c r="BZ770" s="141"/>
      <c r="CA770" s="141"/>
      <c r="CB770" s="141"/>
      <c r="CC770" s="141"/>
      <c r="CD770" s="141"/>
      <c r="CE770" s="141"/>
      <c r="CF770" s="141"/>
      <c r="CG770" s="141"/>
      <c r="CH770" s="141"/>
      <c r="CI770" s="141"/>
      <c r="CJ770" s="141"/>
      <c r="CK770" s="141"/>
    </row>
    <row r="771" spans="74:89" ht="49.5" customHeight="1" x14ac:dyDescent="0.35">
      <c r="BV771" s="140"/>
      <c r="BY771" s="141"/>
      <c r="BZ771" s="141"/>
      <c r="CA771" s="141"/>
      <c r="CB771" s="141"/>
      <c r="CC771" s="141"/>
      <c r="CD771" s="141"/>
      <c r="CE771" s="141"/>
      <c r="CF771" s="141"/>
      <c r="CG771" s="141"/>
      <c r="CH771" s="141"/>
      <c r="CI771" s="141"/>
      <c r="CJ771" s="141"/>
      <c r="CK771" s="141"/>
    </row>
    <row r="772" spans="74:89" ht="49.5" customHeight="1" x14ac:dyDescent="0.35">
      <c r="BV772" s="140"/>
      <c r="BY772" s="141"/>
      <c r="BZ772" s="141"/>
      <c r="CA772" s="141"/>
      <c r="CB772" s="141"/>
      <c r="CC772" s="141"/>
      <c r="CD772" s="141"/>
      <c r="CE772" s="141"/>
      <c r="CF772" s="141"/>
      <c r="CG772" s="141"/>
      <c r="CH772" s="141"/>
      <c r="CI772" s="141"/>
      <c r="CJ772" s="141"/>
      <c r="CK772" s="141"/>
    </row>
    <row r="773" spans="74:89" ht="49.5" customHeight="1" x14ac:dyDescent="0.35">
      <c r="BV773" s="140"/>
      <c r="BY773" s="141"/>
      <c r="BZ773" s="141"/>
      <c r="CA773" s="141"/>
      <c r="CB773" s="141"/>
      <c r="CC773" s="141"/>
      <c r="CD773" s="141"/>
      <c r="CE773" s="141"/>
      <c r="CF773" s="141"/>
      <c r="CG773" s="141"/>
      <c r="CH773" s="141"/>
      <c r="CI773" s="141"/>
      <c r="CJ773" s="141"/>
      <c r="CK773" s="141"/>
    </row>
    <row r="774" spans="74:89" ht="49.5" customHeight="1" x14ac:dyDescent="0.35">
      <c r="BV774" s="140"/>
      <c r="BY774" s="141"/>
      <c r="BZ774" s="141"/>
      <c r="CA774" s="141"/>
      <c r="CB774" s="141"/>
      <c r="CC774" s="141"/>
      <c r="CD774" s="141"/>
      <c r="CE774" s="141"/>
      <c r="CF774" s="141"/>
      <c r="CG774" s="141"/>
      <c r="CH774" s="141"/>
      <c r="CI774" s="141"/>
      <c r="CJ774" s="141"/>
      <c r="CK774" s="141"/>
    </row>
    <row r="775" spans="74:89" ht="49.5" customHeight="1" x14ac:dyDescent="0.35">
      <c r="BV775" s="140"/>
      <c r="BY775" s="141"/>
      <c r="BZ775" s="141"/>
      <c r="CA775" s="141"/>
      <c r="CB775" s="141"/>
      <c r="CC775" s="141"/>
      <c r="CD775" s="141"/>
      <c r="CE775" s="141"/>
      <c r="CF775" s="141"/>
      <c r="CG775" s="141"/>
      <c r="CH775" s="141"/>
      <c r="CI775" s="141"/>
      <c r="CJ775" s="141"/>
      <c r="CK775" s="141"/>
    </row>
    <row r="776" spans="74:89" ht="49.5" customHeight="1" x14ac:dyDescent="0.35">
      <c r="BV776" s="140"/>
      <c r="BY776" s="141"/>
      <c r="BZ776" s="141"/>
      <c r="CA776" s="141"/>
      <c r="CB776" s="141"/>
      <c r="CC776" s="141"/>
      <c r="CD776" s="141"/>
      <c r="CE776" s="141"/>
      <c r="CF776" s="141"/>
      <c r="CG776" s="141"/>
      <c r="CH776" s="141"/>
      <c r="CI776" s="141"/>
      <c r="CJ776" s="141"/>
      <c r="CK776" s="141"/>
    </row>
    <row r="777" spans="74:89" ht="49.5" customHeight="1" x14ac:dyDescent="0.35">
      <c r="BV777" s="140"/>
      <c r="BY777" s="141"/>
      <c r="BZ777" s="141"/>
      <c r="CA777" s="141"/>
      <c r="CB777" s="141"/>
      <c r="CC777" s="141"/>
      <c r="CD777" s="141"/>
      <c r="CE777" s="141"/>
      <c r="CF777" s="141"/>
      <c r="CG777" s="141"/>
      <c r="CH777" s="141"/>
      <c r="CI777" s="141"/>
      <c r="CJ777" s="141"/>
      <c r="CK777" s="141"/>
    </row>
    <row r="778" spans="74:89" ht="49.5" customHeight="1" x14ac:dyDescent="0.35">
      <c r="BV778" s="140"/>
      <c r="BY778" s="141"/>
      <c r="BZ778" s="141"/>
      <c r="CA778" s="141"/>
      <c r="CB778" s="141"/>
      <c r="CC778" s="141"/>
      <c r="CD778" s="141"/>
      <c r="CE778" s="141"/>
      <c r="CF778" s="141"/>
      <c r="CG778" s="141"/>
      <c r="CH778" s="141"/>
      <c r="CI778" s="141"/>
      <c r="CJ778" s="141"/>
      <c r="CK778" s="141"/>
    </row>
    <row r="779" spans="74:89" ht="49.5" customHeight="1" x14ac:dyDescent="0.35">
      <c r="BV779" s="140"/>
      <c r="BY779" s="141"/>
      <c r="BZ779" s="141"/>
      <c r="CA779" s="141"/>
      <c r="CB779" s="141"/>
      <c r="CC779" s="141"/>
      <c r="CD779" s="141"/>
      <c r="CE779" s="141"/>
      <c r="CF779" s="141"/>
      <c r="CG779" s="141"/>
      <c r="CH779" s="141"/>
      <c r="CI779" s="141"/>
      <c r="CJ779" s="141"/>
      <c r="CK779" s="141"/>
    </row>
    <row r="780" spans="74:89" ht="49.5" customHeight="1" x14ac:dyDescent="0.35">
      <c r="BV780" s="140"/>
      <c r="BY780" s="141"/>
      <c r="BZ780" s="141"/>
      <c r="CA780" s="141"/>
      <c r="CB780" s="141"/>
      <c r="CC780" s="141"/>
      <c r="CD780" s="141"/>
      <c r="CE780" s="141"/>
      <c r="CF780" s="141"/>
      <c r="CG780" s="141"/>
      <c r="CH780" s="141"/>
      <c r="CI780" s="141"/>
      <c r="CJ780" s="141"/>
      <c r="CK780" s="141"/>
    </row>
    <row r="781" spans="74:89" ht="49.5" customHeight="1" x14ac:dyDescent="0.35">
      <c r="BV781" s="140"/>
      <c r="BY781" s="141"/>
      <c r="BZ781" s="141"/>
      <c r="CA781" s="141"/>
      <c r="CB781" s="141"/>
      <c r="CC781" s="141"/>
      <c r="CD781" s="141"/>
      <c r="CE781" s="141"/>
      <c r="CF781" s="141"/>
      <c r="CG781" s="141"/>
      <c r="CH781" s="141"/>
      <c r="CI781" s="141"/>
      <c r="CJ781" s="141"/>
      <c r="CK781" s="141"/>
    </row>
    <row r="782" spans="74:89" ht="49.5" customHeight="1" x14ac:dyDescent="0.35">
      <c r="BV782" s="140"/>
      <c r="BY782" s="141"/>
      <c r="BZ782" s="141"/>
      <c r="CA782" s="141"/>
      <c r="CB782" s="141"/>
      <c r="CC782" s="141"/>
      <c r="CD782" s="141"/>
      <c r="CE782" s="141"/>
      <c r="CF782" s="141"/>
      <c r="CG782" s="141"/>
      <c r="CH782" s="141"/>
      <c r="CI782" s="141"/>
      <c r="CJ782" s="141"/>
      <c r="CK782" s="141"/>
    </row>
    <row r="783" spans="74:89" ht="49.5" customHeight="1" x14ac:dyDescent="0.35">
      <c r="BV783" s="140"/>
      <c r="BY783" s="141"/>
      <c r="BZ783" s="141"/>
      <c r="CA783" s="141"/>
      <c r="CB783" s="141"/>
      <c r="CC783" s="141"/>
      <c r="CD783" s="141"/>
      <c r="CE783" s="141"/>
      <c r="CF783" s="141"/>
      <c r="CG783" s="141"/>
      <c r="CH783" s="141"/>
      <c r="CI783" s="141"/>
      <c r="CJ783" s="141"/>
      <c r="CK783" s="141"/>
    </row>
    <row r="784" spans="74:89" ht="49.5" customHeight="1" x14ac:dyDescent="0.35">
      <c r="BV784" s="140"/>
      <c r="BY784" s="141"/>
      <c r="BZ784" s="141"/>
      <c r="CA784" s="141"/>
      <c r="CB784" s="141"/>
      <c r="CC784" s="141"/>
      <c r="CD784" s="141"/>
      <c r="CE784" s="141"/>
      <c r="CF784" s="141"/>
      <c r="CG784" s="141"/>
      <c r="CH784" s="141"/>
      <c r="CI784" s="141"/>
      <c r="CJ784" s="141"/>
      <c r="CK784" s="141"/>
    </row>
    <row r="785" spans="74:89" ht="49.5" customHeight="1" x14ac:dyDescent="0.35">
      <c r="BV785" s="140"/>
      <c r="BY785" s="141"/>
      <c r="BZ785" s="141"/>
      <c r="CA785" s="141"/>
      <c r="CB785" s="141"/>
      <c r="CC785" s="141"/>
      <c r="CD785" s="141"/>
      <c r="CE785" s="141"/>
      <c r="CF785" s="141"/>
      <c r="CG785" s="141"/>
      <c r="CH785" s="141"/>
      <c r="CI785" s="141"/>
      <c r="CJ785" s="141"/>
      <c r="CK785" s="141"/>
    </row>
    <row r="786" spans="74:89" ht="49.5" customHeight="1" x14ac:dyDescent="0.35">
      <c r="BV786" s="140"/>
      <c r="BY786" s="141"/>
      <c r="BZ786" s="141"/>
      <c r="CA786" s="141"/>
      <c r="CB786" s="141"/>
      <c r="CC786" s="141"/>
      <c r="CD786" s="141"/>
      <c r="CE786" s="141"/>
      <c r="CF786" s="141"/>
      <c r="CG786" s="141"/>
      <c r="CH786" s="141"/>
      <c r="CI786" s="141"/>
      <c r="CJ786" s="141"/>
      <c r="CK786" s="141"/>
    </row>
    <row r="787" spans="74:89" ht="49.5" customHeight="1" x14ac:dyDescent="0.35">
      <c r="BV787" s="140"/>
      <c r="BY787" s="141"/>
      <c r="BZ787" s="141"/>
      <c r="CA787" s="141"/>
      <c r="CB787" s="141"/>
      <c r="CC787" s="141"/>
      <c r="CD787" s="141"/>
      <c r="CE787" s="141"/>
      <c r="CF787" s="141"/>
      <c r="CG787" s="141"/>
      <c r="CH787" s="141"/>
      <c r="CI787" s="141"/>
      <c r="CJ787" s="141"/>
      <c r="CK787" s="141"/>
    </row>
    <row r="788" spans="74:89" ht="49.5" customHeight="1" x14ac:dyDescent="0.35">
      <c r="BV788" s="140"/>
      <c r="BY788" s="141"/>
      <c r="BZ788" s="141"/>
      <c r="CA788" s="141"/>
      <c r="CB788" s="141"/>
      <c r="CC788" s="141"/>
      <c r="CD788" s="141"/>
      <c r="CE788" s="141"/>
      <c r="CF788" s="141"/>
      <c r="CG788" s="141"/>
      <c r="CH788" s="141"/>
      <c r="CI788" s="141"/>
      <c r="CJ788" s="141"/>
      <c r="CK788" s="141"/>
    </row>
    <row r="789" spans="74:89" ht="49.5" customHeight="1" x14ac:dyDescent="0.35">
      <c r="BV789" s="140"/>
      <c r="BY789" s="141"/>
      <c r="BZ789" s="141"/>
      <c r="CA789" s="141"/>
      <c r="CB789" s="141"/>
      <c r="CC789" s="141"/>
      <c r="CD789" s="141"/>
      <c r="CE789" s="141"/>
      <c r="CF789" s="141"/>
      <c r="CG789" s="141"/>
      <c r="CH789" s="141"/>
      <c r="CI789" s="141"/>
      <c r="CJ789" s="141"/>
      <c r="CK789" s="141"/>
    </row>
    <row r="790" spans="74:89" ht="49.5" customHeight="1" x14ac:dyDescent="0.35">
      <c r="BV790" s="140"/>
      <c r="BY790" s="141"/>
      <c r="BZ790" s="141"/>
      <c r="CA790" s="141"/>
      <c r="CB790" s="141"/>
      <c r="CC790" s="141"/>
      <c r="CD790" s="141"/>
      <c r="CE790" s="141"/>
      <c r="CF790" s="141"/>
      <c r="CG790" s="141"/>
      <c r="CH790" s="141"/>
      <c r="CI790" s="141"/>
      <c r="CJ790" s="141"/>
      <c r="CK790" s="141"/>
    </row>
    <row r="791" spans="74:89" ht="49.5" customHeight="1" x14ac:dyDescent="0.35">
      <c r="BV791" s="140"/>
      <c r="BY791" s="141"/>
      <c r="BZ791" s="141"/>
      <c r="CA791" s="141"/>
      <c r="CB791" s="141"/>
      <c r="CC791" s="141"/>
      <c r="CD791" s="141"/>
      <c r="CE791" s="141"/>
      <c r="CF791" s="141"/>
      <c r="CG791" s="141"/>
      <c r="CH791" s="141"/>
      <c r="CI791" s="141"/>
      <c r="CJ791" s="141"/>
      <c r="CK791" s="141"/>
    </row>
    <row r="792" spans="74:89" ht="49.5" customHeight="1" x14ac:dyDescent="0.35">
      <c r="BV792" s="140"/>
      <c r="BY792" s="141"/>
      <c r="BZ792" s="141"/>
      <c r="CA792" s="141"/>
      <c r="CB792" s="141"/>
      <c r="CC792" s="141"/>
      <c r="CD792" s="141"/>
      <c r="CE792" s="141"/>
      <c r="CF792" s="141"/>
      <c r="CG792" s="141"/>
      <c r="CH792" s="141"/>
      <c r="CI792" s="141"/>
      <c r="CJ792" s="141"/>
      <c r="CK792" s="141"/>
    </row>
    <row r="793" spans="74:89" ht="49.5" customHeight="1" x14ac:dyDescent="0.35">
      <c r="BV793" s="140"/>
      <c r="BY793" s="141"/>
      <c r="BZ793" s="141"/>
      <c r="CA793" s="141"/>
      <c r="CB793" s="141"/>
      <c r="CC793" s="141"/>
      <c r="CD793" s="141"/>
      <c r="CE793" s="141"/>
      <c r="CF793" s="141"/>
      <c r="CG793" s="141"/>
      <c r="CH793" s="141"/>
      <c r="CI793" s="141"/>
      <c r="CJ793" s="141"/>
      <c r="CK793" s="141"/>
    </row>
    <row r="794" spans="74:89" ht="49.5" customHeight="1" x14ac:dyDescent="0.35">
      <c r="BV794" s="140"/>
      <c r="BY794" s="141"/>
      <c r="BZ794" s="141"/>
      <c r="CA794" s="141"/>
      <c r="CB794" s="141"/>
      <c r="CC794" s="141"/>
      <c r="CD794" s="141"/>
      <c r="CE794" s="141"/>
      <c r="CF794" s="141"/>
      <c r="CG794" s="141"/>
      <c r="CH794" s="141"/>
      <c r="CI794" s="141"/>
      <c r="CJ794" s="141"/>
      <c r="CK794" s="141"/>
    </row>
    <row r="795" spans="74:89" ht="49.5" customHeight="1" x14ac:dyDescent="0.35">
      <c r="BV795" s="140"/>
      <c r="BY795" s="141"/>
      <c r="BZ795" s="141"/>
      <c r="CA795" s="141"/>
      <c r="CB795" s="141"/>
      <c r="CC795" s="141"/>
      <c r="CD795" s="141"/>
      <c r="CE795" s="141"/>
      <c r="CF795" s="141"/>
      <c r="CG795" s="141"/>
      <c r="CH795" s="141"/>
      <c r="CI795" s="141"/>
      <c r="CJ795" s="141"/>
      <c r="CK795" s="141"/>
    </row>
    <row r="796" spans="74:89" ht="49.5" customHeight="1" x14ac:dyDescent="0.35">
      <c r="BV796" s="140"/>
      <c r="BY796" s="141"/>
      <c r="BZ796" s="141"/>
      <c r="CA796" s="141"/>
      <c r="CB796" s="141"/>
      <c r="CC796" s="141"/>
      <c r="CD796" s="141"/>
      <c r="CE796" s="141"/>
      <c r="CF796" s="141"/>
      <c r="CG796" s="141"/>
      <c r="CH796" s="141"/>
      <c r="CI796" s="141"/>
      <c r="CJ796" s="141"/>
      <c r="CK796" s="141"/>
    </row>
    <row r="797" spans="74:89" ht="49.5" customHeight="1" x14ac:dyDescent="0.35">
      <c r="BV797" s="140"/>
      <c r="BY797" s="141"/>
      <c r="BZ797" s="141"/>
      <c r="CA797" s="141"/>
      <c r="CB797" s="141"/>
      <c r="CC797" s="141"/>
      <c r="CD797" s="141"/>
      <c r="CE797" s="141"/>
      <c r="CF797" s="141"/>
      <c r="CG797" s="141"/>
      <c r="CH797" s="141"/>
      <c r="CI797" s="141"/>
      <c r="CJ797" s="141"/>
      <c r="CK797" s="141"/>
    </row>
    <row r="798" spans="74:89" ht="49.5" customHeight="1" x14ac:dyDescent="0.35">
      <c r="BV798" s="140"/>
      <c r="BY798" s="141"/>
      <c r="BZ798" s="141"/>
      <c r="CA798" s="141"/>
      <c r="CB798" s="141"/>
      <c r="CC798" s="141"/>
      <c r="CD798" s="141"/>
      <c r="CE798" s="141"/>
      <c r="CF798" s="141"/>
      <c r="CG798" s="141"/>
      <c r="CH798" s="141"/>
      <c r="CI798" s="141"/>
      <c r="CJ798" s="141"/>
      <c r="CK798" s="141"/>
    </row>
    <row r="799" spans="74:89" ht="49.5" customHeight="1" x14ac:dyDescent="0.35">
      <c r="BV799" s="140"/>
      <c r="BY799" s="141"/>
      <c r="BZ799" s="141"/>
      <c r="CA799" s="141"/>
      <c r="CB799" s="141"/>
      <c r="CC799" s="141"/>
      <c r="CD799" s="141"/>
      <c r="CE799" s="141"/>
      <c r="CF799" s="141"/>
      <c r="CG799" s="141"/>
      <c r="CH799" s="141"/>
      <c r="CI799" s="141"/>
      <c r="CJ799" s="141"/>
      <c r="CK799" s="141"/>
    </row>
    <row r="800" spans="74:89" ht="49.5" customHeight="1" x14ac:dyDescent="0.35">
      <c r="BV800" s="140"/>
      <c r="BY800" s="141"/>
      <c r="BZ800" s="141"/>
      <c r="CA800" s="141"/>
      <c r="CB800" s="141"/>
      <c r="CC800" s="141"/>
      <c r="CD800" s="141"/>
      <c r="CE800" s="141"/>
      <c r="CF800" s="141"/>
      <c r="CG800" s="141"/>
      <c r="CH800" s="141"/>
      <c r="CI800" s="141"/>
      <c r="CJ800" s="141"/>
      <c r="CK800" s="141"/>
    </row>
    <row r="801" spans="74:89" ht="49.5" customHeight="1" x14ac:dyDescent="0.35">
      <c r="BV801" s="140"/>
      <c r="BY801" s="141"/>
      <c r="BZ801" s="141"/>
      <c r="CA801" s="141"/>
      <c r="CB801" s="141"/>
      <c r="CC801" s="141"/>
      <c r="CD801" s="141"/>
      <c r="CE801" s="141"/>
      <c r="CF801" s="141"/>
      <c r="CG801" s="141"/>
      <c r="CH801" s="141"/>
      <c r="CI801" s="141"/>
      <c r="CJ801" s="141"/>
      <c r="CK801" s="141"/>
    </row>
    <row r="802" spans="74:89" ht="49.5" customHeight="1" x14ac:dyDescent="0.35">
      <c r="BV802" s="140"/>
      <c r="BY802" s="141"/>
      <c r="BZ802" s="141"/>
      <c r="CA802" s="141"/>
      <c r="CB802" s="141"/>
      <c r="CC802" s="141"/>
      <c r="CD802" s="141"/>
      <c r="CE802" s="141"/>
      <c r="CF802" s="141"/>
      <c r="CG802" s="141"/>
      <c r="CH802" s="141"/>
      <c r="CI802" s="141"/>
      <c r="CJ802" s="141"/>
      <c r="CK802" s="141"/>
    </row>
    <row r="803" spans="74:89" ht="49.5" customHeight="1" x14ac:dyDescent="0.35">
      <c r="BV803" s="140"/>
      <c r="BY803" s="141"/>
      <c r="BZ803" s="141"/>
      <c r="CA803" s="141"/>
      <c r="CB803" s="141"/>
      <c r="CC803" s="141"/>
      <c r="CD803" s="141"/>
      <c r="CE803" s="141"/>
      <c r="CF803" s="141"/>
      <c r="CG803" s="141"/>
      <c r="CH803" s="141"/>
      <c r="CI803" s="141"/>
      <c r="CJ803" s="141"/>
      <c r="CK803" s="141"/>
    </row>
    <row r="804" spans="74:89" ht="49.5" customHeight="1" x14ac:dyDescent="0.35">
      <c r="BV804" s="140"/>
      <c r="BY804" s="141"/>
      <c r="BZ804" s="141"/>
      <c r="CA804" s="141"/>
      <c r="CB804" s="141"/>
      <c r="CC804" s="141"/>
      <c r="CD804" s="141"/>
      <c r="CE804" s="141"/>
      <c r="CF804" s="141"/>
      <c r="CG804" s="141"/>
      <c r="CH804" s="141"/>
      <c r="CI804" s="141"/>
      <c r="CJ804" s="141"/>
      <c r="CK804" s="141"/>
    </row>
    <row r="805" spans="74:89" ht="49.5" customHeight="1" x14ac:dyDescent="0.35">
      <c r="BV805" s="140"/>
      <c r="BY805" s="141"/>
      <c r="BZ805" s="141"/>
      <c r="CA805" s="141"/>
      <c r="CB805" s="141"/>
      <c r="CC805" s="141"/>
      <c r="CD805" s="141"/>
      <c r="CE805" s="141"/>
      <c r="CF805" s="141"/>
      <c r="CG805" s="141"/>
      <c r="CH805" s="141"/>
      <c r="CI805" s="141"/>
      <c r="CJ805" s="141"/>
      <c r="CK805" s="141"/>
    </row>
    <row r="806" spans="74:89" ht="49.5" customHeight="1" x14ac:dyDescent="0.35">
      <c r="BV806" s="140"/>
      <c r="BY806" s="141"/>
      <c r="BZ806" s="141"/>
      <c r="CA806" s="141"/>
      <c r="CB806" s="141"/>
      <c r="CC806" s="141"/>
      <c r="CD806" s="141"/>
      <c r="CE806" s="141"/>
      <c r="CF806" s="141"/>
      <c r="CG806" s="141"/>
      <c r="CH806" s="141"/>
      <c r="CI806" s="141"/>
      <c r="CJ806" s="141"/>
      <c r="CK806" s="141"/>
    </row>
    <row r="807" spans="74:89" ht="49.5" customHeight="1" x14ac:dyDescent="0.35">
      <c r="BV807" s="140"/>
      <c r="BY807" s="141"/>
      <c r="BZ807" s="141"/>
      <c r="CA807" s="141"/>
      <c r="CB807" s="141"/>
      <c r="CC807" s="141"/>
      <c r="CD807" s="141"/>
      <c r="CE807" s="141"/>
      <c r="CF807" s="141"/>
      <c r="CG807" s="141"/>
      <c r="CH807" s="141"/>
      <c r="CI807" s="141"/>
      <c r="CJ807" s="141"/>
      <c r="CK807" s="141"/>
    </row>
    <row r="808" spans="74:89" ht="49.5" customHeight="1" x14ac:dyDescent="0.35">
      <c r="BV808" s="140"/>
      <c r="BY808" s="141"/>
      <c r="BZ808" s="141"/>
      <c r="CA808" s="141"/>
      <c r="CB808" s="141"/>
      <c r="CC808" s="141"/>
      <c r="CD808" s="141"/>
      <c r="CE808" s="141"/>
      <c r="CF808" s="141"/>
      <c r="CG808" s="141"/>
      <c r="CH808" s="141"/>
      <c r="CI808" s="141"/>
      <c r="CJ808" s="141"/>
      <c r="CK808" s="141"/>
    </row>
    <row r="809" spans="74:89" ht="49.5" customHeight="1" x14ac:dyDescent="0.35">
      <c r="BV809" s="140"/>
      <c r="BY809" s="141"/>
      <c r="BZ809" s="141"/>
      <c r="CA809" s="141"/>
      <c r="CB809" s="141"/>
      <c r="CC809" s="141"/>
      <c r="CD809" s="141"/>
      <c r="CE809" s="141"/>
      <c r="CF809" s="141"/>
      <c r="CG809" s="141"/>
      <c r="CH809" s="141"/>
      <c r="CI809" s="141"/>
      <c r="CJ809" s="141"/>
      <c r="CK809" s="141"/>
    </row>
    <row r="810" spans="74:89" ht="49.5" customHeight="1" x14ac:dyDescent="0.35">
      <c r="BV810" s="140"/>
      <c r="BY810" s="141"/>
      <c r="BZ810" s="141"/>
      <c r="CA810" s="141"/>
      <c r="CB810" s="141"/>
      <c r="CC810" s="141"/>
      <c r="CD810" s="141"/>
      <c r="CE810" s="141"/>
      <c r="CF810" s="141"/>
      <c r="CG810" s="141"/>
      <c r="CH810" s="141"/>
      <c r="CI810" s="141"/>
      <c r="CJ810" s="141"/>
      <c r="CK810" s="141"/>
    </row>
    <row r="811" spans="74:89" ht="49.5" customHeight="1" x14ac:dyDescent="0.35">
      <c r="BV811" s="140"/>
      <c r="BY811" s="141"/>
      <c r="BZ811" s="141"/>
      <c r="CA811" s="141"/>
      <c r="CB811" s="141"/>
      <c r="CC811" s="141"/>
      <c r="CD811" s="141"/>
      <c r="CE811" s="141"/>
      <c r="CF811" s="141"/>
      <c r="CG811" s="141"/>
      <c r="CH811" s="141"/>
      <c r="CI811" s="141"/>
      <c r="CJ811" s="141"/>
      <c r="CK811" s="141"/>
    </row>
    <row r="812" spans="74:89" ht="49.5" customHeight="1" x14ac:dyDescent="0.35">
      <c r="BV812" s="140"/>
      <c r="BY812" s="141"/>
      <c r="BZ812" s="141"/>
      <c r="CA812" s="141"/>
      <c r="CB812" s="141"/>
      <c r="CC812" s="141"/>
      <c r="CD812" s="141"/>
      <c r="CE812" s="141"/>
      <c r="CF812" s="141"/>
      <c r="CG812" s="141"/>
      <c r="CH812" s="141"/>
      <c r="CI812" s="141"/>
      <c r="CJ812" s="141"/>
      <c r="CK812" s="141"/>
    </row>
    <row r="813" spans="74:89" ht="49.5" customHeight="1" x14ac:dyDescent="0.35">
      <c r="BV813" s="140"/>
      <c r="BY813" s="141"/>
      <c r="BZ813" s="141"/>
      <c r="CA813" s="141"/>
      <c r="CB813" s="141"/>
      <c r="CC813" s="141"/>
      <c r="CD813" s="141"/>
      <c r="CE813" s="141"/>
      <c r="CF813" s="141"/>
      <c r="CG813" s="141"/>
      <c r="CH813" s="141"/>
      <c r="CI813" s="141"/>
      <c r="CJ813" s="141"/>
      <c r="CK813" s="141"/>
    </row>
    <row r="814" spans="74:89" ht="49.5" customHeight="1" x14ac:dyDescent="0.35">
      <c r="BV814" s="140"/>
      <c r="BY814" s="141"/>
      <c r="BZ814" s="141"/>
      <c r="CA814" s="141"/>
      <c r="CB814" s="141"/>
      <c r="CC814" s="141"/>
      <c r="CD814" s="141"/>
      <c r="CE814" s="141"/>
      <c r="CF814" s="141"/>
      <c r="CG814" s="141"/>
      <c r="CH814" s="141"/>
      <c r="CI814" s="141"/>
      <c r="CJ814" s="141"/>
      <c r="CK814" s="141"/>
    </row>
    <row r="815" spans="74:89" ht="49.5" customHeight="1" x14ac:dyDescent="0.35">
      <c r="BV815" s="140"/>
      <c r="BY815" s="141"/>
      <c r="BZ815" s="141"/>
      <c r="CA815" s="141"/>
      <c r="CB815" s="141"/>
      <c r="CC815" s="141"/>
      <c r="CD815" s="141"/>
      <c r="CE815" s="141"/>
      <c r="CF815" s="141"/>
      <c r="CG815" s="141"/>
      <c r="CH815" s="141"/>
      <c r="CI815" s="141"/>
      <c r="CJ815" s="141"/>
      <c r="CK815" s="141"/>
    </row>
    <row r="816" spans="74:89" ht="49.5" customHeight="1" x14ac:dyDescent="0.35">
      <c r="BV816" s="140"/>
      <c r="BY816" s="141"/>
      <c r="BZ816" s="141"/>
      <c r="CA816" s="141"/>
      <c r="CB816" s="141"/>
      <c r="CC816" s="141"/>
      <c r="CD816" s="141"/>
      <c r="CE816" s="141"/>
      <c r="CF816" s="141"/>
      <c r="CG816" s="141"/>
      <c r="CH816" s="141"/>
      <c r="CI816" s="141"/>
      <c r="CJ816" s="141"/>
      <c r="CK816" s="141"/>
    </row>
    <row r="817" spans="74:89" ht="49.5" customHeight="1" x14ac:dyDescent="0.35">
      <c r="BV817" s="140"/>
      <c r="BY817" s="141"/>
      <c r="BZ817" s="141"/>
      <c r="CA817" s="141"/>
      <c r="CB817" s="141"/>
      <c r="CC817" s="141"/>
      <c r="CD817" s="141"/>
      <c r="CE817" s="141"/>
      <c r="CF817" s="141"/>
      <c r="CG817" s="141"/>
      <c r="CH817" s="141"/>
      <c r="CI817" s="141"/>
      <c r="CJ817" s="141"/>
      <c r="CK817" s="141"/>
    </row>
    <row r="818" spans="74:89" ht="49.5" customHeight="1" x14ac:dyDescent="0.35">
      <c r="BV818" s="140"/>
      <c r="BY818" s="141"/>
      <c r="BZ818" s="141"/>
      <c r="CA818" s="141"/>
      <c r="CB818" s="141"/>
      <c r="CC818" s="141"/>
      <c r="CD818" s="141"/>
      <c r="CE818" s="141"/>
      <c r="CF818" s="141"/>
      <c r="CG818" s="141"/>
      <c r="CH818" s="141"/>
      <c r="CI818" s="141"/>
      <c r="CJ818" s="141"/>
      <c r="CK818" s="141"/>
    </row>
    <row r="819" spans="74:89" ht="49.5" customHeight="1" x14ac:dyDescent="0.35">
      <c r="BV819" s="140"/>
      <c r="BY819" s="141"/>
      <c r="BZ819" s="141"/>
      <c r="CA819" s="141"/>
      <c r="CB819" s="141"/>
      <c r="CC819" s="141"/>
      <c r="CD819" s="141"/>
      <c r="CE819" s="141"/>
      <c r="CF819" s="141"/>
      <c r="CG819" s="141"/>
      <c r="CH819" s="141"/>
      <c r="CI819" s="141"/>
      <c r="CJ819" s="141"/>
      <c r="CK819" s="141"/>
    </row>
    <row r="820" spans="74:89" ht="49.5" customHeight="1" x14ac:dyDescent="0.35">
      <c r="BV820" s="140"/>
      <c r="BY820" s="141"/>
      <c r="BZ820" s="141"/>
      <c r="CA820" s="141"/>
      <c r="CB820" s="141"/>
      <c r="CC820" s="141"/>
      <c r="CD820" s="141"/>
      <c r="CE820" s="141"/>
      <c r="CF820" s="141"/>
      <c r="CG820" s="141"/>
      <c r="CH820" s="141"/>
      <c r="CI820" s="141"/>
      <c r="CJ820" s="141"/>
      <c r="CK820" s="141"/>
    </row>
    <row r="821" spans="74:89" ht="49.5" customHeight="1" x14ac:dyDescent="0.35">
      <c r="BV821" s="140"/>
      <c r="BY821" s="141"/>
      <c r="BZ821" s="141"/>
      <c r="CA821" s="141"/>
      <c r="CB821" s="141"/>
      <c r="CC821" s="141"/>
      <c r="CD821" s="141"/>
      <c r="CE821" s="141"/>
      <c r="CF821" s="141"/>
      <c r="CG821" s="141"/>
      <c r="CH821" s="141"/>
      <c r="CI821" s="141"/>
      <c r="CJ821" s="141"/>
      <c r="CK821" s="141"/>
    </row>
    <row r="822" spans="74:89" ht="49.5" customHeight="1" x14ac:dyDescent="0.35">
      <c r="BV822" s="140"/>
      <c r="BY822" s="141"/>
      <c r="BZ822" s="141"/>
      <c r="CA822" s="141"/>
      <c r="CB822" s="141"/>
      <c r="CC822" s="141"/>
      <c r="CD822" s="141"/>
      <c r="CE822" s="141"/>
      <c r="CF822" s="141"/>
      <c r="CG822" s="141"/>
      <c r="CH822" s="141"/>
      <c r="CI822" s="141"/>
      <c r="CJ822" s="141"/>
      <c r="CK822" s="141"/>
    </row>
    <row r="823" spans="74:89" ht="49.5" customHeight="1" x14ac:dyDescent="0.35">
      <c r="BV823" s="140"/>
      <c r="BY823" s="141"/>
      <c r="BZ823" s="141"/>
      <c r="CA823" s="141"/>
      <c r="CB823" s="141"/>
      <c r="CC823" s="141"/>
      <c r="CD823" s="141"/>
      <c r="CE823" s="141"/>
      <c r="CF823" s="141"/>
      <c r="CG823" s="141"/>
      <c r="CH823" s="141"/>
      <c r="CI823" s="141"/>
      <c r="CJ823" s="141"/>
      <c r="CK823" s="141"/>
    </row>
    <row r="824" spans="74:89" ht="49.5" customHeight="1" x14ac:dyDescent="0.35">
      <c r="BV824" s="140"/>
      <c r="BY824" s="141"/>
      <c r="BZ824" s="141"/>
      <c r="CA824" s="141"/>
      <c r="CB824" s="141"/>
      <c r="CC824" s="141"/>
      <c r="CD824" s="141"/>
      <c r="CE824" s="141"/>
      <c r="CF824" s="141"/>
      <c r="CG824" s="141"/>
      <c r="CH824" s="141"/>
      <c r="CI824" s="141"/>
      <c r="CJ824" s="141"/>
      <c r="CK824" s="141"/>
    </row>
    <row r="825" spans="74:89" ht="49.5" customHeight="1" x14ac:dyDescent="0.35">
      <c r="BV825" s="140"/>
      <c r="BY825" s="141"/>
      <c r="BZ825" s="141"/>
      <c r="CA825" s="141"/>
      <c r="CB825" s="141"/>
      <c r="CC825" s="141"/>
      <c r="CD825" s="141"/>
      <c r="CE825" s="141"/>
      <c r="CF825" s="141"/>
      <c r="CG825" s="141"/>
      <c r="CH825" s="141"/>
      <c r="CI825" s="141"/>
      <c r="CJ825" s="141"/>
      <c r="CK825" s="141"/>
    </row>
    <row r="826" spans="74:89" ht="49.5" customHeight="1" x14ac:dyDescent="0.35">
      <c r="BV826" s="140"/>
      <c r="BY826" s="141"/>
      <c r="BZ826" s="141"/>
      <c r="CA826" s="141"/>
      <c r="CB826" s="141"/>
      <c r="CC826" s="141"/>
      <c r="CD826" s="141"/>
      <c r="CE826" s="141"/>
      <c r="CF826" s="141"/>
      <c r="CG826" s="141"/>
      <c r="CH826" s="141"/>
      <c r="CI826" s="141"/>
      <c r="CJ826" s="141"/>
      <c r="CK826" s="141"/>
    </row>
    <row r="827" spans="74:89" ht="49.5" customHeight="1" x14ac:dyDescent="0.35">
      <c r="BV827" s="140"/>
      <c r="BY827" s="141"/>
      <c r="BZ827" s="141"/>
      <c r="CA827" s="141"/>
      <c r="CB827" s="141"/>
      <c r="CC827" s="141"/>
      <c r="CD827" s="141"/>
      <c r="CE827" s="141"/>
      <c r="CF827" s="141"/>
      <c r="CG827" s="141"/>
      <c r="CH827" s="141"/>
      <c r="CI827" s="141"/>
      <c r="CJ827" s="141"/>
      <c r="CK827" s="141"/>
    </row>
    <row r="828" spans="74:89" ht="49.5" customHeight="1" x14ac:dyDescent="0.35">
      <c r="BV828" s="140"/>
      <c r="BY828" s="141"/>
      <c r="BZ828" s="141"/>
      <c r="CA828" s="141"/>
      <c r="CB828" s="141"/>
      <c r="CC828" s="141"/>
      <c r="CD828" s="141"/>
      <c r="CE828" s="141"/>
      <c r="CF828" s="141"/>
      <c r="CG828" s="141"/>
      <c r="CH828" s="141"/>
      <c r="CI828" s="141"/>
      <c r="CJ828" s="141"/>
      <c r="CK828" s="141"/>
    </row>
    <row r="829" spans="74:89" ht="49.5" customHeight="1" x14ac:dyDescent="0.35">
      <c r="BV829" s="140"/>
      <c r="BY829" s="141"/>
      <c r="BZ829" s="141"/>
      <c r="CA829" s="141"/>
      <c r="CB829" s="141"/>
      <c r="CC829" s="141"/>
      <c r="CD829" s="141"/>
      <c r="CE829" s="141"/>
      <c r="CF829" s="141"/>
      <c r="CG829" s="141"/>
      <c r="CH829" s="141"/>
      <c r="CI829" s="141"/>
      <c r="CJ829" s="141"/>
      <c r="CK829" s="141"/>
    </row>
    <row r="830" spans="74:89" ht="49.5" customHeight="1" x14ac:dyDescent="0.35">
      <c r="BV830" s="140"/>
      <c r="BY830" s="141"/>
      <c r="BZ830" s="141"/>
      <c r="CA830" s="141"/>
      <c r="CB830" s="141"/>
      <c r="CC830" s="141"/>
      <c r="CD830" s="141"/>
      <c r="CE830" s="141"/>
      <c r="CF830" s="141"/>
      <c r="CG830" s="141"/>
      <c r="CH830" s="141"/>
      <c r="CI830" s="141"/>
      <c r="CJ830" s="141"/>
      <c r="CK830" s="141"/>
    </row>
    <row r="831" spans="74:89" ht="49.5" customHeight="1" x14ac:dyDescent="0.35">
      <c r="BV831" s="140"/>
      <c r="BY831" s="141"/>
      <c r="BZ831" s="141"/>
      <c r="CA831" s="141"/>
      <c r="CB831" s="141"/>
      <c r="CC831" s="141"/>
      <c r="CD831" s="141"/>
      <c r="CE831" s="141"/>
      <c r="CF831" s="141"/>
      <c r="CG831" s="141"/>
      <c r="CH831" s="141"/>
      <c r="CI831" s="141"/>
      <c r="CJ831" s="141"/>
      <c r="CK831" s="141"/>
    </row>
    <row r="832" spans="74:89" ht="49.5" customHeight="1" x14ac:dyDescent="0.35">
      <c r="BV832" s="140"/>
      <c r="BY832" s="141"/>
      <c r="BZ832" s="141"/>
      <c r="CA832" s="141"/>
      <c r="CB832" s="141"/>
      <c r="CC832" s="141"/>
      <c r="CD832" s="141"/>
      <c r="CE832" s="141"/>
      <c r="CF832" s="141"/>
      <c r="CG832" s="141"/>
      <c r="CH832" s="141"/>
      <c r="CI832" s="141"/>
      <c r="CJ832" s="141"/>
      <c r="CK832" s="141"/>
    </row>
    <row r="833" spans="74:89" ht="49.5" customHeight="1" x14ac:dyDescent="0.35">
      <c r="BV833" s="140"/>
      <c r="BY833" s="141"/>
      <c r="BZ833" s="141"/>
      <c r="CA833" s="141"/>
      <c r="CB833" s="141"/>
      <c r="CC833" s="141"/>
      <c r="CD833" s="141"/>
      <c r="CE833" s="141"/>
      <c r="CF833" s="141"/>
      <c r="CG833" s="141"/>
      <c r="CH833" s="141"/>
      <c r="CI833" s="141"/>
      <c r="CJ833" s="141"/>
      <c r="CK833" s="141"/>
    </row>
    <row r="834" spans="74:89" ht="49.5" customHeight="1" x14ac:dyDescent="0.35">
      <c r="BV834" s="140"/>
      <c r="BY834" s="141"/>
      <c r="BZ834" s="141"/>
      <c r="CA834" s="141"/>
      <c r="CB834" s="141"/>
      <c r="CC834" s="141"/>
      <c r="CD834" s="141"/>
      <c r="CE834" s="141"/>
      <c r="CF834" s="141"/>
      <c r="CG834" s="141"/>
      <c r="CH834" s="141"/>
      <c r="CI834" s="141"/>
      <c r="CJ834" s="141"/>
      <c r="CK834" s="141"/>
    </row>
    <row r="835" spans="74:89" ht="49.5" customHeight="1" x14ac:dyDescent="0.35">
      <c r="BV835" s="140"/>
      <c r="BY835" s="141"/>
      <c r="BZ835" s="141"/>
      <c r="CA835" s="141"/>
      <c r="CB835" s="141"/>
      <c r="CC835" s="141"/>
      <c r="CD835" s="141"/>
      <c r="CE835" s="141"/>
      <c r="CF835" s="141"/>
      <c r="CG835" s="141"/>
      <c r="CH835" s="141"/>
      <c r="CI835" s="141"/>
      <c r="CJ835" s="141"/>
      <c r="CK835" s="141"/>
    </row>
    <row r="836" spans="74:89" ht="49.5" customHeight="1" x14ac:dyDescent="0.35">
      <c r="BV836" s="140"/>
      <c r="BY836" s="141"/>
      <c r="BZ836" s="141"/>
      <c r="CA836" s="141"/>
      <c r="CB836" s="141"/>
      <c r="CC836" s="141"/>
      <c r="CD836" s="141"/>
      <c r="CE836" s="141"/>
      <c r="CF836" s="141"/>
      <c r="CG836" s="141"/>
      <c r="CH836" s="141"/>
      <c r="CI836" s="141"/>
      <c r="CJ836" s="141"/>
      <c r="CK836" s="141"/>
    </row>
    <row r="837" spans="74:89" ht="49.5" customHeight="1" x14ac:dyDescent="0.35">
      <c r="BV837" s="140"/>
      <c r="BY837" s="141"/>
      <c r="BZ837" s="141"/>
      <c r="CA837" s="141"/>
      <c r="CB837" s="141"/>
      <c r="CC837" s="141"/>
      <c r="CD837" s="141"/>
      <c r="CE837" s="141"/>
      <c r="CF837" s="141"/>
      <c r="CG837" s="141"/>
      <c r="CH837" s="141"/>
      <c r="CI837" s="141"/>
      <c r="CJ837" s="141"/>
      <c r="CK837" s="141"/>
    </row>
    <row r="838" spans="74:89" ht="49.5" customHeight="1" x14ac:dyDescent="0.35">
      <c r="BV838" s="140"/>
      <c r="BY838" s="141"/>
      <c r="BZ838" s="141"/>
      <c r="CA838" s="141"/>
      <c r="CB838" s="141"/>
      <c r="CC838" s="141"/>
      <c r="CD838" s="141"/>
      <c r="CE838" s="141"/>
      <c r="CF838" s="141"/>
      <c r="CG838" s="141"/>
      <c r="CH838" s="141"/>
      <c r="CI838" s="141"/>
      <c r="CJ838" s="141"/>
      <c r="CK838" s="141"/>
    </row>
    <row r="839" spans="74:89" ht="49.5" customHeight="1" x14ac:dyDescent="0.35">
      <c r="BV839" s="140"/>
      <c r="BY839" s="141"/>
      <c r="BZ839" s="141"/>
      <c r="CA839" s="141"/>
      <c r="CB839" s="141"/>
      <c r="CC839" s="141"/>
      <c r="CD839" s="141"/>
      <c r="CE839" s="141"/>
      <c r="CF839" s="141"/>
      <c r="CG839" s="141"/>
      <c r="CH839" s="141"/>
      <c r="CI839" s="141"/>
      <c r="CJ839" s="141"/>
      <c r="CK839" s="141"/>
    </row>
    <row r="840" spans="74:89" ht="49.5" customHeight="1" x14ac:dyDescent="0.35">
      <c r="BV840" s="140"/>
      <c r="BY840" s="141"/>
      <c r="BZ840" s="141"/>
      <c r="CA840" s="141"/>
      <c r="CB840" s="141"/>
      <c r="CC840" s="141"/>
      <c r="CD840" s="141"/>
      <c r="CE840" s="141"/>
      <c r="CF840" s="141"/>
      <c r="CG840" s="141"/>
      <c r="CH840" s="141"/>
      <c r="CI840" s="141"/>
      <c r="CJ840" s="141"/>
      <c r="CK840" s="141"/>
    </row>
    <row r="841" spans="74:89" ht="49.5" customHeight="1" x14ac:dyDescent="0.35">
      <c r="BV841" s="140"/>
      <c r="BY841" s="141"/>
      <c r="BZ841" s="141"/>
      <c r="CA841" s="141"/>
      <c r="CB841" s="141"/>
      <c r="CC841" s="141"/>
      <c r="CD841" s="141"/>
      <c r="CE841" s="141"/>
      <c r="CF841" s="141"/>
      <c r="CG841" s="141"/>
      <c r="CH841" s="141"/>
      <c r="CI841" s="141"/>
      <c r="CJ841" s="141"/>
      <c r="CK841" s="141"/>
    </row>
    <row r="842" spans="74:89" ht="49.5" customHeight="1" x14ac:dyDescent="0.35">
      <c r="BV842" s="140"/>
      <c r="BY842" s="141"/>
      <c r="BZ842" s="141"/>
      <c r="CA842" s="141"/>
      <c r="CB842" s="141"/>
      <c r="CC842" s="141"/>
      <c r="CD842" s="141"/>
      <c r="CE842" s="141"/>
      <c r="CF842" s="141"/>
      <c r="CG842" s="141"/>
      <c r="CH842" s="141"/>
      <c r="CI842" s="141"/>
      <c r="CJ842" s="141"/>
      <c r="CK842" s="141"/>
    </row>
    <row r="843" spans="74:89" ht="49.5" customHeight="1" x14ac:dyDescent="0.35">
      <c r="BV843" s="140"/>
      <c r="BY843" s="141"/>
      <c r="BZ843" s="141"/>
      <c r="CA843" s="141"/>
      <c r="CB843" s="141"/>
      <c r="CC843" s="141"/>
      <c r="CD843" s="141"/>
      <c r="CE843" s="141"/>
      <c r="CF843" s="141"/>
      <c r="CG843" s="141"/>
      <c r="CH843" s="141"/>
      <c r="CI843" s="141"/>
      <c r="CJ843" s="141"/>
      <c r="CK843" s="141"/>
    </row>
    <row r="844" spans="74:89" ht="49.5" customHeight="1" x14ac:dyDescent="0.35">
      <c r="BV844" s="140"/>
      <c r="BY844" s="141"/>
      <c r="BZ844" s="141"/>
      <c r="CA844" s="141"/>
      <c r="CB844" s="141"/>
      <c r="CC844" s="141"/>
      <c r="CD844" s="141"/>
      <c r="CE844" s="141"/>
      <c r="CF844" s="141"/>
      <c r="CG844" s="141"/>
      <c r="CH844" s="141"/>
      <c r="CI844" s="141"/>
      <c r="CJ844" s="141"/>
      <c r="CK844" s="141"/>
    </row>
    <row r="845" spans="74:89" ht="49.5" customHeight="1" x14ac:dyDescent="0.35">
      <c r="BV845" s="140"/>
      <c r="BY845" s="141"/>
      <c r="BZ845" s="141"/>
      <c r="CA845" s="141"/>
      <c r="CB845" s="141"/>
      <c r="CC845" s="141"/>
      <c r="CD845" s="141"/>
      <c r="CE845" s="141"/>
      <c r="CF845" s="141"/>
      <c r="CG845" s="141"/>
      <c r="CH845" s="141"/>
      <c r="CI845" s="141"/>
      <c r="CJ845" s="141"/>
      <c r="CK845" s="141"/>
    </row>
    <row r="846" spans="74:89" ht="49.5" customHeight="1" x14ac:dyDescent="0.35">
      <c r="BV846" s="140"/>
      <c r="BY846" s="141"/>
      <c r="BZ846" s="141"/>
      <c r="CA846" s="141"/>
      <c r="CB846" s="141"/>
      <c r="CC846" s="141"/>
      <c r="CD846" s="141"/>
      <c r="CE846" s="141"/>
      <c r="CF846" s="141"/>
      <c r="CG846" s="141"/>
      <c r="CH846" s="141"/>
      <c r="CI846" s="141"/>
      <c r="CJ846" s="141"/>
      <c r="CK846" s="141"/>
    </row>
    <row r="847" spans="74:89" ht="49.5" customHeight="1" x14ac:dyDescent="0.35">
      <c r="BV847" s="140"/>
      <c r="BY847" s="141"/>
      <c r="BZ847" s="141"/>
      <c r="CA847" s="141"/>
      <c r="CB847" s="141"/>
      <c r="CC847" s="141"/>
      <c r="CD847" s="141"/>
      <c r="CE847" s="141"/>
      <c r="CF847" s="141"/>
      <c r="CG847" s="141"/>
      <c r="CH847" s="141"/>
      <c r="CI847" s="141"/>
      <c r="CJ847" s="141"/>
      <c r="CK847" s="141"/>
    </row>
    <row r="848" spans="74:89" ht="49.5" customHeight="1" x14ac:dyDescent="0.35">
      <c r="BV848" s="140"/>
      <c r="BY848" s="141"/>
      <c r="BZ848" s="141"/>
      <c r="CA848" s="141"/>
      <c r="CB848" s="141"/>
      <c r="CC848" s="141"/>
      <c r="CD848" s="141"/>
      <c r="CE848" s="141"/>
      <c r="CF848" s="141"/>
      <c r="CG848" s="141"/>
      <c r="CH848" s="141"/>
      <c r="CI848" s="141"/>
      <c r="CJ848" s="141"/>
      <c r="CK848" s="141"/>
    </row>
    <row r="849" spans="74:89" ht="49.5" customHeight="1" x14ac:dyDescent="0.35">
      <c r="BV849" s="140"/>
      <c r="BY849" s="141"/>
      <c r="BZ849" s="141"/>
      <c r="CA849" s="141"/>
      <c r="CB849" s="141"/>
      <c r="CC849" s="141"/>
      <c r="CD849" s="141"/>
      <c r="CE849" s="141"/>
      <c r="CF849" s="141"/>
      <c r="CG849" s="141"/>
      <c r="CH849" s="141"/>
      <c r="CI849" s="141"/>
      <c r="CJ849" s="141"/>
      <c r="CK849" s="141"/>
    </row>
    <row r="850" spans="74:89" ht="49.5" customHeight="1" x14ac:dyDescent="0.35">
      <c r="BV850" s="140"/>
      <c r="BY850" s="141"/>
      <c r="BZ850" s="141"/>
      <c r="CA850" s="141"/>
      <c r="CB850" s="141"/>
      <c r="CC850" s="141"/>
      <c r="CD850" s="141"/>
      <c r="CE850" s="141"/>
      <c r="CF850" s="141"/>
      <c r="CG850" s="141"/>
      <c r="CH850" s="141"/>
      <c r="CI850" s="141"/>
      <c r="CJ850" s="141"/>
      <c r="CK850" s="141"/>
    </row>
    <row r="851" spans="74:89" ht="49.5" customHeight="1" x14ac:dyDescent="0.35">
      <c r="BV851" s="140"/>
      <c r="BY851" s="141"/>
      <c r="BZ851" s="141"/>
      <c r="CA851" s="141"/>
      <c r="CB851" s="141"/>
      <c r="CC851" s="141"/>
      <c r="CD851" s="141"/>
      <c r="CE851" s="141"/>
      <c r="CF851" s="141"/>
      <c r="CG851" s="141"/>
      <c r="CH851" s="141"/>
      <c r="CI851" s="141"/>
      <c r="CJ851" s="141"/>
      <c r="CK851" s="141"/>
    </row>
    <row r="852" spans="74:89" ht="49.5" customHeight="1" x14ac:dyDescent="0.35">
      <c r="BV852" s="140"/>
      <c r="BY852" s="141"/>
      <c r="BZ852" s="141"/>
      <c r="CA852" s="141"/>
      <c r="CB852" s="141"/>
      <c r="CC852" s="141"/>
      <c r="CD852" s="141"/>
      <c r="CE852" s="141"/>
      <c r="CF852" s="141"/>
      <c r="CG852" s="141"/>
      <c r="CH852" s="141"/>
      <c r="CI852" s="141"/>
      <c r="CJ852" s="141"/>
      <c r="CK852" s="141"/>
    </row>
    <row r="853" spans="74:89" ht="49.5" customHeight="1" x14ac:dyDescent="0.35">
      <c r="BV853" s="140"/>
      <c r="BY853" s="141"/>
      <c r="BZ853" s="141"/>
      <c r="CA853" s="141"/>
      <c r="CB853" s="141"/>
      <c r="CC853" s="141"/>
      <c r="CD853" s="141"/>
      <c r="CE853" s="141"/>
      <c r="CF853" s="141"/>
      <c r="CG853" s="141"/>
      <c r="CH853" s="141"/>
      <c r="CI853" s="141"/>
      <c r="CJ853" s="141"/>
      <c r="CK853" s="141"/>
    </row>
    <row r="854" spans="74:89" ht="49.5" customHeight="1" x14ac:dyDescent="0.35">
      <c r="BV854" s="140"/>
      <c r="BY854" s="141"/>
      <c r="BZ854" s="141"/>
      <c r="CA854" s="141"/>
      <c r="CB854" s="141"/>
      <c r="CC854" s="141"/>
      <c r="CD854" s="141"/>
      <c r="CE854" s="141"/>
      <c r="CF854" s="141"/>
      <c r="CG854" s="141"/>
      <c r="CH854" s="141"/>
      <c r="CI854" s="141"/>
      <c r="CJ854" s="141"/>
      <c r="CK854" s="141"/>
    </row>
    <row r="855" spans="74:89" ht="49.5" customHeight="1" x14ac:dyDescent="0.35">
      <c r="BV855" s="140"/>
      <c r="BY855" s="141"/>
      <c r="BZ855" s="141"/>
      <c r="CA855" s="141"/>
      <c r="CB855" s="141"/>
      <c r="CC855" s="141"/>
      <c r="CD855" s="141"/>
      <c r="CE855" s="141"/>
      <c r="CF855" s="141"/>
      <c r="CG855" s="141"/>
      <c r="CH855" s="141"/>
      <c r="CI855" s="141"/>
      <c r="CJ855" s="141"/>
      <c r="CK855" s="141"/>
    </row>
    <row r="856" spans="74:89" ht="49.5" customHeight="1" x14ac:dyDescent="0.35">
      <c r="BV856" s="140"/>
      <c r="BY856" s="141"/>
      <c r="BZ856" s="141"/>
      <c r="CA856" s="141"/>
      <c r="CB856" s="141"/>
      <c r="CC856" s="141"/>
      <c r="CD856" s="141"/>
      <c r="CE856" s="141"/>
      <c r="CF856" s="141"/>
      <c r="CG856" s="141"/>
      <c r="CH856" s="141"/>
      <c r="CI856" s="141"/>
      <c r="CJ856" s="141"/>
      <c r="CK856" s="141"/>
    </row>
    <row r="857" spans="74:89" ht="49.5" customHeight="1" x14ac:dyDescent="0.35">
      <c r="BV857" s="140"/>
      <c r="BY857" s="141"/>
      <c r="BZ857" s="141"/>
      <c r="CA857" s="141"/>
      <c r="CB857" s="141"/>
      <c r="CC857" s="141"/>
      <c r="CD857" s="141"/>
      <c r="CE857" s="141"/>
      <c r="CF857" s="141"/>
      <c r="CG857" s="141"/>
      <c r="CH857" s="141"/>
      <c r="CI857" s="141"/>
      <c r="CJ857" s="141"/>
      <c r="CK857" s="141"/>
    </row>
    <row r="858" spans="74:89" ht="49.5" customHeight="1" x14ac:dyDescent="0.35">
      <c r="BV858" s="140"/>
      <c r="BY858" s="141"/>
      <c r="BZ858" s="141"/>
      <c r="CA858" s="141"/>
      <c r="CB858" s="141"/>
      <c r="CC858" s="141"/>
      <c r="CD858" s="141"/>
      <c r="CE858" s="141"/>
      <c r="CF858" s="141"/>
      <c r="CG858" s="141"/>
      <c r="CH858" s="141"/>
      <c r="CI858" s="141"/>
      <c r="CJ858" s="141"/>
      <c r="CK858" s="141"/>
    </row>
    <row r="859" spans="74:89" ht="49.5" customHeight="1" x14ac:dyDescent="0.35">
      <c r="BV859" s="140"/>
      <c r="BY859" s="141"/>
      <c r="BZ859" s="141"/>
      <c r="CA859" s="141"/>
      <c r="CB859" s="141"/>
      <c r="CC859" s="141"/>
      <c r="CD859" s="141"/>
      <c r="CE859" s="141"/>
      <c r="CF859" s="141"/>
      <c r="CG859" s="141"/>
      <c r="CH859" s="141"/>
      <c r="CI859" s="141"/>
      <c r="CJ859" s="141"/>
      <c r="CK859" s="141"/>
    </row>
    <row r="860" spans="74:89" ht="49.5" customHeight="1" x14ac:dyDescent="0.35">
      <c r="BV860" s="140"/>
      <c r="BY860" s="141"/>
      <c r="BZ860" s="141"/>
      <c r="CA860" s="141"/>
      <c r="CB860" s="141"/>
      <c r="CC860" s="141"/>
      <c r="CD860" s="141"/>
      <c r="CE860" s="141"/>
      <c r="CF860" s="141"/>
      <c r="CG860" s="141"/>
      <c r="CH860" s="141"/>
      <c r="CI860" s="141"/>
      <c r="CJ860" s="141"/>
      <c r="CK860" s="141"/>
    </row>
    <row r="861" spans="74:89" ht="49.5" customHeight="1" x14ac:dyDescent="0.35">
      <c r="BV861" s="140"/>
      <c r="BY861" s="141"/>
      <c r="BZ861" s="141"/>
      <c r="CA861" s="141"/>
      <c r="CB861" s="141"/>
      <c r="CC861" s="141"/>
      <c r="CD861" s="141"/>
      <c r="CE861" s="141"/>
      <c r="CF861" s="141"/>
      <c r="CG861" s="141"/>
      <c r="CH861" s="141"/>
      <c r="CI861" s="141"/>
      <c r="CJ861" s="141"/>
      <c r="CK861" s="141"/>
    </row>
    <row r="862" spans="74:89" ht="49.5" customHeight="1" x14ac:dyDescent="0.35">
      <c r="BV862" s="140"/>
      <c r="BY862" s="141"/>
      <c r="BZ862" s="141"/>
      <c r="CA862" s="141"/>
      <c r="CB862" s="141"/>
      <c r="CC862" s="141"/>
      <c r="CD862" s="141"/>
      <c r="CE862" s="141"/>
      <c r="CF862" s="141"/>
      <c r="CG862" s="141"/>
      <c r="CH862" s="141"/>
      <c r="CI862" s="141"/>
      <c r="CJ862" s="141"/>
      <c r="CK862" s="141"/>
    </row>
    <row r="863" spans="74:89" ht="49.5" customHeight="1" x14ac:dyDescent="0.35">
      <c r="BV863" s="140"/>
      <c r="BY863" s="141"/>
      <c r="BZ863" s="141"/>
      <c r="CA863" s="141"/>
      <c r="CB863" s="141"/>
      <c r="CC863" s="141"/>
      <c r="CD863" s="141"/>
      <c r="CE863" s="141"/>
      <c r="CF863" s="141"/>
      <c r="CG863" s="141"/>
      <c r="CH863" s="141"/>
      <c r="CI863" s="141"/>
      <c r="CJ863" s="141"/>
      <c r="CK863" s="141"/>
    </row>
    <row r="864" spans="74:89" ht="49.5" customHeight="1" x14ac:dyDescent="0.35">
      <c r="BV864" s="140"/>
      <c r="BY864" s="141"/>
      <c r="BZ864" s="141"/>
      <c r="CA864" s="141"/>
      <c r="CB864" s="141"/>
      <c r="CC864" s="141"/>
      <c r="CD864" s="141"/>
      <c r="CE864" s="141"/>
      <c r="CF864" s="141"/>
      <c r="CG864" s="141"/>
      <c r="CH864" s="141"/>
      <c r="CI864" s="141"/>
      <c r="CJ864" s="141"/>
      <c r="CK864" s="141"/>
    </row>
    <row r="865" spans="74:89" ht="49.5" customHeight="1" x14ac:dyDescent="0.35">
      <c r="BV865" s="140"/>
      <c r="BY865" s="141"/>
      <c r="BZ865" s="141"/>
      <c r="CA865" s="141"/>
      <c r="CB865" s="141"/>
      <c r="CC865" s="141"/>
      <c r="CD865" s="141"/>
      <c r="CE865" s="141"/>
      <c r="CF865" s="141"/>
      <c r="CG865" s="141"/>
      <c r="CH865" s="141"/>
      <c r="CI865" s="141"/>
      <c r="CJ865" s="141"/>
      <c r="CK865" s="141"/>
    </row>
    <row r="866" spans="74:89" ht="49.5" customHeight="1" x14ac:dyDescent="0.35">
      <c r="BV866" s="140"/>
      <c r="BY866" s="141"/>
      <c r="BZ866" s="141"/>
      <c r="CA866" s="141"/>
      <c r="CB866" s="141"/>
      <c r="CC866" s="141"/>
      <c r="CD866" s="141"/>
      <c r="CE866" s="141"/>
      <c r="CF866" s="141"/>
      <c r="CG866" s="141"/>
      <c r="CH866" s="141"/>
      <c r="CI866" s="141"/>
      <c r="CJ866" s="141"/>
      <c r="CK866" s="141"/>
    </row>
    <row r="867" spans="74:89" ht="49.5" customHeight="1" x14ac:dyDescent="0.35">
      <c r="BV867" s="140"/>
      <c r="BY867" s="141"/>
      <c r="BZ867" s="141"/>
      <c r="CA867" s="141"/>
      <c r="CB867" s="141"/>
      <c r="CC867" s="141"/>
      <c r="CD867" s="141"/>
      <c r="CE867" s="141"/>
      <c r="CF867" s="141"/>
      <c r="CG867" s="141"/>
      <c r="CH867" s="141"/>
      <c r="CI867" s="141"/>
      <c r="CJ867" s="141"/>
      <c r="CK867" s="141"/>
    </row>
    <row r="868" spans="74:89" ht="49.5" customHeight="1" x14ac:dyDescent="0.35">
      <c r="BV868" s="140"/>
      <c r="BY868" s="141"/>
      <c r="BZ868" s="141"/>
      <c r="CA868" s="141"/>
      <c r="CB868" s="141"/>
      <c r="CC868" s="141"/>
      <c r="CD868" s="141"/>
      <c r="CE868" s="141"/>
      <c r="CF868" s="141"/>
      <c r="CG868" s="141"/>
      <c r="CH868" s="141"/>
      <c r="CI868" s="141"/>
      <c r="CJ868" s="141"/>
      <c r="CK868" s="141"/>
    </row>
    <row r="869" spans="74:89" ht="49.5" customHeight="1" x14ac:dyDescent="0.35">
      <c r="BV869" s="140"/>
      <c r="BY869" s="141"/>
      <c r="BZ869" s="141"/>
      <c r="CA869" s="141"/>
      <c r="CB869" s="141"/>
      <c r="CC869" s="141"/>
      <c r="CD869" s="141"/>
      <c r="CE869" s="141"/>
      <c r="CF869" s="141"/>
      <c r="CG869" s="141"/>
      <c r="CH869" s="141"/>
      <c r="CI869" s="141"/>
      <c r="CJ869" s="141"/>
      <c r="CK869" s="141"/>
    </row>
    <row r="870" spans="74:89" ht="49.5" customHeight="1" x14ac:dyDescent="0.35">
      <c r="BV870" s="140"/>
      <c r="BY870" s="141"/>
      <c r="BZ870" s="141"/>
      <c r="CA870" s="141"/>
      <c r="CB870" s="141"/>
      <c r="CC870" s="141"/>
      <c r="CD870" s="141"/>
      <c r="CE870" s="141"/>
      <c r="CF870" s="141"/>
      <c r="CG870" s="141"/>
      <c r="CH870" s="141"/>
      <c r="CI870" s="141"/>
      <c r="CJ870" s="141"/>
      <c r="CK870" s="141"/>
    </row>
    <row r="871" spans="74:89" ht="49.5" customHeight="1" x14ac:dyDescent="0.35">
      <c r="BV871" s="140"/>
      <c r="BY871" s="141"/>
      <c r="BZ871" s="141"/>
      <c r="CA871" s="141"/>
      <c r="CB871" s="141"/>
      <c r="CC871" s="141"/>
      <c r="CD871" s="141"/>
      <c r="CE871" s="141"/>
      <c r="CF871" s="141"/>
      <c r="CG871" s="141"/>
      <c r="CH871" s="141"/>
      <c r="CI871" s="141"/>
      <c r="CJ871" s="141"/>
      <c r="CK871" s="141"/>
    </row>
    <row r="872" spans="74:89" ht="49.5" customHeight="1" x14ac:dyDescent="0.35">
      <c r="BV872" s="140"/>
      <c r="BY872" s="141"/>
      <c r="BZ872" s="141"/>
      <c r="CA872" s="141"/>
      <c r="CB872" s="141"/>
      <c r="CC872" s="141"/>
      <c r="CD872" s="141"/>
      <c r="CE872" s="141"/>
      <c r="CF872" s="141"/>
      <c r="CG872" s="141"/>
      <c r="CH872" s="141"/>
      <c r="CI872" s="141"/>
      <c r="CJ872" s="141"/>
      <c r="CK872" s="141"/>
    </row>
    <row r="873" spans="74:89" ht="49.5" customHeight="1" x14ac:dyDescent="0.35">
      <c r="BV873" s="140"/>
      <c r="BY873" s="141"/>
      <c r="BZ873" s="141"/>
      <c r="CA873" s="141"/>
      <c r="CB873" s="141"/>
      <c r="CC873" s="141"/>
      <c r="CD873" s="141"/>
      <c r="CE873" s="141"/>
      <c r="CF873" s="141"/>
      <c r="CG873" s="141"/>
      <c r="CH873" s="141"/>
      <c r="CI873" s="141"/>
      <c r="CJ873" s="141"/>
      <c r="CK873" s="141"/>
    </row>
    <row r="874" spans="74:89" ht="49.5" customHeight="1" x14ac:dyDescent="0.35">
      <c r="BV874" s="140"/>
      <c r="BY874" s="141"/>
      <c r="BZ874" s="141"/>
      <c r="CA874" s="141"/>
      <c r="CB874" s="141"/>
      <c r="CC874" s="141"/>
      <c r="CD874" s="141"/>
      <c r="CE874" s="141"/>
      <c r="CF874" s="141"/>
      <c r="CG874" s="141"/>
      <c r="CH874" s="141"/>
      <c r="CI874" s="141"/>
      <c r="CJ874" s="141"/>
      <c r="CK874" s="141"/>
    </row>
    <row r="875" spans="74:89" ht="49.5" customHeight="1" x14ac:dyDescent="0.35">
      <c r="BV875" s="140"/>
      <c r="BY875" s="141"/>
      <c r="BZ875" s="141"/>
      <c r="CA875" s="141"/>
      <c r="CB875" s="141"/>
      <c r="CC875" s="141"/>
      <c r="CD875" s="141"/>
      <c r="CE875" s="141"/>
      <c r="CF875" s="141"/>
      <c r="CG875" s="141"/>
      <c r="CH875" s="141"/>
      <c r="CI875" s="141"/>
      <c r="CJ875" s="141"/>
      <c r="CK875" s="141"/>
    </row>
    <row r="876" spans="74:89" ht="49.5" customHeight="1" x14ac:dyDescent="0.35">
      <c r="BV876" s="140"/>
      <c r="BY876" s="141"/>
      <c r="BZ876" s="141"/>
      <c r="CA876" s="141"/>
      <c r="CB876" s="141"/>
      <c r="CC876" s="141"/>
      <c r="CD876" s="141"/>
      <c r="CE876" s="141"/>
      <c r="CF876" s="141"/>
      <c r="CG876" s="141"/>
      <c r="CH876" s="141"/>
      <c r="CI876" s="141"/>
      <c r="CJ876" s="141"/>
      <c r="CK876" s="141"/>
    </row>
    <row r="877" spans="74:89" ht="49.5" customHeight="1" x14ac:dyDescent="0.35">
      <c r="BV877" s="140"/>
      <c r="BY877" s="141"/>
      <c r="BZ877" s="141"/>
      <c r="CA877" s="141"/>
      <c r="CB877" s="141"/>
      <c r="CC877" s="141"/>
      <c r="CD877" s="141"/>
      <c r="CE877" s="141"/>
      <c r="CF877" s="141"/>
      <c r="CG877" s="141"/>
      <c r="CH877" s="141"/>
      <c r="CI877" s="141"/>
      <c r="CJ877" s="141"/>
      <c r="CK877" s="141"/>
    </row>
    <row r="878" spans="74:89" ht="49.5" customHeight="1" x14ac:dyDescent="0.35">
      <c r="BV878" s="140"/>
      <c r="BY878" s="141"/>
      <c r="BZ878" s="141"/>
      <c r="CA878" s="141"/>
      <c r="CB878" s="141"/>
      <c r="CC878" s="141"/>
      <c r="CD878" s="141"/>
      <c r="CE878" s="141"/>
      <c r="CF878" s="141"/>
      <c r="CG878" s="141"/>
      <c r="CH878" s="141"/>
      <c r="CI878" s="141"/>
      <c r="CJ878" s="141"/>
      <c r="CK878" s="141"/>
    </row>
    <row r="879" spans="74:89" ht="49.5" customHeight="1" x14ac:dyDescent="0.35">
      <c r="BV879" s="140"/>
      <c r="BY879" s="141"/>
      <c r="BZ879" s="141"/>
      <c r="CA879" s="141"/>
      <c r="CB879" s="141"/>
      <c r="CC879" s="141"/>
      <c r="CD879" s="141"/>
      <c r="CE879" s="141"/>
      <c r="CF879" s="141"/>
      <c r="CG879" s="141"/>
      <c r="CH879" s="141"/>
      <c r="CI879" s="141"/>
      <c r="CJ879" s="141"/>
      <c r="CK879" s="141"/>
    </row>
    <row r="880" spans="74:89" ht="49.5" customHeight="1" x14ac:dyDescent="0.35">
      <c r="BV880" s="140"/>
      <c r="BY880" s="141"/>
      <c r="BZ880" s="141"/>
      <c r="CA880" s="141"/>
      <c r="CB880" s="141"/>
      <c r="CC880" s="141"/>
      <c r="CD880" s="141"/>
      <c r="CE880" s="141"/>
      <c r="CF880" s="141"/>
      <c r="CG880" s="141"/>
      <c r="CH880" s="141"/>
      <c r="CI880" s="141"/>
      <c r="CJ880" s="141"/>
      <c r="CK880" s="141"/>
    </row>
    <row r="881" spans="74:89" ht="49.5" customHeight="1" x14ac:dyDescent="0.35">
      <c r="BV881" s="140"/>
      <c r="BY881" s="141"/>
      <c r="BZ881" s="141"/>
      <c r="CA881" s="141"/>
      <c r="CB881" s="141"/>
      <c r="CC881" s="141"/>
      <c r="CD881" s="141"/>
      <c r="CE881" s="141"/>
      <c r="CF881" s="141"/>
      <c r="CG881" s="141"/>
      <c r="CH881" s="141"/>
      <c r="CI881" s="141"/>
      <c r="CJ881" s="141"/>
      <c r="CK881" s="141"/>
    </row>
    <row r="882" spans="74:89" ht="49.5" customHeight="1" x14ac:dyDescent="0.35">
      <c r="BV882" s="140"/>
      <c r="BY882" s="141"/>
      <c r="BZ882" s="141"/>
      <c r="CA882" s="141"/>
      <c r="CB882" s="141"/>
      <c r="CC882" s="141"/>
      <c r="CD882" s="141"/>
      <c r="CE882" s="141"/>
      <c r="CF882" s="141"/>
      <c r="CG882" s="141"/>
      <c r="CH882" s="141"/>
      <c r="CI882" s="141"/>
      <c r="CJ882" s="141"/>
      <c r="CK882" s="141"/>
    </row>
    <row r="883" spans="74:89" ht="49.5" customHeight="1" x14ac:dyDescent="0.35">
      <c r="BV883" s="140"/>
      <c r="BY883" s="141"/>
      <c r="BZ883" s="141"/>
      <c r="CA883" s="141"/>
      <c r="CB883" s="141"/>
      <c r="CC883" s="141"/>
      <c r="CD883" s="141"/>
      <c r="CE883" s="141"/>
      <c r="CF883" s="141"/>
      <c r="CG883" s="141"/>
      <c r="CH883" s="141"/>
      <c r="CI883" s="141"/>
      <c r="CJ883" s="141"/>
      <c r="CK883" s="141"/>
    </row>
    <row r="884" spans="74:89" ht="49.5" customHeight="1" x14ac:dyDescent="0.35">
      <c r="BV884" s="140"/>
      <c r="BY884" s="141"/>
      <c r="BZ884" s="141"/>
      <c r="CA884" s="141"/>
      <c r="CB884" s="141"/>
      <c r="CC884" s="141"/>
      <c r="CD884" s="141"/>
      <c r="CE884" s="141"/>
      <c r="CF884" s="141"/>
      <c r="CG884" s="141"/>
      <c r="CH884" s="141"/>
      <c r="CI884" s="141"/>
      <c r="CJ884" s="141"/>
      <c r="CK884" s="141"/>
    </row>
    <row r="885" spans="74:89" ht="49.5" customHeight="1" x14ac:dyDescent="0.35">
      <c r="BV885" s="140"/>
      <c r="BY885" s="141"/>
      <c r="BZ885" s="141"/>
      <c r="CA885" s="141"/>
      <c r="CB885" s="141"/>
      <c r="CC885" s="141"/>
      <c r="CD885" s="141"/>
      <c r="CE885" s="141"/>
      <c r="CF885" s="141"/>
      <c r="CG885" s="141"/>
      <c r="CH885" s="141"/>
      <c r="CI885" s="141"/>
      <c r="CJ885" s="141"/>
      <c r="CK885" s="141"/>
    </row>
    <row r="886" spans="74:89" ht="49.5" customHeight="1" x14ac:dyDescent="0.35">
      <c r="BV886" s="140"/>
      <c r="BY886" s="141"/>
      <c r="BZ886" s="141"/>
      <c r="CA886" s="141"/>
      <c r="CB886" s="141"/>
      <c r="CC886" s="141"/>
      <c r="CD886" s="141"/>
      <c r="CE886" s="141"/>
      <c r="CF886" s="141"/>
      <c r="CG886" s="141"/>
      <c r="CH886" s="141"/>
      <c r="CI886" s="141"/>
      <c r="CJ886" s="141"/>
      <c r="CK886" s="141"/>
    </row>
    <row r="887" spans="74:89" ht="49.5" customHeight="1" x14ac:dyDescent="0.35">
      <c r="BV887" s="140"/>
      <c r="BY887" s="141"/>
      <c r="BZ887" s="141"/>
      <c r="CA887" s="141"/>
      <c r="CB887" s="141"/>
      <c r="CC887" s="141"/>
      <c r="CD887" s="141"/>
      <c r="CE887" s="141"/>
      <c r="CF887" s="141"/>
      <c r="CG887" s="141"/>
      <c r="CH887" s="141"/>
      <c r="CI887" s="141"/>
      <c r="CJ887" s="141"/>
      <c r="CK887" s="141"/>
    </row>
    <row r="888" spans="74:89" ht="49.5" customHeight="1" x14ac:dyDescent="0.35">
      <c r="BV888" s="140"/>
      <c r="BY888" s="141"/>
      <c r="BZ888" s="141"/>
      <c r="CA888" s="141"/>
      <c r="CB888" s="141"/>
      <c r="CC888" s="141"/>
      <c r="CD888" s="141"/>
      <c r="CE888" s="141"/>
      <c r="CF888" s="141"/>
      <c r="CG888" s="141"/>
      <c r="CH888" s="141"/>
      <c r="CI888" s="141"/>
      <c r="CJ888" s="141"/>
      <c r="CK888" s="141"/>
    </row>
    <row r="889" spans="74:89" ht="49.5" customHeight="1" x14ac:dyDescent="0.35">
      <c r="BV889" s="140"/>
      <c r="BY889" s="141"/>
      <c r="BZ889" s="141"/>
      <c r="CA889" s="141"/>
      <c r="CB889" s="141"/>
      <c r="CC889" s="141"/>
      <c r="CD889" s="141"/>
      <c r="CE889" s="141"/>
      <c r="CF889" s="141"/>
      <c r="CG889" s="141"/>
      <c r="CH889" s="141"/>
      <c r="CI889" s="141"/>
      <c r="CJ889" s="141"/>
      <c r="CK889" s="141"/>
    </row>
    <row r="890" spans="74:89" ht="49.5" customHeight="1" x14ac:dyDescent="0.35">
      <c r="BV890" s="140"/>
      <c r="BY890" s="141"/>
      <c r="BZ890" s="141"/>
      <c r="CA890" s="141"/>
      <c r="CB890" s="141"/>
      <c r="CC890" s="141"/>
      <c r="CD890" s="141"/>
      <c r="CE890" s="141"/>
      <c r="CF890" s="141"/>
      <c r="CG890" s="141"/>
      <c r="CH890" s="141"/>
      <c r="CI890" s="141"/>
      <c r="CJ890" s="141"/>
      <c r="CK890" s="141"/>
    </row>
    <row r="891" spans="74:89" ht="49.5" customHeight="1" x14ac:dyDescent="0.35">
      <c r="BV891" s="140"/>
      <c r="BY891" s="141"/>
      <c r="BZ891" s="141"/>
      <c r="CA891" s="141"/>
      <c r="CB891" s="141"/>
      <c r="CC891" s="141"/>
      <c r="CD891" s="141"/>
      <c r="CE891" s="141"/>
      <c r="CF891" s="141"/>
      <c r="CG891" s="141"/>
      <c r="CH891" s="141"/>
      <c r="CI891" s="141"/>
      <c r="CJ891" s="141"/>
      <c r="CK891" s="141"/>
    </row>
    <row r="892" spans="74:89" ht="49.5" customHeight="1" x14ac:dyDescent="0.35">
      <c r="BV892" s="140"/>
      <c r="BY892" s="141"/>
      <c r="BZ892" s="141"/>
      <c r="CA892" s="141"/>
      <c r="CB892" s="141"/>
      <c r="CC892" s="141"/>
      <c r="CD892" s="141"/>
      <c r="CE892" s="141"/>
      <c r="CF892" s="141"/>
      <c r="CG892" s="141"/>
      <c r="CH892" s="141"/>
      <c r="CI892" s="141"/>
      <c r="CJ892" s="141"/>
      <c r="CK892" s="141"/>
    </row>
    <row r="893" spans="74:89" ht="49.5" customHeight="1" x14ac:dyDescent="0.35">
      <c r="BV893" s="140"/>
      <c r="BY893" s="141"/>
      <c r="BZ893" s="141"/>
      <c r="CA893" s="141"/>
      <c r="CB893" s="141"/>
      <c r="CC893" s="141"/>
      <c r="CD893" s="141"/>
      <c r="CE893" s="141"/>
      <c r="CF893" s="141"/>
      <c r="CG893" s="141"/>
      <c r="CH893" s="141"/>
      <c r="CI893" s="141"/>
      <c r="CJ893" s="141"/>
      <c r="CK893" s="141"/>
    </row>
    <row r="894" spans="74:89" ht="49.5" customHeight="1" x14ac:dyDescent="0.35">
      <c r="BV894" s="140"/>
      <c r="BY894" s="141"/>
      <c r="BZ894" s="141"/>
      <c r="CA894" s="141"/>
      <c r="CB894" s="141"/>
      <c r="CC894" s="141"/>
      <c r="CD894" s="141"/>
      <c r="CE894" s="141"/>
      <c r="CF894" s="141"/>
      <c r="CG894" s="141"/>
      <c r="CH894" s="141"/>
      <c r="CI894" s="141"/>
      <c r="CJ894" s="141"/>
      <c r="CK894" s="141"/>
    </row>
    <row r="895" spans="74:89" ht="49.5" customHeight="1" x14ac:dyDescent="0.35">
      <c r="BV895" s="140"/>
      <c r="BY895" s="141"/>
      <c r="BZ895" s="141"/>
      <c r="CA895" s="141"/>
      <c r="CB895" s="141"/>
      <c r="CC895" s="141"/>
      <c r="CD895" s="141"/>
      <c r="CE895" s="141"/>
      <c r="CF895" s="141"/>
      <c r="CG895" s="141"/>
      <c r="CH895" s="141"/>
      <c r="CI895" s="141"/>
      <c r="CJ895" s="141"/>
      <c r="CK895" s="141"/>
    </row>
    <row r="896" spans="74:89" ht="49.5" customHeight="1" x14ac:dyDescent="0.35">
      <c r="BV896" s="140"/>
      <c r="BY896" s="141"/>
      <c r="BZ896" s="141"/>
      <c r="CA896" s="141"/>
      <c r="CB896" s="141"/>
      <c r="CC896" s="141"/>
      <c r="CD896" s="141"/>
      <c r="CE896" s="141"/>
      <c r="CF896" s="141"/>
      <c r="CG896" s="141"/>
      <c r="CH896" s="141"/>
      <c r="CI896" s="141"/>
      <c r="CJ896" s="141"/>
      <c r="CK896" s="141"/>
    </row>
    <row r="897" spans="74:89" ht="49.5" customHeight="1" x14ac:dyDescent="0.35">
      <c r="BV897" s="140"/>
      <c r="BY897" s="141"/>
      <c r="BZ897" s="141"/>
      <c r="CA897" s="141"/>
      <c r="CB897" s="141"/>
      <c r="CC897" s="141"/>
      <c r="CD897" s="141"/>
      <c r="CE897" s="141"/>
      <c r="CF897" s="141"/>
      <c r="CG897" s="141"/>
      <c r="CH897" s="141"/>
      <c r="CI897" s="141"/>
      <c r="CJ897" s="141"/>
      <c r="CK897" s="141"/>
    </row>
    <row r="898" spans="74:89" ht="49.5" customHeight="1" x14ac:dyDescent="0.35">
      <c r="BV898" s="140"/>
      <c r="BY898" s="141"/>
      <c r="BZ898" s="141"/>
      <c r="CA898" s="141"/>
      <c r="CB898" s="141"/>
      <c r="CC898" s="141"/>
      <c r="CD898" s="141"/>
      <c r="CE898" s="141"/>
      <c r="CF898" s="141"/>
      <c r="CG898" s="141"/>
      <c r="CH898" s="141"/>
      <c r="CI898" s="141"/>
      <c r="CJ898" s="141"/>
      <c r="CK898" s="141"/>
    </row>
    <row r="899" spans="74:89" ht="49.5" customHeight="1" x14ac:dyDescent="0.35">
      <c r="BV899" s="140"/>
      <c r="BY899" s="141"/>
      <c r="BZ899" s="141"/>
      <c r="CA899" s="141"/>
      <c r="CB899" s="141"/>
      <c r="CC899" s="141"/>
      <c r="CD899" s="141"/>
      <c r="CE899" s="141"/>
      <c r="CF899" s="141"/>
      <c r="CG899" s="141"/>
      <c r="CH899" s="141"/>
      <c r="CI899" s="141"/>
      <c r="CJ899" s="141"/>
      <c r="CK899" s="141"/>
    </row>
    <row r="900" spans="74:89" ht="49.5" customHeight="1" x14ac:dyDescent="0.35">
      <c r="BV900" s="140"/>
      <c r="BY900" s="141"/>
      <c r="BZ900" s="141"/>
      <c r="CA900" s="141"/>
      <c r="CB900" s="141"/>
      <c r="CC900" s="141"/>
      <c r="CD900" s="141"/>
      <c r="CE900" s="141"/>
      <c r="CF900" s="141"/>
      <c r="CG900" s="141"/>
      <c r="CH900" s="141"/>
      <c r="CI900" s="141"/>
      <c r="CJ900" s="141"/>
      <c r="CK900" s="141"/>
    </row>
    <row r="901" spans="74:89" ht="49.5" customHeight="1" x14ac:dyDescent="0.35">
      <c r="BV901" s="140"/>
      <c r="BY901" s="141"/>
      <c r="BZ901" s="141"/>
      <c r="CA901" s="141"/>
      <c r="CB901" s="141"/>
      <c r="CC901" s="141"/>
      <c r="CD901" s="141"/>
      <c r="CE901" s="141"/>
      <c r="CF901" s="141"/>
      <c r="CG901" s="141"/>
      <c r="CH901" s="141"/>
      <c r="CI901" s="141"/>
      <c r="CJ901" s="141"/>
      <c r="CK901" s="141"/>
    </row>
    <row r="902" spans="74:89" ht="49.5" customHeight="1" x14ac:dyDescent="0.35">
      <c r="BV902" s="140"/>
      <c r="BY902" s="141"/>
      <c r="BZ902" s="141"/>
      <c r="CA902" s="141"/>
      <c r="CB902" s="141"/>
      <c r="CC902" s="141"/>
      <c r="CD902" s="141"/>
      <c r="CE902" s="141"/>
      <c r="CF902" s="141"/>
      <c r="CG902" s="141"/>
      <c r="CH902" s="141"/>
      <c r="CI902" s="141"/>
      <c r="CJ902" s="141"/>
      <c r="CK902" s="141"/>
    </row>
    <row r="903" spans="74:89" ht="49.5" customHeight="1" x14ac:dyDescent="0.35">
      <c r="BV903" s="140"/>
      <c r="BY903" s="141"/>
      <c r="BZ903" s="141"/>
      <c r="CA903" s="141"/>
      <c r="CB903" s="141"/>
      <c r="CC903" s="141"/>
      <c r="CD903" s="141"/>
      <c r="CE903" s="141"/>
      <c r="CF903" s="141"/>
      <c r="CG903" s="141"/>
      <c r="CH903" s="141"/>
      <c r="CI903" s="141"/>
      <c r="CJ903" s="141"/>
      <c r="CK903" s="141"/>
    </row>
    <row r="904" spans="74:89" ht="49.5" customHeight="1" x14ac:dyDescent="0.35">
      <c r="BV904" s="140"/>
      <c r="BY904" s="141"/>
      <c r="BZ904" s="141"/>
      <c r="CA904" s="141"/>
      <c r="CB904" s="141"/>
      <c r="CC904" s="141"/>
      <c r="CD904" s="141"/>
      <c r="CE904" s="141"/>
      <c r="CF904" s="141"/>
      <c r="CG904" s="141"/>
      <c r="CH904" s="141"/>
      <c r="CI904" s="141"/>
      <c r="CJ904" s="141"/>
      <c r="CK904" s="141"/>
    </row>
    <row r="905" spans="74:89" ht="49.5" customHeight="1" x14ac:dyDescent="0.35">
      <c r="BV905" s="140"/>
      <c r="BY905" s="141"/>
      <c r="BZ905" s="141"/>
      <c r="CA905" s="141"/>
      <c r="CB905" s="141"/>
      <c r="CC905" s="141"/>
      <c r="CD905" s="141"/>
      <c r="CE905" s="141"/>
      <c r="CF905" s="141"/>
      <c r="CG905" s="141"/>
      <c r="CH905" s="141"/>
      <c r="CI905" s="141"/>
      <c r="CJ905" s="141"/>
      <c r="CK905" s="141"/>
    </row>
    <row r="906" spans="74:89" ht="49.5" customHeight="1" x14ac:dyDescent="0.35">
      <c r="BV906" s="140"/>
      <c r="BY906" s="141"/>
      <c r="BZ906" s="141"/>
      <c r="CA906" s="141"/>
      <c r="CB906" s="141"/>
      <c r="CC906" s="141"/>
      <c r="CD906" s="141"/>
      <c r="CE906" s="141"/>
      <c r="CF906" s="141"/>
      <c r="CG906" s="141"/>
      <c r="CH906" s="141"/>
      <c r="CI906" s="141"/>
      <c r="CJ906" s="141"/>
      <c r="CK906" s="141"/>
    </row>
    <row r="907" spans="74:89" ht="49.5" customHeight="1" x14ac:dyDescent="0.35">
      <c r="BV907" s="140"/>
      <c r="BY907" s="141"/>
      <c r="BZ907" s="141"/>
      <c r="CA907" s="141"/>
      <c r="CB907" s="141"/>
      <c r="CC907" s="141"/>
      <c r="CD907" s="141"/>
      <c r="CE907" s="141"/>
      <c r="CF907" s="141"/>
      <c r="CG907" s="141"/>
      <c r="CH907" s="141"/>
      <c r="CI907" s="141"/>
      <c r="CJ907" s="141"/>
      <c r="CK907" s="141"/>
    </row>
    <row r="908" spans="74:89" ht="49.5" customHeight="1" x14ac:dyDescent="0.35">
      <c r="BV908" s="140"/>
      <c r="BY908" s="141"/>
      <c r="BZ908" s="141"/>
      <c r="CA908" s="141"/>
      <c r="CB908" s="141"/>
      <c r="CC908" s="141"/>
      <c r="CD908" s="141"/>
      <c r="CE908" s="141"/>
      <c r="CF908" s="141"/>
      <c r="CG908" s="141"/>
      <c r="CH908" s="141"/>
      <c r="CI908" s="141"/>
      <c r="CJ908" s="141"/>
      <c r="CK908" s="141"/>
    </row>
    <row r="909" spans="74:89" ht="49.5" customHeight="1" x14ac:dyDescent="0.35">
      <c r="BV909" s="140"/>
      <c r="BY909" s="141"/>
      <c r="BZ909" s="141"/>
      <c r="CA909" s="141"/>
      <c r="CB909" s="141"/>
      <c r="CC909" s="141"/>
      <c r="CD909" s="141"/>
      <c r="CE909" s="141"/>
      <c r="CF909" s="141"/>
      <c r="CG909" s="141"/>
      <c r="CH909" s="141"/>
      <c r="CI909" s="141"/>
      <c r="CJ909" s="141"/>
      <c r="CK909" s="141"/>
    </row>
    <row r="910" spans="74:89" ht="49.5" customHeight="1" x14ac:dyDescent="0.35">
      <c r="BV910" s="140"/>
      <c r="BY910" s="141"/>
      <c r="BZ910" s="141"/>
      <c r="CA910" s="141"/>
      <c r="CB910" s="141"/>
      <c r="CC910" s="141"/>
      <c r="CD910" s="141"/>
      <c r="CE910" s="141"/>
      <c r="CF910" s="141"/>
      <c r="CG910" s="141"/>
      <c r="CH910" s="141"/>
      <c r="CI910" s="141"/>
      <c r="CJ910" s="141"/>
      <c r="CK910" s="141"/>
    </row>
    <row r="911" spans="74:89" ht="49.5" customHeight="1" x14ac:dyDescent="0.35">
      <c r="BV911" s="140"/>
      <c r="BY911" s="141"/>
      <c r="BZ911" s="141"/>
      <c r="CA911" s="141"/>
      <c r="CB911" s="141"/>
      <c r="CC911" s="141"/>
      <c r="CD911" s="141"/>
      <c r="CE911" s="141"/>
      <c r="CF911" s="141"/>
      <c r="CG911" s="141"/>
      <c r="CH911" s="141"/>
      <c r="CI911" s="141"/>
      <c r="CJ911" s="141"/>
      <c r="CK911" s="141"/>
    </row>
    <row r="912" spans="74:89" ht="49.5" customHeight="1" x14ac:dyDescent="0.35">
      <c r="BV912" s="140"/>
      <c r="BY912" s="141"/>
      <c r="BZ912" s="141"/>
      <c r="CA912" s="141"/>
      <c r="CB912" s="141"/>
      <c r="CC912" s="141"/>
      <c r="CD912" s="141"/>
      <c r="CE912" s="141"/>
      <c r="CF912" s="141"/>
      <c r="CG912" s="141"/>
      <c r="CH912" s="141"/>
      <c r="CI912" s="141"/>
      <c r="CJ912" s="141"/>
      <c r="CK912" s="141"/>
    </row>
    <row r="913" spans="74:89" ht="49.5" customHeight="1" x14ac:dyDescent="0.35">
      <c r="BV913" s="140"/>
      <c r="BY913" s="141"/>
      <c r="BZ913" s="141"/>
      <c r="CA913" s="141"/>
      <c r="CB913" s="141"/>
      <c r="CC913" s="141"/>
      <c r="CD913" s="141"/>
      <c r="CE913" s="141"/>
      <c r="CF913" s="141"/>
      <c r="CG913" s="141"/>
      <c r="CH913" s="141"/>
      <c r="CI913" s="141"/>
      <c r="CJ913" s="141"/>
      <c r="CK913" s="141"/>
    </row>
    <row r="914" spans="74:89" ht="49.5" customHeight="1" x14ac:dyDescent="0.35">
      <c r="BV914" s="140"/>
      <c r="BY914" s="141"/>
      <c r="BZ914" s="141"/>
      <c r="CA914" s="141"/>
      <c r="CB914" s="141"/>
      <c r="CC914" s="141"/>
      <c r="CD914" s="141"/>
      <c r="CE914" s="141"/>
      <c r="CF914" s="141"/>
      <c r="CG914" s="141"/>
      <c r="CH914" s="141"/>
      <c r="CI914" s="141"/>
      <c r="CJ914" s="141"/>
      <c r="CK914" s="141"/>
    </row>
    <row r="915" spans="74:89" ht="49.5" customHeight="1" x14ac:dyDescent="0.35">
      <c r="BV915" s="140"/>
      <c r="BY915" s="141"/>
      <c r="BZ915" s="141"/>
      <c r="CA915" s="141"/>
      <c r="CB915" s="141"/>
      <c r="CC915" s="141"/>
      <c r="CD915" s="141"/>
      <c r="CE915" s="141"/>
      <c r="CF915" s="141"/>
      <c r="CG915" s="141"/>
      <c r="CH915" s="141"/>
      <c r="CI915" s="141"/>
      <c r="CJ915" s="141"/>
      <c r="CK915" s="141"/>
    </row>
    <row r="916" spans="74:89" ht="49.5" customHeight="1" x14ac:dyDescent="0.35">
      <c r="BV916" s="140"/>
      <c r="BY916" s="141"/>
      <c r="BZ916" s="141"/>
      <c r="CA916" s="141"/>
      <c r="CB916" s="141"/>
      <c r="CC916" s="141"/>
      <c r="CD916" s="141"/>
      <c r="CE916" s="141"/>
      <c r="CF916" s="141"/>
      <c r="CG916" s="141"/>
      <c r="CH916" s="141"/>
      <c r="CI916" s="141"/>
      <c r="CJ916" s="141"/>
      <c r="CK916" s="141"/>
    </row>
    <row r="917" spans="74:89" ht="49.5" customHeight="1" x14ac:dyDescent="0.35">
      <c r="BV917" s="140"/>
      <c r="BY917" s="141"/>
      <c r="BZ917" s="141"/>
      <c r="CA917" s="141"/>
      <c r="CB917" s="141"/>
      <c r="CC917" s="141"/>
      <c r="CD917" s="141"/>
      <c r="CE917" s="141"/>
      <c r="CF917" s="141"/>
      <c r="CG917" s="141"/>
      <c r="CH917" s="141"/>
      <c r="CI917" s="141"/>
      <c r="CJ917" s="141"/>
      <c r="CK917" s="141"/>
    </row>
    <row r="918" spans="74:89" ht="49.5" customHeight="1" x14ac:dyDescent="0.35">
      <c r="BV918" s="140"/>
      <c r="BY918" s="141"/>
      <c r="BZ918" s="141"/>
      <c r="CA918" s="141"/>
      <c r="CB918" s="141"/>
      <c r="CC918" s="141"/>
      <c r="CD918" s="141"/>
      <c r="CE918" s="141"/>
      <c r="CF918" s="141"/>
      <c r="CG918" s="141"/>
      <c r="CH918" s="141"/>
      <c r="CI918" s="141"/>
      <c r="CJ918" s="141"/>
      <c r="CK918" s="141"/>
    </row>
    <row r="919" spans="74:89" ht="49.5" customHeight="1" x14ac:dyDescent="0.35">
      <c r="BV919" s="140"/>
      <c r="BY919" s="141"/>
      <c r="BZ919" s="141"/>
      <c r="CA919" s="141"/>
      <c r="CB919" s="141"/>
      <c r="CC919" s="141"/>
      <c r="CD919" s="141"/>
      <c r="CE919" s="141"/>
      <c r="CF919" s="141"/>
      <c r="CG919" s="141"/>
      <c r="CH919" s="141"/>
      <c r="CI919" s="141"/>
      <c r="CJ919" s="141"/>
      <c r="CK919" s="141"/>
    </row>
    <row r="920" spans="74:89" ht="49.5" customHeight="1" x14ac:dyDescent="0.35">
      <c r="BV920" s="140"/>
      <c r="BY920" s="141"/>
      <c r="BZ920" s="141"/>
      <c r="CA920" s="141"/>
      <c r="CB920" s="141"/>
      <c r="CC920" s="141"/>
      <c r="CD920" s="141"/>
      <c r="CE920" s="141"/>
      <c r="CF920" s="141"/>
      <c r="CG920" s="141"/>
      <c r="CH920" s="141"/>
      <c r="CI920" s="141"/>
      <c r="CJ920" s="141"/>
      <c r="CK920" s="141"/>
    </row>
    <row r="921" spans="74:89" ht="49.5" customHeight="1" x14ac:dyDescent="0.35">
      <c r="BV921" s="140"/>
      <c r="BY921" s="141"/>
      <c r="BZ921" s="141"/>
      <c r="CA921" s="141"/>
      <c r="CB921" s="141"/>
      <c r="CC921" s="141"/>
      <c r="CD921" s="141"/>
      <c r="CE921" s="141"/>
      <c r="CF921" s="141"/>
      <c r="CG921" s="141"/>
      <c r="CH921" s="141"/>
      <c r="CI921" s="141"/>
      <c r="CJ921" s="141"/>
      <c r="CK921" s="141"/>
    </row>
    <row r="922" spans="74:89" ht="49.5" customHeight="1" x14ac:dyDescent="0.35">
      <c r="BV922" s="140"/>
      <c r="BY922" s="141"/>
      <c r="BZ922" s="141"/>
      <c r="CA922" s="141"/>
      <c r="CB922" s="141"/>
      <c r="CC922" s="141"/>
      <c r="CD922" s="141"/>
      <c r="CE922" s="141"/>
      <c r="CF922" s="141"/>
      <c r="CG922" s="141"/>
      <c r="CH922" s="141"/>
      <c r="CI922" s="141"/>
      <c r="CJ922" s="141"/>
      <c r="CK922" s="141"/>
    </row>
    <row r="923" spans="74:89" ht="49.5" customHeight="1" x14ac:dyDescent="0.35">
      <c r="BV923" s="140"/>
      <c r="BY923" s="141"/>
      <c r="BZ923" s="141"/>
      <c r="CA923" s="141"/>
      <c r="CB923" s="141"/>
      <c r="CC923" s="141"/>
      <c r="CD923" s="141"/>
      <c r="CE923" s="141"/>
      <c r="CF923" s="141"/>
      <c r="CG923" s="141"/>
      <c r="CH923" s="141"/>
      <c r="CI923" s="141"/>
      <c r="CJ923" s="141"/>
      <c r="CK923" s="141"/>
    </row>
    <row r="924" spans="74:89" ht="49.5" customHeight="1" x14ac:dyDescent="0.35">
      <c r="BV924" s="140"/>
      <c r="BY924" s="141"/>
      <c r="BZ924" s="141"/>
      <c r="CA924" s="141"/>
      <c r="CB924" s="141"/>
      <c r="CC924" s="141"/>
      <c r="CD924" s="141"/>
      <c r="CE924" s="141"/>
      <c r="CF924" s="141"/>
      <c r="CG924" s="141"/>
      <c r="CH924" s="141"/>
      <c r="CI924" s="141"/>
      <c r="CJ924" s="141"/>
      <c r="CK924" s="141"/>
    </row>
    <row r="925" spans="74:89" ht="49.5" customHeight="1" x14ac:dyDescent="0.35">
      <c r="BV925" s="140"/>
      <c r="BY925" s="141"/>
      <c r="BZ925" s="141"/>
      <c r="CA925" s="141"/>
      <c r="CB925" s="141"/>
      <c r="CC925" s="141"/>
      <c r="CD925" s="141"/>
      <c r="CE925" s="141"/>
      <c r="CF925" s="141"/>
      <c r="CG925" s="141"/>
      <c r="CH925" s="141"/>
      <c r="CI925" s="141"/>
      <c r="CJ925" s="141"/>
      <c r="CK925" s="141"/>
    </row>
    <row r="926" spans="74:89" ht="49.5" customHeight="1" x14ac:dyDescent="0.35">
      <c r="BV926" s="140"/>
      <c r="BY926" s="141"/>
      <c r="BZ926" s="141"/>
      <c r="CA926" s="141"/>
      <c r="CB926" s="141"/>
      <c r="CC926" s="141"/>
      <c r="CD926" s="141"/>
      <c r="CE926" s="141"/>
      <c r="CF926" s="141"/>
      <c r="CG926" s="141"/>
      <c r="CH926" s="141"/>
      <c r="CI926" s="141"/>
      <c r="CJ926" s="141"/>
      <c r="CK926" s="141"/>
    </row>
    <row r="927" spans="74:89" ht="49.5" customHeight="1" x14ac:dyDescent="0.35">
      <c r="BV927" s="140"/>
      <c r="BY927" s="141"/>
      <c r="BZ927" s="141"/>
      <c r="CA927" s="141"/>
      <c r="CB927" s="141"/>
      <c r="CC927" s="141"/>
      <c r="CD927" s="141"/>
      <c r="CE927" s="141"/>
      <c r="CF927" s="141"/>
      <c r="CG927" s="141"/>
      <c r="CH927" s="141"/>
      <c r="CI927" s="141"/>
      <c r="CJ927" s="141"/>
      <c r="CK927" s="141"/>
    </row>
    <row r="928" spans="74:89" ht="49.5" customHeight="1" x14ac:dyDescent="0.35">
      <c r="BV928" s="140"/>
      <c r="BY928" s="141"/>
      <c r="BZ928" s="141"/>
      <c r="CA928" s="141"/>
      <c r="CB928" s="141"/>
      <c r="CC928" s="141"/>
      <c r="CD928" s="141"/>
      <c r="CE928" s="141"/>
      <c r="CF928" s="141"/>
      <c r="CG928" s="141"/>
      <c r="CH928" s="141"/>
      <c r="CI928" s="141"/>
      <c r="CJ928" s="141"/>
      <c r="CK928" s="141"/>
    </row>
    <row r="929" spans="74:89" ht="49.5" customHeight="1" x14ac:dyDescent="0.35">
      <c r="BV929" s="140"/>
      <c r="BY929" s="141"/>
      <c r="BZ929" s="141"/>
      <c r="CA929" s="141"/>
      <c r="CB929" s="141"/>
      <c r="CC929" s="141"/>
      <c r="CD929" s="141"/>
      <c r="CE929" s="141"/>
      <c r="CF929" s="141"/>
      <c r="CG929" s="141"/>
      <c r="CH929" s="141"/>
      <c r="CI929" s="141"/>
      <c r="CJ929" s="141"/>
      <c r="CK929" s="141"/>
    </row>
    <row r="930" spans="74:89" ht="49.5" customHeight="1" x14ac:dyDescent="0.35">
      <c r="BV930" s="140"/>
      <c r="BY930" s="141"/>
      <c r="BZ930" s="141"/>
      <c r="CA930" s="141"/>
      <c r="CB930" s="141"/>
      <c r="CC930" s="141"/>
      <c r="CD930" s="141"/>
      <c r="CE930" s="141"/>
      <c r="CF930" s="141"/>
      <c r="CG930" s="141"/>
      <c r="CH930" s="141"/>
      <c r="CI930" s="141"/>
      <c r="CJ930" s="141"/>
      <c r="CK930" s="141"/>
    </row>
    <row r="931" spans="74:89" ht="49.5" customHeight="1" x14ac:dyDescent="0.35">
      <c r="BV931" s="140"/>
      <c r="BY931" s="141"/>
      <c r="BZ931" s="141"/>
      <c r="CA931" s="141"/>
      <c r="CB931" s="141"/>
      <c r="CC931" s="141"/>
      <c r="CD931" s="141"/>
      <c r="CE931" s="141"/>
      <c r="CF931" s="141"/>
      <c r="CG931" s="141"/>
      <c r="CH931" s="141"/>
      <c r="CI931" s="141"/>
      <c r="CJ931" s="141"/>
      <c r="CK931" s="141"/>
    </row>
    <row r="932" spans="74:89" ht="49.5" customHeight="1" x14ac:dyDescent="0.35">
      <c r="BV932" s="140"/>
      <c r="BY932" s="141"/>
      <c r="BZ932" s="141"/>
      <c r="CA932" s="141"/>
      <c r="CB932" s="141"/>
      <c r="CC932" s="141"/>
      <c r="CD932" s="141"/>
      <c r="CE932" s="141"/>
      <c r="CF932" s="141"/>
      <c r="CG932" s="141"/>
      <c r="CH932" s="141"/>
      <c r="CI932" s="141"/>
      <c r="CJ932" s="141"/>
      <c r="CK932" s="141"/>
    </row>
    <row r="933" spans="74:89" ht="49.5" customHeight="1" x14ac:dyDescent="0.35">
      <c r="BV933" s="140"/>
      <c r="BY933" s="141"/>
      <c r="BZ933" s="141"/>
      <c r="CA933" s="141"/>
      <c r="CB933" s="141"/>
      <c r="CC933" s="141"/>
      <c r="CD933" s="141"/>
      <c r="CE933" s="141"/>
      <c r="CF933" s="141"/>
      <c r="CG933" s="141"/>
      <c r="CH933" s="141"/>
      <c r="CI933" s="141"/>
      <c r="CJ933" s="141"/>
      <c r="CK933" s="141"/>
    </row>
    <row r="934" spans="74:89" ht="49.5" customHeight="1" x14ac:dyDescent="0.35">
      <c r="BV934" s="140"/>
      <c r="BY934" s="141"/>
      <c r="BZ934" s="141"/>
      <c r="CA934" s="141"/>
      <c r="CB934" s="141"/>
      <c r="CC934" s="141"/>
      <c r="CD934" s="141"/>
      <c r="CE934" s="141"/>
      <c r="CF934" s="141"/>
      <c r="CG934" s="141"/>
      <c r="CH934" s="141"/>
      <c r="CI934" s="141"/>
      <c r="CJ934" s="141"/>
      <c r="CK934" s="141"/>
    </row>
    <row r="935" spans="74:89" ht="49.5" customHeight="1" x14ac:dyDescent="0.35">
      <c r="BV935" s="140"/>
      <c r="BY935" s="141"/>
      <c r="BZ935" s="141"/>
      <c r="CA935" s="141"/>
      <c r="CB935" s="141"/>
      <c r="CC935" s="141"/>
      <c r="CD935" s="141"/>
      <c r="CE935" s="141"/>
      <c r="CF935" s="141"/>
      <c r="CG935" s="141"/>
      <c r="CH935" s="141"/>
      <c r="CI935" s="141"/>
      <c r="CJ935" s="141"/>
      <c r="CK935" s="141"/>
    </row>
    <row r="936" spans="74:89" ht="49.5" customHeight="1" x14ac:dyDescent="0.35">
      <c r="BV936" s="140"/>
      <c r="BY936" s="141"/>
      <c r="BZ936" s="141"/>
      <c r="CA936" s="141"/>
      <c r="CB936" s="141"/>
      <c r="CC936" s="141"/>
      <c r="CD936" s="141"/>
      <c r="CE936" s="141"/>
      <c r="CF936" s="141"/>
      <c r="CG936" s="141"/>
      <c r="CH936" s="141"/>
      <c r="CI936" s="141"/>
      <c r="CJ936" s="141"/>
      <c r="CK936" s="141"/>
    </row>
    <row r="937" spans="74:89" ht="49.5" customHeight="1" x14ac:dyDescent="0.35">
      <c r="BV937" s="140"/>
      <c r="BY937" s="141"/>
      <c r="BZ937" s="141"/>
      <c r="CA937" s="141"/>
      <c r="CB937" s="141"/>
      <c r="CC937" s="141"/>
      <c r="CD937" s="141"/>
      <c r="CE937" s="141"/>
      <c r="CF937" s="141"/>
      <c r="CG937" s="141"/>
      <c r="CH937" s="141"/>
      <c r="CI937" s="141"/>
      <c r="CJ937" s="141"/>
      <c r="CK937" s="141"/>
    </row>
    <row r="938" spans="74:89" ht="49.5" customHeight="1" x14ac:dyDescent="0.35">
      <c r="BV938" s="140"/>
      <c r="BY938" s="141"/>
      <c r="BZ938" s="141"/>
      <c r="CA938" s="141"/>
      <c r="CB938" s="141"/>
      <c r="CC938" s="141"/>
      <c r="CD938" s="141"/>
      <c r="CE938" s="141"/>
      <c r="CF938" s="141"/>
      <c r="CG938" s="141"/>
      <c r="CH938" s="141"/>
      <c r="CI938" s="141"/>
      <c r="CJ938" s="141"/>
      <c r="CK938" s="141"/>
    </row>
    <row r="939" spans="74:89" ht="49.5" customHeight="1" x14ac:dyDescent="0.35">
      <c r="BV939" s="140"/>
      <c r="BY939" s="141"/>
      <c r="BZ939" s="141"/>
      <c r="CA939" s="141"/>
      <c r="CB939" s="141"/>
      <c r="CC939" s="141"/>
      <c r="CD939" s="141"/>
      <c r="CE939" s="141"/>
      <c r="CF939" s="141"/>
      <c r="CG939" s="141"/>
      <c r="CH939" s="141"/>
      <c r="CI939" s="141"/>
      <c r="CJ939" s="141"/>
      <c r="CK939" s="141"/>
    </row>
    <row r="940" spans="74:89" ht="49.5" customHeight="1" x14ac:dyDescent="0.35">
      <c r="BV940" s="140"/>
      <c r="BY940" s="141"/>
      <c r="BZ940" s="141"/>
      <c r="CA940" s="141"/>
      <c r="CB940" s="141"/>
      <c r="CC940" s="141"/>
      <c r="CD940" s="141"/>
      <c r="CE940" s="141"/>
      <c r="CF940" s="141"/>
      <c r="CG940" s="141"/>
      <c r="CH940" s="141"/>
      <c r="CI940" s="141"/>
      <c r="CJ940" s="141"/>
      <c r="CK940" s="141"/>
    </row>
    <row r="941" spans="74:89" ht="49.5" customHeight="1" x14ac:dyDescent="0.35">
      <c r="BV941" s="140"/>
      <c r="BY941" s="141"/>
      <c r="BZ941" s="141"/>
      <c r="CA941" s="141"/>
      <c r="CB941" s="141"/>
      <c r="CC941" s="141"/>
      <c r="CD941" s="141"/>
      <c r="CE941" s="141"/>
      <c r="CF941" s="141"/>
      <c r="CG941" s="141"/>
      <c r="CH941" s="141"/>
      <c r="CI941" s="141"/>
      <c r="CJ941" s="141"/>
      <c r="CK941" s="141"/>
    </row>
    <row r="942" spans="74:89" ht="49.5" customHeight="1" x14ac:dyDescent="0.35">
      <c r="BV942" s="140"/>
      <c r="BY942" s="141"/>
      <c r="BZ942" s="141"/>
      <c r="CA942" s="141"/>
      <c r="CB942" s="141"/>
      <c r="CC942" s="141"/>
      <c r="CD942" s="141"/>
      <c r="CE942" s="141"/>
      <c r="CF942" s="141"/>
      <c r="CG942" s="141"/>
      <c r="CH942" s="141"/>
      <c r="CI942" s="141"/>
      <c r="CJ942" s="141"/>
      <c r="CK942" s="141"/>
    </row>
    <row r="943" spans="74:89" ht="49.5" customHeight="1" x14ac:dyDescent="0.35">
      <c r="BV943" s="140"/>
      <c r="BY943" s="141"/>
      <c r="BZ943" s="141"/>
      <c r="CA943" s="141"/>
      <c r="CB943" s="141"/>
      <c r="CC943" s="141"/>
      <c r="CD943" s="141"/>
      <c r="CE943" s="141"/>
      <c r="CF943" s="141"/>
      <c r="CG943" s="141"/>
      <c r="CH943" s="141"/>
      <c r="CI943" s="141"/>
      <c r="CJ943" s="141"/>
      <c r="CK943" s="141"/>
    </row>
    <row r="944" spans="74:89" ht="49.5" customHeight="1" x14ac:dyDescent="0.35">
      <c r="BV944" s="140"/>
      <c r="BY944" s="141"/>
      <c r="BZ944" s="141"/>
      <c r="CA944" s="141"/>
      <c r="CB944" s="141"/>
      <c r="CC944" s="141"/>
      <c r="CD944" s="141"/>
      <c r="CE944" s="141"/>
      <c r="CF944" s="141"/>
      <c r="CG944" s="141"/>
      <c r="CH944" s="141"/>
      <c r="CI944" s="141"/>
      <c r="CJ944" s="141"/>
      <c r="CK944" s="141"/>
    </row>
    <row r="945" spans="74:89" ht="49.5" customHeight="1" x14ac:dyDescent="0.35">
      <c r="BV945" s="140"/>
      <c r="BY945" s="141"/>
      <c r="BZ945" s="141"/>
      <c r="CA945" s="141"/>
      <c r="CB945" s="141"/>
      <c r="CC945" s="141"/>
      <c r="CD945" s="141"/>
      <c r="CE945" s="141"/>
      <c r="CF945" s="141"/>
      <c r="CG945" s="141"/>
      <c r="CH945" s="141"/>
      <c r="CI945" s="141"/>
      <c r="CJ945" s="141"/>
      <c r="CK945" s="141"/>
    </row>
    <row r="946" spans="74:89" ht="49.5" customHeight="1" x14ac:dyDescent="0.35">
      <c r="BV946" s="140"/>
      <c r="BY946" s="141"/>
      <c r="BZ946" s="141"/>
      <c r="CA946" s="141"/>
      <c r="CB946" s="141"/>
      <c r="CC946" s="141"/>
      <c r="CD946" s="141"/>
      <c r="CE946" s="141"/>
      <c r="CF946" s="141"/>
      <c r="CG946" s="141"/>
      <c r="CH946" s="141"/>
      <c r="CI946" s="141"/>
      <c r="CJ946" s="141"/>
      <c r="CK946" s="141"/>
    </row>
    <row r="947" spans="74:89" ht="49.5" customHeight="1" x14ac:dyDescent="0.35">
      <c r="BV947" s="140"/>
      <c r="BY947" s="141"/>
      <c r="BZ947" s="141"/>
      <c r="CA947" s="141"/>
      <c r="CB947" s="141"/>
      <c r="CC947" s="141"/>
      <c r="CD947" s="141"/>
      <c r="CE947" s="141"/>
      <c r="CF947" s="141"/>
      <c r="CG947" s="141"/>
      <c r="CH947" s="141"/>
      <c r="CI947" s="141"/>
      <c r="CJ947" s="141"/>
      <c r="CK947" s="141"/>
    </row>
    <row r="948" spans="74:89" ht="49.5" customHeight="1" x14ac:dyDescent="0.35">
      <c r="BV948" s="140"/>
      <c r="BY948" s="141"/>
      <c r="BZ948" s="141"/>
      <c r="CA948" s="141"/>
      <c r="CB948" s="141"/>
      <c r="CC948" s="141"/>
      <c r="CD948" s="141"/>
      <c r="CE948" s="141"/>
      <c r="CF948" s="141"/>
      <c r="CG948" s="141"/>
      <c r="CH948" s="141"/>
      <c r="CI948" s="141"/>
      <c r="CJ948" s="141"/>
      <c r="CK948" s="141"/>
    </row>
    <row r="949" spans="74:89" ht="49.5" customHeight="1" x14ac:dyDescent="0.35">
      <c r="BV949" s="140"/>
      <c r="BY949" s="141"/>
      <c r="BZ949" s="141"/>
      <c r="CA949" s="141"/>
      <c r="CB949" s="141"/>
      <c r="CC949" s="141"/>
      <c r="CD949" s="141"/>
      <c r="CE949" s="141"/>
      <c r="CF949" s="141"/>
      <c r="CG949" s="141"/>
      <c r="CH949" s="141"/>
      <c r="CI949" s="141"/>
      <c r="CJ949" s="141"/>
      <c r="CK949" s="141"/>
    </row>
    <row r="950" spans="74:89" ht="49.5" customHeight="1" x14ac:dyDescent="0.35">
      <c r="BV950" s="140"/>
      <c r="BY950" s="141"/>
      <c r="BZ950" s="141"/>
      <c r="CA950" s="141"/>
      <c r="CB950" s="141"/>
      <c r="CC950" s="141"/>
      <c r="CD950" s="141"/>
      <c r="CE950" s="141"/>
      <c r="CF950" s="141"/>
      <c r="CG950" s="141"/>
      <c r="CH950" s="141"/>
      <c r="CI950" s="141"/>
      <c r="CJ950" s="141"/>
      <c r="CK950" s="141"/>
    </row>
    <row r="951" spans="74:89" ht="49.5" customHeight="1" x14ac:dyDescent="0.35">
      <c r="BV951" s="140"/>
      <c r="BY951" s="141"/>
      <c r="BZ951" s="141"/>
      <c r="CA951" s="141"/>
      <c r="CB951" s="141"/>
      <c r="CC951" s="141"/>
      <c r="CD951" s="141"/>
      <c r="CE951" s="141"/>
      <c r="CF951" s="141"/>
      <c r="CG951" s="141"/>
      <c r="CH951" s="141"/>
      <c r="CI951" s="141"/>
      <c r="CJ951" s="141"/>
      <c r="CK951" s="141"/>
    </row>
    <row r="952" spans="74:89" ht="49.5" customHeight="1" x14ac:dyDescent="0.35">
      <c r="BV952" s="140"/>
      <c r="BY952" s="141"/>
      <c r="BZ952" s="141"/>
      <c r="CA952" s="141"/>
      <c r="CB952" s="141"/>
      <c r="CC952" s="141"/>
      <c r="CD952" s="141"/>
      <c r="CE952" s="141"/>
      <c r="CF952" s="141"/>
      <c r="CG952" s="141"/>
      <c r="CH952" s="141"/>
      <c r="CI952" s="141"/>
      <c r="CJ952" s="141"/>
      <c r="CK952" s="141"/>
    </row>
    <row r="953" spans="74:89" ht="49.5" customHeight="1" x14ac:dyDescent="0.35">
      <c r="BV953" s="140"/>
      <c r="BY953" s="141"/>
      <c r="BZ953" s="141"/>
      <c r="CA953" s="141"/>
      <c r="CB953" s="141"/>
      <c r="CC953" s="141"/>
      <c r="CD953" s="141"/>
      <c r="CE953" s="141"/>
      <c r="CF953" s="141"/>
      <c r="CG953" s="141"/>
      <c r="CH953" s="141"/>
      <c r="CI953" s="141"/>
      <c r="CJ953" s="141"/>
      <c r="CK953" s="141"/>
    </row>
    <row r="954" spans="74:89" ht="49.5" customHeight="1" x14ac:dyDescent="0.35">
      <c r="BV954" s="140"/>
      <c r="BY954" s="141"/>
      <c r="BZ954" s="141"/>
      <c r="CA954" s="141"/>
      <c r="CB954" s="141"/>
      <c r="CC954" s="141"/>
      <c r="CD954" s="141"/>
      <c r="CE954" s="141"/>
      <c r="CF954" s="141"/>
      <c r="CG954" s="141"/>
      <c r="CH954" s="141"/>
      <c r="CI954" s="141"/>
      <c r="CJ954" s="141"/>
      <c r="CK954" s="141"/>
    </row>
    <row r="955" spans="74:89" ht="49.5" customHeight="1" x14ac:dyDescent="0.35">
      <c r="BV955" s="140"/>
      <c r="BY955" s="141"/>
      <c r="BZ955" s="141"/>
      <c r="CA955" s="141"/>
      <c r="CB955" s="141"/>
      <c r="CC955" s="141"/>
      <c r="CD955" s="141"/>
      <c r="CE955" s="141"/>
      <c r="CF955" s="141"/>
      <c r="CG955" s="141"/>
      <c r="CH955" s="141"/>
      <c r="CI955" s="141"/>
      <c r="CJ955" s="141"/>
      <c r="CK955" s="141"/>
    </row>
    <row r="956" spans="74:89" ht="49.5" customHeight="1" x14ac:dyDescent="0.35">
      <c r="BV956" s="140"/>
      <c r="BY956" s="141"/>
      <c r="BZ956" s="141"/>
      <c r="CA956" s="141"/>
      <c r="CB956" s="141"/>
      <c r="CC956" s="141"/>
      <c r="CD956" s="141"/>
      <c r="CE956" s="141"/>
      <c r="CF956" s="141"/>
      <c r="CG956" s="141"/>
      <c r="CH956" s="141"/>
      <c r="CI956" s="141"/>
      <c r="CJ956" s="141"/>
      <c r="CK956" s="141"/>
    </row>
    <row r="957" spans="74:89" ht="49.5" customHeight="1" x14ac:dyDescent="0.35">
      <c r="BV957" s="140"/>
      <c r="BY957" s="141"/>
      <c r="BZ957" s="141"/>
      <c r="CA957" s="141"/>
      <c r="CB957" s="141"/>
      <c r="CC957" s="141"/>
      <c r="CD957" s="141"/>
      <c r="CE957" s="141"/>
      <c r="CF957" s="141"/>
      <c r="CG957" s="141"/>
      <c r="CH957" s="141"/>
      <c r="CI957" s="141"/>
      <c r="CJ957" s="141"/>
      <c r="CK957" s="141"/>
    </row>
    <row r="958" spans="74:89" ht="49.5" customHeight="1" x14ac:dyDescent="0.35">
      <c r="BV958" s="140"/>
      <c r="BY958" s="141"/>
      <c r="BZ958" s="141"/>
      <c r="CA958" s="141"/>
      <c r="CB958" s="141"/>
      <c r="CC958" s="141"/>
      <c r="CD958" s="141"/>
      <c r="CE958" s="141"/>
      <c r="CF958" s="141"/>
      <c r="CG958" s="141"/>
      <c r="CH958" s="141"/>
      <c r="CI958" s="141"/>
      <c r="CJ958" s="141"/>
      <c r="CK958" s="141"/>
    </row>
    <row r="959" spans="74:89" ht="49.5" customHeight="1" x14ac:dyDescent="0.35">
      <c r="BV959" s="140"/>
      <c r="BY959" s="141"/>
      <c r="BZ959" s="141"/>
      <c r="CA959" s="141"/>
      <c r="CB959" s="141"/>
      <c r="CC959" s="141"/>
      <c r="CD959" s="141"/>
      <c r="CE959" s="141"/>
      <c r="CF959" s="141"/>
      <c r="CG959" s="141"/>
      <c r="CH959" s="141"/>
      <c r="CI959" s="141"/>
      <c r="CJ959" s="141"/>
      <c r="CK959" s="141"/>
    </row>
    <row r="960" spans="74:89" ht="49.5" customHeight="1" x14ac:dyDescent="0.35">
      <c r="BV960" s="140"/>
      <c r="BY960" s="141"/>
      <c r="BZ960" s="141"/>
      <c r="CA960" s="141"/>
      <c r="CB960" s="141"/>
      <c r="CC960" s="141"/>
      <c r="CD960" s="141"/>
      <c r="CE960" s="141"/>
      <c r="CF960" s="141"/>
      <c r="CG960" s="141"/>
      <c r="CH960" s="141"/>
      <c r="CI960" s="141"/>
      <c r="CJ960" s="141"/>
      <c r="CK960" s="141"/>
    </row>
    <row r="961" spans="74:89" ht="49.5" customHeight="1" x14ac:dyDescent="0.35">
      <c r="BV961" s="140"/>
      <c r="BY961" s="141"/>
      <c r="BZ961" s="141"/>
      <c r="CA961" s="141"/>
      <c r="CB961" s="141"/>
      <c r="CC961" s="141"/>
      <c r="CD961" s="141"/>
      <c r="CE961" s="141"/>
      <c r="CF961" s="141"/>
      <c r="CG961" s="141"/>
      <c r="CH961" s="141"/>
      <c r="CI961" s="141"/>
      <c r="CJ961" s="141"/>
      <c r="CK961" s="141"/>
    </row>
    <row r="962" spans="74:89" ht="49.5" customHeight="1" x14ac:dyDescent="0.35">
      <c r="BV962" s="140"/>
      <c r="BY962" s="141"/>
      <c r="BZ962" s="141"/>
      <c r="CA962" s="141"/>
      <c r="CB962" s="141"/>
      <c r="CC962" s="141"/>
      <c r="CD962" s="141"/>
      <c r="CE962" s="141"/>
      <c r="CF962" s="141"/>
      <c r="CG962" s="141"/>
      <c r="CH962" s="141"/>
      <c r="CI962" s="141"/>
      <c r="CJ962" s="141"/>
      <c r="CK962" s="141"/>
    </row>
    <row r="963" spans="74:89" ht="49.5" customHeight="1" x14ac:dyDescent="0.35">
      <c r="BV963" s="140"/>
      <c r="BY963" s="141"/>
      <c r="BZ963" s="141"/>
      <c r="CA963" s="141"/>
      <c r="CB963" s="141"/>
      <c r="CC963" s="141"/>
      <c r="CD963" s="141"/>
      <c r="CE963" s="141"/>
      <c r="CF963" s="141"/>
      <c r="CG963" s="141"/>
      <c r="CH963" s="141"/>
      <c r="CI963" s="141"/>
      <c r="CJ963" s="141"/>
      <c r="CK963" s="141"/>
    </row>
    <row r="964" spans="74:89" ht="49.5" customHeight="1" x14ac:dyDescent="0.35">
      <c r="BV964" s="140"/>
      <c r="BY964" s="141"/>
      <c r="BZ964" s="141"/>
      <c r="CA964" s="141"/>
      <c r="CB964" s="141"/>
      <c r="CC964" s="141"/>
      <c r="CD964" s="141"/>
      <c r="CE964" s="141"/>
      <c r="CF964" s="141"/>
      <c r="CG964" s="141"/>
      <c r="CH964" s="141"/>
      <c r="CI964" s="141"/>
      <c r="CJ964" s="141"/>
      <c r="CK964" s="141"/>
    </row>
    <row r="965" spans="74:89" ht="49.5" customHeight="1" x14ac:dyDescent="0.35">
      <c r="BV965" s="140"/>
      <c r="BY965" s="141"/>
      <c r="BZ965" s="141"/>
      <c r="CA965" s="141"/>
      <c r="CB965" s="141"/>
      <c r="CC965" s="141"/>
      <c r="CD965" s="141"/>
      <c r="CE965" s="141"/>
      <c r="CF965" s="141"/>
      <c r="CG965" s="141"/>
      <c r="CH965" s="141"/>
      <c r="CI965" s="141"/>
      <c r="CJ965" s="141"/>
      <c r="CK965" s="141"/>
    </row>
    <row r="966" spans="74:89" ht="49.5" customHeight="1" x14ac:dyDescent="0.35">
      <c r="BV966" s="140"/>
      <c r="BY966" s="141"/>
      <c r="BZ966" s="141"/>
      <c r="CA966" s="141"/>
      <c r="CB966" s="141"/>
      <c r="CC966" s="141"/>
      <c r="CD966" s="141"/>
      <c r="CE966" s="141"/>
      <c r="CF966" s="141"/>
      <c r="CG966" s="141"/>
      <c r="CH966" s="141"/>
      <c r="CI966" s="141"/>
      <c r="CJ966" s="141"/>
      <c r="CK966" s="141"/>
    </row>
    <row r="967" spans="74:89" ht="49.5" customHeight="1" x14ac:dyDescent="0.35">
      <c r="BV967" s="140"/>
      <c r="BY967" s="141"/>
      <c r="BZ967" s="141"/>
      <c r="CA967" s="141"/>
      <c r="CB967" s="141"/>
      <c r="CC967" s="141"/>
      <c r="CD967" s="141"/>
      <c r="CE967" s="141"/>
      <c r="CF967" s="141"/>
      <c r="CG967" s="141"/>
      <c r="CH967" s="141"/>
      <c r="CI967" s="141"/>
      <c r="CJ967" s="141"/>
      <c r="CK967" s="141"/>
    </row>
    <row r="968" spans="74:89" ht="49.5" customHeight="1" x14ac:dyDescent="0.35">
      <c r="BV968" s="140"/>
      <c r="BY968" s="141"/>
      <c r="BZ968" s="141"/>
      <c r="CA968" s="141"/>
      <c r="CB968" s="141"/>
      <c r="CC968" s="141"/>
      <c r="CD968" s="141"/>
      <c r="CE968" s="141"/>
      <c r="CF968" s="141"/>
      <c r="CG968" s="141"/>
      <c r="CH968" s="141"/>
      <c r="CI968" s="141"/>
      <c r="CJ968" s="141"/>
      <c r="CK968" s="141"/>
    </row>
    <row r="969" spans="74:89" ht="49.5" customHeight="1" x14ac:dyDescent="0.35">
      <c r="BV969" s="140"/>
      <c r="BY969" s="141"/>
      <c r="BZ969" s="141"/>
      <c r="CA969" s="141"/>
      <c r="CB969" s="141"/>
      <c r="CC969" s="141"/>
      <c r="CD969" s="141"/>
      <c r="CE969" s="141"/>
      <c r="CF969" s="141"/>
      <c r="CG969" s="141"/>
      <c r="CH969" s="141"/>
      <c r="CI969" s="141"/>
      <c r="CJ969" s="141"/>
      <c r="CK969" s="141"/>
    </row>
    <row r="970" spans="74:89" ht="49.5" customHeight="1" x14ac:dyDescent="0.35">
      <c r="BV970" s="140"/>
      <c r="BY970" s="141"/>
      <c r="BZ970" s="141"/>
      <c r="CA970" s="141"/>
      <c r="CB970" s="141"/>
      <c r="CC970" s="141"/>
      <c r="CD970" s="141"/>
      <c r="CE970" s="141"/>
      <c r="CF970" s="141"/>
      <c r="CG970" s="141"/>
      <c r="CH970" s="141"/>
      <c r="CI970" s="141"/>
      <c r="CJ970" s="141"/>
      <c r="CK970" s="141"/>
    </row>
    <row r="971" spans="74:89" ht="49.5" customHeight="1" x14ac:dyDescent="0.35">
      <c r="BV971" s="140"/>
      <c r="BY971" s="141"/>
      <c r="BZ971" s="141"/>
      <c r="CA971" s="141"/>
      <c r="CB971" s="141"/>
      <c r="CC971" s="141"/>
      <c r="CD971" s="141"/>
      <c r="CE971" s="141"/>
      <c r="CF971" s="141"/>
      <c r="CG971" s="141"/>
      <c r="CH971" s="141"/>
      <c r="CI971" s="141"/>
      <c r="CJ971" s="141"/>
      <c r="CK971" s="141"/>
    </row>
    <row r="972" spans="74:89" ht="49.5" customHeight="1" x14ac:dyDescent="0.35">
      <c r="BV972" s="140"/>
      <c r="BY972" s="141"/>
      <c r="BZ972" s="141"/>
      <c r="CA972" s="141"/>
      <c r="CB972" s="141"/>
      <c r="CC972" s="141"/>
      <c r="CD972" s="141"/>
      <c r="CE972" s="141"/>
      <c r="CF972" s="141"/>
      <c r="CG972" s="141"/>
      <c r="CH972" s="141"/>
      <c r="CI972" s="141"/>
      <c r="CJ972" s="141"/>
      <c r="CK972" s="141"/>
    </row>
  </sheetData>
  <mergeCells count="82">
    <mergeCell ref="BG6:BG7"/>
    <mergeCell ref="CK6:CK7"/>
    <mergeCell ref="BB6:BB7"/>
    <mergeCell ref="BC6:BC7"/>
    <mergeCell ref="BD6:BD7"/>
    <mergeCell ref="BE6:BE7"/>
    <mergeCell ref="BF6:BF7"/>
    <mergeCell ref="AP6:AP7"/>
    <mergeCell ref="AW6:AW7"/>
    <mergeCell ref="AX6:AX7"/>
    <mergeCell ref="AZ6:AZ7"/>
    <mergeCell ref="BA6:BA7"/>
    <mergeCell ref="AA6:AC6"/>
    <mergeCell ref="AD6:AF6"/>
    <mergeCell ref="AG6:AI6"/>
    <mergeCell ref="AJ6:AL6"/>
    <mergeCell ref="AM6:AO6"/>
    <mergeCell ref="V5:W5"/>
    <mergeCell ref="Y5:Z5"/>
    <mergeCell ref="A6:A7"/>
    <mergeCell ref="B6:B7"/>
    <mergeCell ref="C6:C7"/>
    <mergeCell ref="D6:D7"/>
    <mergeCell ref="E6:E7"/>
    <mergeCell ref="F6:H6"/>
    <mergeCell ref="I6:K6"/>
    <mergeCell ref="L6:N6"/>
    <mergeCell ref="O6:Q6"/>
    <mergeCell ref="R6:T6"/>
    <mergeCell ref="U6:W6"/>
    <mergeCell ref="X6:Z6"/>
    <mergeCell ref="G5:H5"/>
    <mergeCell ref="J5:K5"/>
    <mergeCell ref="M5:N5"/>
    <mergeCell ref="P5:Q5"/>
    <mergeCell ref="S5:T5"/>
    <mergeCell ref="AZ5:BF5"/>
    <mergeCell ref="BI5:BS5"/>
    <mergeCell ref="BV5:BX5"/>
    <mergeCell ref="CF5:CK5"/>
    <mergeCell ref="AB5:AC5"/>
    <mergeCell ref="AE5:AF5"/>
    <mergeCell ref="AH5:AI5"/>
    <mergeCell ref="AK5:AL5"/>
    <mergeCell ref="AN5:AP5"/>
    <mergeCell ref="AR5:AS5"/>
    <mergeCell ref="AU5:AV5"/>
    <mergeCell ref="BX6:BX7"/>
    <mergeCell ref="BY6:CJ6"/>
    <mergeCell ref="BQ6:BQ7"/>
    <mergeCell ref="BR6:BR7"/>
    <mergeCell ref="BS6:BS7"/>
    <mergeCell ref="BT6:BT7"/>
    <mergeCell ref="BU6:BU7"/>
    <mergeCell ref="BV6:BV7"/>
    <mergeCell ref="BW6:BW7"/>
    <mergeCell ref="BB44:BB45"/>
    <mergeCell ref="BC44:BC45"/>
    <mergeCell ref="A46:B46"/>
    <mergeCell ref="BW44:BW45"/>
    <mergeCell ref="CK44:CK45"/>
    <mergeCell ref="BD44:BD45"/>
    <mergeCell ref="BE44:BE45"/>
    <mergeCell ref="BF44:BF45"/>
    <mergeCell ref="BG44:BG45"/>
    <mergeCell ref="BH44:BH45"/>
    <mergeCell ref="BS44:BS45"/>
    <mergeCell ref="BU44:BU45"/>
    <mergeCell ref="A44:B45"/>
    <mergeCell ref="C44:C45"/>
    <mergeCell ref="F44:AX44"/>
    <mergeCell ref="AZ44:AZ45"/>
    <mergeCell ref="BA44:BA45"/>
    <mergeCell ref="BO6:BO7"/>
    <mergeCell ref="BP6:BP7"/>
    <mergeCell ref="BH6:BH7"/>
    <mergeCell ref="BI6:BI7"/>
    <mergeCell ref="BJ6:BJ7"/>
    <mergeCell ref="BK6:BK7"/>
    <mergeCell ref="BL6:BL7"/>
    <mergeCell ref="BM6:BM7"/>
    <mergeCell ref="BN6:BN7"/>
  </mergeCells>
  <conditionalFormatting sqref="AZ8:AZ42">
    <cfRule type="cellIs" dxfId="77" priority="1" operator="lessThan">
      <formula>0.5</formula>
    </cfRule>
  </conditionalFormatting>
  <conditionalFormatting sqref="BA8:BA42">
    <cfRule type="cellIs" dxfId="76" priority="2" operator="lessThan">
      <formula>0.2</formula>
    </cfRule>
  </conditionalFormatting>
  <conditionalFormatting sqref="BB8:BB42">
    <cfRule type="cellIs" dxfId="75" priority="3" operator="lessThan">
      <formula>0.4</formula>
    </cfRule>
  </conditionalFormatting>
  <conditionalFormatting sqref="BV8:BV42">
    <cfRule type="cellIs" dxfId="74" priority="4" operator="lessThan">
      <formula>23</formula>
    </cfRule>
    <cfRule type="cellIs" dxfId="73" priority="5" operator="greaterThan">
      <formula>22.99</formula>
    </cfRule>
  </conditionalFormatting>
  <conditionalFormatting sqref="BW8:BW42">
    <cfRule type="cellIs" dxfId="72" priority="6" operator="greaterThan">
      <formula>0</formula>
    </cfRule>
    <cfRule type="cellIs" dxfId="71" priority="7" operator="lessThan">
      <formula>0</formula>
    </cfRule>
  </conditionalFormatting>
  <conditionalFormatting sqref="BX8:BX42">
    <cfRule type="cellIs" dxfId="70" priority="8" operator="greaterThan">
      <formula>0</formula>
    </cfRule>
    <cfRule type="cellIs" dxfId="69" priority="9" operator="lessThan">
      <formula>0</formula>
    </cfRule>
  </conditionalFormatting>
  <conditionalFormatting sqref="CF8:CI42">
    <cfRule type="cellIs" dxfId="68" priority="12" operator="greaterThan">
      <formula>2.99%</formula>
    </cfRule>
  </conditionalFormatting>
  <conditionalFormatting sqref="CF8:CJ42">
    <cfRule type="cellIs" dxfId="67" priority="13" operator="lessThan">
      <formula>3%</formula>
    </cfRule>
  </conditionalFormatting>
  <conditionalFormatting sqref="CK8:CK42">
    <cfRule type="cellIs" dxfId="66" priority="10" operator="greaterThan">
      <formula>0</formula>
    </cfRule>
    <cfRule type="cellIs" dxfId="65" priority="11" operator="lessThan">
      <formula>0</formula>
    </cfRule>
  </conditionalFormatting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CL97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53125" defaultRowHeight="15" customHeight="1" x14ac:dyDescent="0.35"/>
  <cols>
    <col min="1" max="1" width="8.08984375" customWidth="1"/>
    <col min="2" max="2" width="10.54296875" hidden="1" customWidth="1"/>
    <col min="3" max="3" width="12.81640625" customWidth="1"/>
    <col min="4" max="4" width="12.453125" hidden="1" customWidth="1"/>
    <col min="5" max="5" width="16" hidden="1" customWidth="1"/>
    <col min="6" max="6" width="20.453125" hidden="1" customWidth="1"/>
    <col min="7" max="7" width="18.7265625" hidden="1" customWidth="1"/>
    <col min="8" max="8" width="15.453125" hidden="1" customWidth="1"/>
    <col min="9" max="9" width="9.08984375" customWidth="1"/>
    <col min="10" max="10" width="9.08984375" hidden="1" customWidth="1"/>
    <col min="11" max="11" width="10.7265625" hidden="1" customWidth="1"/>
    <col min="12" max="14" width="9.08984375" hidden="1" customWidth="1"/>
    <col min="15" max="15" width="9.08984375" customWidth="1"/>
    <col min="16" max="16" width="9.08984375" hidden="1" customWidth="1"/>
    <col min="17" max="17" width="11.81640625" hidden="1" customWidth="1"/>
    <col min="18" max="18" width="9.08984375" customWidth="1"/>
    <col min="19" max="19" width="9.08984375" hidden="1" customWidth="1"/>
    <col min="20" max="20" width="11.453125" hidden="1" customWidth="1"/>
    <col min="21" max="21" width="9.08984375" customWidth="1"/>
    <col min="22" max="22" width="9.08984375" hidden="1" customWidth="1"/>
    <col min="23" max="23" width="10.7265625" hidden="1" customWidth="1"/>
    <col min="24" max="24" width="9.08984375" customWidth="1"/>
    <col min="25" max="25" width="9.08984375" hidden="1" customWidth="1"/>
    <col min="26" max="26" width="9.81640625" hidden="1" customWidth="1"/>
    <col min="27" max="27" width="9.08984375" customWidth="1"/>
    <col min="28" max="28" width="9.08984375" hidden="1" customWidth="1"/>
    <col min="29" max="29" width="11.54296875" hidden="1" customWidth="1"/>
    <col min="30" max="30" width="9.08984375" customWidth="1"/>
    <col min="31" max="31" width="9.08984375" hidden="1" customWidth="1"/>
    <col min="32" max="32" width="11.26953125" hidden="1" customWidth="1"/>
    <col min="33" max="33" width="9.08984375" customWidth="1"/>
    <col min="34" max="34" width="9.08984375" hidden="1" customWidth="1"/>
    <col min="35" max="35" width="11.54296875" hidden="1" customWidth="1"/>
    <col min="36" max="38" width="9.08984375" hidden="1" customWidth="1"/>
    <col min="39" max="40" width="9.08984375" customWidth="1"/>
    <col min="41" max="41" width="11.08984375" customWidth="1"/>
    <col min="42" max="42" width="10.7265625" customWidth="1"/>
    <col min="43" max="49" width="9.08984375" hidden="1" customWidth="1"/>
    <col min="50" max="50" width="10.54296875" customWidth="1"/>
    <col min="51" max="51" width="9.08984375" hidden="1" customWidth="1"/>
    <col min="52" max="52" width="10.26953125" customWidth="1"/>
    <col min="53" max="53" width="10.54296875" customWidth="1"/>
    <col min="54" max="58" width="9.08984375" customWidth="1"/>
    <col min="59" max="59" width="13.08984375" customWidth="1"/>
    <col min="60" max="60" width="14.7265625" customWidth="1"/>
    <col min="61" max="61" width="9.08984375" customWidth="1"/>
    <col min="62" max="72" width="9.08984375" hidden="1" customWidth="1"/>
    <col min="73" max="73" width="12.453125" customWidth="1"/>
    <col min="74" max="74" width="9.08984375" customWidth="1"/>
    <col min="75" max="75" width="11" customWidth="1"/>
    <col min="76" max="88" width="9.08984375" customWidth="1"/>
    <col min="89" max="89" width="9.08984375" hidden="1" customWidth="1"/>
    <col min="90" max="90" width="9" customWidth="1"/>
  </cols>
  <sheetData>
    <row r="1" spans="1:90" ht="21.75" customHeight="1" x14ac:dyDescent="0.35">
      <c r="A1" s="3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10"/>
    </row>
    <row r="2" spans="1:90" ht="1.5" customHeight="1" x14ac:dyDescent="0.3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4"/>
    </row>
    <row r="3" spans="1:90" ht="16.5" customHeight="1" x14ac:dyDescent="1.4">
      <c r="A3" s="15" t="s">
        <v>10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7" t="s">
        <v>12</v>
      </c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8"/>
      <c r="CL3" s="19"/>
    </row>
    <row r="4" spans="1:90" ht="9.75" customHeight="1" x14ac:dyDescent="1.4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2"/>
      <c r="CL4" s="19"/>
    </row>
    <row r="5" spans="1:90" ht="27" hidden="1" customHeight="1" x14ac:dyDescent="1.4">
      <c r="A5" s="23"/>
      <c r="B5" s="23"/>
      <c r="C5" s="23"/>
      <c r="D5" s="23"/>
      <c r="E5" s="23"/>
      <c r="F5" s="24"/>
      <c r="G5" s="411" t="s">
        <v>16</v>
      </c>
      <c r="H5" s="406"/>
      <c r="I5" s="24"/>
      <c r="J5" s="411" t="s">
        <v>16</v>
      </c>
      <c r="K5" s="406"/>
      <c r="L5" s="26"/>
      <c r="M5" s="411" t="s">
        <v>16</v>
      </c>
      <c r="N5" s="406"/>
      <c r="O5" s="27"/>
      <c r="P5" s="411" t="s">
        <v>16</v>
      </c>
      <c r="Q5" s="406"/>
      <c r="R5" s="26"/>
      <c r="S5" s="411" t="s">
        <v>16</v>
      </c>
      <c r="T5" s="406"/>
      <c r="U5" s="27"/>
      <c r="V5" s="411" t="s">
        <v>16</v>
      </c>
      <c r="W5" s="406"/>
      <c r="X5" s="27"/>
      <c r="Y5" s="411" t="s">
        <v>16</v>
      </c>
      <c r="Z5" s="406"/>
      <c r="AA5" s="27"/>
      <c r="AB5" s="411" t="s">
        <v>16</v>
      </c>
      <c r="AC5" s="406"/>
      <c r="AD5" s="27"/>
      <c r="AE5" s="411" t="s">
        <v>16</v>
      </c>
      <c r="AF5" s="406"/>
      <c r="AG5" s="27"/>
      <c r="AH5" s="411" t="s">
        <v>16</v>
      </c>
      <c r="AI5" s="406"/>
      <c r="AJ5" s="26"/>
      <c r="AK5" s="411" t="s">
        <v>16</v>
      </c>
      <c r="AL5" s="406"/>
      <c r="AM5" s="26"/>
      <c r="AN5" s="409" t="s">
        <v>17</v>
      </c>
      <c r="AO5" s="406"/>
      <c r="AP5" s="406"/>
      <c r="AQ5" s="26"/>
      <c r="AR5" s="412" t="s">
        <v>17</v>
      </c>
      <c r="AS5" s="406"/>
      <c r="AT5" s="26"/>
      <c r="AU5" s="412" t="s">
        <v>17</v>
      </c>
      <c r="AV5" s="406"/>
      <c r="AW5" s="26"/>
      <c r="AX5" s="28" t="s">
        <v>18</v>
      </c>
      <c r="AY5" s="29"/>
      <c r="AZ5" s="409" t="s">
        <v>19</v>
      </c>
      <c r="BA5" s="406"/>
      <c r="BB5" s="406"/>
      <c r="BC5" s="406"/>
      <c r="BD5" s="406"/>
      <c r="BE5" s="406"/>
      <c r="BF5" s="406"/>
      <c r="BG5" s="27"/>
      <c r="BH5" s="30"/>
      <c r="BI5" s="409" t="s">
        <v>19</v>
      </c>
      <c r="BJ5" s="406"/>
      <c r="BK5" s="406"/>
      <c r="BL5" s="406"/>
      <c r="BM5" s="406"/>
      <c r="BN5" s="406"/>
      <c r="BO5" s="406"/>
      <c r="BP5" s="406"/>
      <c r="BQ5" s="406"/>
      <c r="BR5" s="406"/>
      <c r="BS5" s="406"/>
      <c r="BT5" s="31"/>
      <c r="BU5" s="23"/>
      <c r="BV5" s="410" t="s">
        <v>21</v>
      </c>
      <c r="BW5" s="406"/>
      <c r="BX5" s="406"/>
      <c r="BY5" s="23"/>
      <c r="BZ5" s="23"/>
      <c r="CA5" s="23"/>
      <c r="CB5" s="23"/>
      <c r="CC5" s="23"/>
      <c r="CD5" s="23"/>
      <c r="CE5" s="23"/>
      <c r="CF5" s="409" t="s">
        <v>19</v>
      </c>
      <c r="CG5" s="406"/>
      <c r="CH5" s="406"/>
      <c r="CI5" s="406"/>
      <c r="CJ5" s="406"/>
      <c r="CK5" s="406"/>
      <c r="CL5" s="19"/>
    </row>
    <row r="6" spans="1:90" ht="27" customHeight="1" x14ac:dyDescent="0.35">
      <c r="A6" s="413" t="s">
        <v>22</v>
      </c>
      <c r="B6" s="382" t="s">
        <v>23</v>
      </c>
      <c r="C6" s="404" t="s">
        <v>24</v>
      </c>
      <c r="D6" s="404" t="s">
        <v>25</v>
      </c>
      <c r="E6" s="404" t="s">
        <v>26</v>
      </c>
      <c r="F6" s="414" t="s">
        <v>27</v>
      </c>
      <c r="G6" s="415"/>
      <c r="H6" s="415"/>
      <c r="I6" s="416" t="s">
        <v>28</v>
      </c>
      <c r="J6" s="406"/>
      <c r="K6" s="407"/>
      <c r="L6" s="416" t="s">
        <v>29</v>
      </c>
      <c r="M6" s="406"/>
      <c r="N6" s="407"/>
      <c r="O6" s="416" t="s">
        <v>30</v>
      </c>
      <c r="P6" s="406"/>
      <c r="Q6" s="407"/>
      <c r="R6" s="416" t="s">
        <v>31</v>
      </c>
      <c r="S6" s="406"/>
      <c r="T6" s="407"/>
      <c r="U6" s="416" t="s">
        <v>32</v>
      </c>
      <c r="V6" s="406"/>
      <c r="W6" s="407"/>
      <c r="X6" s="416" t="s">
        <v>33</v>
      </c>
      <c r="Y6" s="406"/>
      <c r="Z6" s="407"/>
      <c r="AA6" s="416" t="s">
        <v>34</v>
      </c>
      <c r="AB6" s="406"/>
      <c r="AC6" s="407"/>
      <c r="AD6" s="416" t="s">
        <v>35</v>
      </c>
      <c r="AE6" s="406"/>
      <c r="AF6" s="407"/>
      <c r="AG6" s="416" t="s">
        <v>36</v>
      </c>
      <c r="AH6" s="406"/>
      <c r="AI6" s="407"/>
      <c r="AJ6" s="416" t="s">
        <v>37</v>
      </c>
      <c r="AK6" s="406"/>
      <c r="AL6" s="407"/>
      <c r="AM6" s="416" t="s">
        <v>38</v>
      </c>
      <c r="AN6" s="406"/>
      <c r="AO6" s="406"/>
      <c r="AP6" s="417" t="s">
        <v>40</v>
      </c>
      <c r="AQ6" s="33"/>
      <c r="AR6" s="33"/>
      <c r="AS6" s="33"/>
      <c r="AT6" s="33"/>
      <c r="AU6" s="33"/>
      <c r="AV6" s="33"/>
      <c r="AW6" s="418" t="s">
        <v>41</v>
      </c>
      <c r="AX6" s="417" t="s">
        <v>42</v>
      </c>
      <c r="AY6" s="34"/>
      <c r="AZ6" s="419" t="s">
        <v>43</v>
      </c>
      <c r="BA6" s="421" t="s">
        <v>44</v>
      </c>
      <c r="BB6" s="421" t="s">
        <v>45</v>
      </c>
      <c r="BC6" s="421" t="s">
        <v>46</v>
      </c>
      <c r="BD6" s="421" t="s">
        <v>47</v>
      </c>
      <c r="BE6" s="421" t="s">
        <v>48</v>
      </c>
      <c r="BF6" s="421" t="s">
        <v>49</v>
      </c>
      <c r="BG6" s="421" t="s">
        <v>50</v>
      </c>
      <c r="BH6" s="380" t="s">
        <v>51</v>
      </c>
      <c r="BI6" s="380" t="s">
        <v>52</v>
      </c>
      <c r="BJ6" s="381" t="s">
        <v>53</v>
      </c>
      <c r="BK6" s="381" t="s">
        <v>54</v>
      </c>
      <c r="BL6" s="382" t="s">
        <v>23</v>
      </c>
      <c r="BM6" s="379" t="s">
        <v>55</v>
      </c>
      <c r="BN6" s="379" t="s">
        <v>56</v>
      </c>
      <c r="BO6" s="379" t="s">
        <v>57</v>
      </c>
      <c r="BP6" s="379" t="s">
        <v>58</v>
      </c>
      <c r="BQ6" s="379" t="s">
        <v>59</v>
      </c>
      <c r="BR6" s="379" t="s">
        <v>60</v>
      </c>
      <c r="BS6" s="379" t="s">
        <v>62</v>
      </c>
      <c r="BT6" s="379" t="s">
        <v>63</v>
      </c>
      <c r="BU6" s="379" t="s">
        <v>64</v>
      </c>
      <c r="BV6" s="408" t="s">
        <v>65</v>
      </c>
      <c r="BW6" s="404" t="s">
        <v>8</v>
      </c>
      <c r="BX6" s="404" t="s">
        <v>66</v>
      </c>
      <c r="BY6" s="405" t="s">
        <v>67</v>
      </c>
      <c r="BZ6" s="406"/>
      <c r="CA6" s="406"/>
      <c r="CB6" s="406"/>
      <c r="CC6" s="406"/>
      <c r="CD6" s="406"/>
      <c r="CE6" s="406"/>
      <c r="CF6" s="406"/>
      <c r="CG6" s="406"/>
      <c r="CH6" s="406"/>
      <c r="CI6" s="406"/>
      <c r="CJ6" s="407"/>
      <c r="CK6" s="422" t="s">
        <v>68</v>
      </c>
      <c r="CL6" s="35"/>
    </row>
    <row r="7" spans="1:90" ht="49.5" customHeight="1" x14ac:dyDescent="0.35">
      <c r="A7" s="378"/>
      <c r="B7" s="378"/>
      <c r="C7" s="378"/>
      <c r="D7" s="378"/>
      <c r="E7" s="378"/>
      <c r="F7" s="36" t="s">
        <v>69</v>
      </c>
      <c r="G7" s="37" t="s">
        <v>70</v>
      </c>
      <c r="H7" s="38" t="s">
        <v>71</v>
      </c>
      <c r="I7" s="39" t="s">
        <v>72</v>
      </c>
      <c r="J7" s="40" t="s">
        <v>70</v>
      </c>
      <c r="K7" s="41" t="s">
        <v>71</v>
      </c>
      <c r="L7" s="42" t="s">
        <v>73</v>
      </c>
      <c r="M7" s="37" t="s">
        <v>70</v>
      </c>
      <c r="N7" s="43" t="s">
        <v>71</v>
      </c>
      <c r="O7" s="36" t="s">
        <v>74</v>
      </c>
      <c r="P7" s="37" t="s">
        <v>70</v>
      </c>
      <c r="Q7" s="43" t="s">
        <v>71</v>
      </c>
      <c r="R7" s="36" t="s">
        <v>31</v>
      </c>
      <c r="S7" s="37" t="s">
        <v>70</v>
      </c>
      <c r="T7" s="43" t="s">
        <v>71</v>
      </c>
      <c r="U7" s="36" t="s">
        <v>75</v>
      </c>
      <c r="V7" s="37" t="s">
        <v>70</v>
      </c>
      <c r="W7" s="43" t="s">
        <v>71</v>
      </c>
      <c r="X7" s="36" t="s">
        <v>76</v>
      </c>
      <c r="Y7" s="37" t="s">
        <v>70</v>
      </c>
      <c r="Z7" s="43" t="s">
        <v>71</v>
      </c>
      <c r="AA7" s="36" t="s">
        <v>77</v>
      </c>
      <c r="AB7" s="37" t="s">
        <v>70</v>
      </c>
      <c r="AC7" s="43" t="s">
        <v>71</v>
      </c>
      <c r="AD7" s="36" t="s">
        <v>79</v>
      </c>
      <c r="AE7" s="37" t="s">
        <v>70</v>
      </c>
      <c r="AF7" s="43" t="s">
        <v>71</v>
      </c>
      <c r="AG7" s="44" t="s">
        <v>80</v>
      </c>
      <c r="AH7" s="37" t="s">
        <v>70</v>
      </c>
      <c r="AI7" s="43" t="s">
        <v>71</v>
      </c>
      <c r="AJ7" s="36" t="s">
        <v>82</v>
      </c>
      <c r="AK7" s="37" t="s">
        <v>70</v>
      </c>
      <c r="AL7" s="43" t="s">
        <v>71</v>
      </c>
      <c r="AM7" s="36" t="s">
        <v>83</v>
      </c>
      <c r="AN7" s="37" t="s">
        <v>70</v>
      </c>
      <c r="AO7" s="38" t="s">
        <v>71</v>
      </c>
      <c r="AP7" s="378"/>
      <c r="AQ7" s="39" t="s">
        <v>84</v>
      </c>
      <c r="AR7" s="40" t="s">
        <v>85</v>
      </c>
      <c r="AS7" s="41" t="s">
        <v>86</v>
      </c>
      <c r="AT7" s="39" t="s">
        <v>87</v>
      </c>
      <c r="AU7" s="40" t="s">
        <v>88</v>
      </c>
      <c r="AV7" s="41" t="s">
        <v>86</v>
      </c>
      <c r="AW7" s="378"/>
      <c r="AX7" s="378"/>
      <c r="AY7" s="46" t="s">
        <v>89</v>
      </c>
      <c r="AZ7" s="420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378"/>
      <c r="BW7" s="378"/>
      <c r="BX7" s="378"/>
      <c r="BY7" s="47" t="s">
        <v>90</v>
      </c>
      <c r="BZ7" s="47" t="s">
        <v>91</v>
      </c>
      <c r="CA7" s="47" t="s">
        <v>92</v>
      </c>
      <c r="CB7" s="47" t="s">
        <v>93</v>
      </c>
      <c r="CC7" s="47" t="s">
        <v>55</v>
      </c>
      <c r="CD7" s="48" t="s">
        <v>57</v>
      </c>
      <c r="CE7" s="47" t="s">
        <v>59</v>
      </c>
      <c r="CF7" s="49" t="s">
        <v>90</v>
      </c>
      <c r="CG7" s="49" t="s">
        <v>91</v>
      </c>
      <c r="CH7" s="49" t="s">
        <v>92</v>
      </c>
      <c r="CI7" s="49" t="s">
        <v>93</v>
      </c>
      <c r="CJ7" s="49" t="s">
        <v>55</v>
      </c>
      <c r="CK7" s="378"/>
      <c r="CL7" s="35"/>
    </row>
    <row r="8" spans="1:90" ht="18.75" customHeight="1" x14ac:dyDescent="0.35">
      <c r="A8" s="50">
        <v>1</v>
      </c>
      <c r="B8" s="51">
        <v>4</v>
      </c>
      <c r="C8" s="52" t="s">
        <v>4</v>
      </c>
      <c r="D8" s="52"/>
      <c r="E8" s="52"/>
      <c r="F8" s="53"/>
      <c r="G8" s="54">
        <v>40</v>
      </c>
      <c r="H8" s="55">
        <f t="shared" ref="H8:H42" si="0">SUM(F8*G8)</f>
        <v>0</v>
      </c>
      <c r="I8" s="53">
        <v>7776</v>
      </c>
      <c r="J8" s="56">
        <v>50</v>
      </c>
      <c r="K8" s="55">
        <f t="shared" ref="K8:K42" si="1">J8*I8</f>
        <v>388800</v>
      </c>
      <c r="L8" s="53"/>
      <c r="M8" s="57">
        <v>60</v>
      </c>
      <c r="N8" s="55">
        <f t="shared" ref="N8:N42" si="2">M8*L8</f>
        <v>0</v>
      </c>
      <c r="O8" s="53">
        <v>2834</v>
      </c>
      <c r="P8" s="57">
        <v>12</v>
      </c>
      <c r="Q8" s="55">
        <f t="shared" ref="Q8:Q42" si="3">O8*P8</f>
        <v>34008</v>
      </c>
      <c r="R8" s="53">
        <v>1170</v>
      </c>
      <c r="S8" s="59">
        <v>12</v>
      </c>
      <c r="T8" s="55">
        <f t="shared" ref="T8:T25" si="4">R8*S8</f>
        <v>14040</v>
      </c>
      <c r="U8" s="53">
        <v>925</v>
      </c>
      <c r="V8" s="57">
        <v>8</v>
      </c>
      <c r="W8" s="55">
        <f t="shared" ref="W8:W42" si="5">U8*V8</f>
        <v>7400</v>
      </c>
      <c r="X8" s="53">
        <v>463</v>
      </c>
      <c r="Y8" s="57">
        <v>12</v>
      </c>
      <c r="Z8" s="55">
        <f t="shared" ref="Z8:Z42" si="6">X8*Y8</f>
        <v>5556</v>
      </c>
      <c r="AA8" s="53">
        <v>959</v>
      </c>
      <c r="AB8" s="57">
        <v>10</v>
      </c>
      <c r="AC8" s="55">
        <f t="shared" ref="AC8:AC42" si="7">AA8*AB8</f>
        <v>9590</v>
      </c>
      <c r="AD8" s="53">
        <v>178</v>
      </c>
      <c r="AE8" s="57">
        <v>25</v>
      </c>
      <c r="AF8" s="55">
        <f t="shared" ref="AF8:AF42" si="8">AD8*AE8</f>
        <v>4450</v>
      </c>
      <c r="AG8" s="53">
        <v>249</v>
      </c>
      <c r="AH8" s="57">
        <v>7.5</v>
      </c>
      <c r="AI8" s="55">
        <f t="shared" ref="AI8:AI42" si="9">AG8*AH8</f>
        <v>1867.5</v>
      </c>
      <c r="AJ8" s="53"/>
      <c r="AK8" s="56">
        <v>15</v>
      </c>
      <c r="AL8" s="55">
        <f t="shared" ref="AL8:AL42" si="10">AJ8*AK8</f>
        <v>0</v>
      </c>
      <c r="AM8" s="53">
        <v>187</v>
      </c>
      <c r="AN8" s="57">
        <v>10</v>
      </c>
      <c r="AO8" s="55">
        <f t="shared" ref="AO8:AO37" si="11">AM8*AN8</f>
        <v>1870</v>
      </c>
      <c r="AP8" s="53">
        <f t="shared" ref="AP8:AP42" si="12">R8+U8+X8+AA8+AD8+AG8+AM8</f>
        <v>4131</v>
      </c>
      <c r="AQ8" s="53"/>
      <c r="AR8" s="61"/>
      <c r="AS8" s="53"/>
      <c r="AT8" s="53"/>
      <c r="AU8" s="55"/>
      <c r="AV8" s="53"/>
      <c r="AW8" s="53"/>
      <c r="AX8" s="66">
        <v>1349</v>
      </c>
      <c r="AY8" s="53"/>
      <c r="AZ8" s="68">
        <f t="shared" ref="AZ8:AZ42" si="13">O8/(I8+F8+L8)</f>
        <v>0.36445473251028809</v>
      </c>
      <c r="BA8" s="68">
        <f t="shared" ref="BA8:BA42" si="14">AP8/(I8+F8+L8)</f>
        <v>0.53125</v>
      </c>
      <c r="BB8" s="68">
        <f t="shared" ref="BB8:BB42" si="15">AX8/O8</f>
        <v>0.47600564573041637</v>
      </c>
      <c r="BC8" s="55">
        <f t="shared" ref="BC8:BC42" si="16">H8+W8+Z8+AC8+AF8+T8+K8+N8</f>
        <v>429836</v>
      </c>
      <c r="BD8" s="55">
        <f t="shared" ref="BD8:BD42" si="17">H8+AF8+T8+K8+N8</f>
        <v>407290</v>
      </c>
      <c r="BE8" s="55">
        <f t="shared" ref="BE8:BE42" si="18">H8+W8+Z8+AC8+AF8+T8+K8+N8</f>
        <v>429836</v>
      </c>
      <c r="BF8" s="55">
        <f t="shared" ref="BF8:BF42" si="19">H8+W8+Z8+AC8+AF8+AI8+T8+K8+N8</f>
        <v>431703.5</v>
      </c>
      <c r="BG8" s="62">
        <v>494977.5</v>
      </c>
      <c r="BH8" s="63">
        <v>331160.57</v>
      </c>
      <c r="BI8" s="69">
        <f t="shared" ref="BI8:BI42" si="20">+BH8/BG8%</f>
        <v>66.904166350995752</v>
      </c>
      <c r="BJ8" s="70">
        <f t="shared" ref="BJ8:BJ42" si="21">SUM(BY8+BZ8+CA8+CB8)</f>
        <v>32317</v>
      </c>
      <c r="BK8" s="71">
        <f t="shared" ref="BK8:BK42" si="22">SUM(CF8+CG8+CH8+CI8)</f>
        <v>6.5289836406705354E-2</v>
      </c>
      <c r="BL8" s="72">
        <v>3</v>
      </c>
      <c r="BM8" s="61">
        <f t="shared" ref="BM8:BM42" si="23">CC8</f>
        <v>41150</v>
      </c>
      <c r="BN8" s="69">
        <f t="shared" ref="BN8:BN42" si="24">+BU8/BM8</f>
        <v>3.296653462940462</v>
      </c>
      <c r="BO8" s="73">
        <f t="shared" ref="BO8:BO42" si="25">CD8</f>
        <v>1687.5</v>
      </c>
      <c r="BP8" s="69">
        <f t="shared" ref="BP8:BP42" si="26">+BU8/BO8</f>
        <v>80.389505185185186</v>
      </c>
      <c r="BQ8" s="61">
        <f t="shared" ref="BQ8:BQ42" si="27">CE8</f>
        <v>20000</v>
      </c>
      <c r="BR8" s="69">
        <f t="shared" ref="BR8:BR42" si="28">+BU8/BQ8</f>
        <v>6.7828645000000005</v>
      </c>
      <c r="BS8" s="64">
        <f t="shared" ref="BS8:BS42" si="29">BU8-BM8-BO8-BQ8-BY8-BZ8-CA8-CB8</f>
        <v>40502.790000000008</v>
      </c>
      <c r="BT8" s="69">
        <f t="shared" ref="BT8:BT42" si="30">+BU8/BS8</f>
        <v>3.3493319842904645</v>
      </c>
      <c r="BU8" s="65">
        <v>135657.29</v>
      </c>
      <c r="BV8" s="74">
        <f t="shared" ref="BV8:BV42" si="31">+BU8/BG8%</f>
        <v>27.406758893081001</v>
      </c>
      <c r="BW8" s="75">
        <f t="shared" ref="BW8:BW42" si="32">SUM(BG8-BH8-BU8)</f>
        <v>28159.639999999985</v>
      </c>
      <c r="BX8" s="69">
        <f t="shared" ref="BX8:BX42" si="33">+BW8/BG8%</f>
        <v>5.6890747559232464</v>
      </c>
      <c r="BY8" s="55">
        <v>11346</v>
      </c>
      <c r="BZ8" s="55">
        <v>7955</v>
      </c>
      <c r="CA8" s="55">
        <v>9776</v>
      </c>
      <c r="CB8" s="55">
        <v>3240</v>
      </c>
      <c r="CC8" s="64">
        <v>41150</v>
      </c>
      <c r="CD8" s="64">
        <v>1687.5</v>
      </c>
      <c r="CE8" s="64">
        <v>20000</v>
      </c>
      <c r="CF8" s="76">
        <f t="shared" ref="CF8:CF42" si="34">BY8/BG8</f>
        <v>2.2922254041850387E-2</v>
      </c>
      <c r="CG8" s="76">
        <f t="shared" ref="CG8:CG42" si="35">BZ8/BG8</f>
        <v>1.6071437590597551E-2</v>
      </c>
      <c r="CH8" s="76">
        <f t="shared" ref="CH8:CH42" si="36">CA8/BG8</f>
        <v>1.9750392694617432E-2</v>
      </c>
      <c r="CI8" s="76">
        <f t="shared" ref="CI8:CI42" si="37">CB8/BG8</f>
        <v>6.545752079639984E-3</v>
      </c>
      <c r="CJ8" s="76">
        <f t="shared" ref="CJ8:CJ42" si="38">CC8/BG8</f>
        <v>8.3135091999131272E-2</v>
      </c>
      <c r="CK8" s="63">
        <f t="shared" ref="CK8:CK42" si="39">+BW8*20%</f>
        <v>5631.9279999999972</v>
      </c>
    </row>
    <row r="9" spans="1:90" ht="18.75" customHeight="1" x14ac:dyDescent="0.35">
      <c r="A9" s="50">
        <f t="shared" ref="A9:A42" si="40">A8+1</f>
        <v>2</v>
      </c>
      <c r="B9" s="51">
        <v>5</v>
      </c>
      <c r="C9" s="52" t="s">
        <v>9</v>
      </c>
      <c r="D9" s="52"/>
      <c r="E9" s="52"/>
      <c r="F9" s="53"/>
      <c r="G9" s="54">
        <v>40</v>
      </c>
      <c r="H9" s="55">
        <f t="shared" si="0"/>
        <v>0</v>
      </c>
      <c r="I9" s="53">
        <v>10659</v>
      </c>
      <c r="J9" s="56">
        <v>50</v>
      </c>
      <c r="K9" s="55">
        <f t="shared" si="1"/>
        <v>532950</v>
      </c>
      <c r="L9" s="53"/>
      <c r="M9" s="57">
        <v>60</v>
      </c>
      <c r="N9" s="55">
        <f t="shared" si="2"/>
        <v>0</v>
      </c>
      <c r="O9" s="53">
        <v>4524</v>
      </c>
      <c r="P9" s="57">
        <v>12</v>
      </c>
      <c r="Q9" s="55">
        <f t="shared" si="3"/>
        <v>54288</v>
      </c>
      <c r="R9" s="53">
        <v>1140</v>
      </c>
      <c r="S9" s="59">
        <v>12</v>
      </c>
      <c r="T9" s="55">
        <f t="shared" si="4"/>
        <v>13680</v>
      </c>
      <c r="U9" s="53">
        <v>636</v>
      </c>
      <c r="V9" s="57">
        <v>8</v>
      </c>
      <c r="W9" s="55">
        <f t="shared" si="5"/>
        <v>5088</v>
      </c>
      <c r="X9" s="53">
        <v>404</v>
      </c>
      <c r="Y9" s="57">
        <v>12</v>
      </c>
      <c r="Z9" s="55">
        <f t="shared" si="6"/>
        <v>4848</v>
      </c>
      <c r="AA9" s="53">
        <v>897</v>
      </c>
      <c r="AB9" s="57">
        <v>10</v>
      </c>
      <c r="AC9" s="55">
        <f t="shared" si="7"/>
        <v>8970</v>
      </c>
      <c r="AD9" s="53">
        <v>319</v>
      </c>
      <c r="AE9" s="57">
        <v>25</v>
      </c>
      <c r="AF9" s="55">
        <f t="shared" si="8"/>
        <v>7975</v>
      </c>
      <c r="AG9" s="53">
        <v>126</v>
      </c>
      <c r="AH9" s="57">
        <v>7.5</v>
      </c>
      <c r="AI9" s="55">
        <f t="shared" si="9"/>
        <v>945</v>
      </c>
      <c r="AJ9" s="53"/>
      <c r="AK9" s="56">
        <v>15</v>
      </c>
      <c r="AL9" s="55">
        <f t="shared" si="10"/>
        <v>0</v>
      </c>
      <c r="AM9" s="53">
        <v>186</v>
      </c>
      <c r="AN9" s="57">
        <v>10</v>
      </c>
      <c r="AO9" s="55">
        <f t="shared" si="11"/>
        <v>1860</v>
      </c>
      <c r="AP9" s="53">
        <f t="shared" si="12"/>
        <v>3708</v>
      </c>
      <c r="AQ9" s="53"/>
      <c r="AR9" s="61"/>
      <c r="AS9" s="53"/>
      <c r="AT9" s="53"/>
      <c r="AU9" s="55"/>
      <c r="AV9" s="53"/>
      <c r="AW9" s="53"/>
      <c r="AX9" s="66">
        <v>2187</v>
      </c>
      <c r="AY9" s="53"/>
      <c r="AZ9" s="68">
        <f t="shared" si="13"/>
        <v>0.42443005910498172</v>
      </c>
      <c r="BA9" s="68">
        <f t="shared" si="14"/>
        <v>0.34787503518153673</v>
      </c>
      <c r="BB9" s="68">
        <f t="shared" si="15"/>
        <v>0.48342175066312998</v>
      </c>
      <c r="BC9" s="55">
        <f t="shared" si="16"/>
        <v>573511</v>
      </c>
      <c r="BD9" s="55">
        <f t="shared" si="17"/>
        <v>554605</v>
      </c>
      <c r="BE9" s="55">
        <f t="shared" si="18"/>
        <v>573511</v>
      </c>
      <c r="BF9" s="55">
        <f t="shared" si="19"/>
        <v>574456</v>
      </c>
      <c r="BG9" s="62">
        <v>668379</v>
      </c>
      <c r="BH9" s="63">
        <v>448218.2</v>
      </c>
      <c r="BI9" s="69">
        <f t="shared" si="20"/>
        <v>67.060485143907869</v>
      </c>
      <c r="BJ9" s="70">
        <f t="shared" si="21"/>
        <v>46941</v>
      </c>
      <c r="BK9" s="71">
        <f t="shared" si="22"/>
        <v>7.0231111390393758E-2</v>
      </c>
      <c r="BL9" s="72">
        <f>B9</f>
        <v>5</v>
      </c>
      <c r="BM9" s="61">
        <f t="shared" si="23"/>
        <v>57450</v>
      </c>
      <c r="BN9" s="69">
        <f t="shared" si="24"/>
        <v>3.5458341166231508</v>
      </c>
      <c r="BO9" s="73">
        <f t="shared" si="25"/>
        <v>0</v>
      </c>
      <c r="BP9" s="69" t="e">
        <f t="shared" si="26"/>
        <v>#DIV/0!</v>
      </c>
      <c r="BQ9" s="61">
        <f t="shared" si="27"/>
        <v>31500</v>
      </c>
      <c r="BR9" s="69">
        <f t="shared" si="28"/>
        <v>6.4669260317460324</v>
      </c>
      <c r="BS9" s="64">
        <f t="shared" si="29"/>
        <v>67817.170000000013</v>
      </c>
      <c r="BT9" s="69">
        <f t="shared" si="30"/>
        <v>3.003784587295518</v>
      </c>
      <c r="BU9" s="65">
        <v>203708.17</v>
      </c>
      <c r="BV9" s="74">
        <f t="shared" si="31"/>
        <v>30.477942903651972</v>
      </c>
      <c r="BW9" s="75">
        <f t="shared" si="32"/>
        <v>16452.629999999976</v>
      </c>
      <c r="BX9" s="69">
        <f t="shared" si="33"/>
        <v>2.461571952440154</v>
      </c>
      <c r="BY9" s="55">
        <v>18925</v>
      </c>
      <c r="BZ9" s="55">
        <v>12728</v>
      </c>
      <c r="CA9" s="55">
        <v>10968</v>
      </c>
      <c r="CB9" s="55">
        <v>4320</v>
      </c>
      <c r="CC9" s="64">
        <v>57450</v>
      </c>
      <c r="CD9" s="64"/>
      <c r="CE9" s="64">
        <v>31500</v>
      </c>
      <c r="CF9" s="76">
        <f t="shared" si="34"/>
        <v>2.8314773504254324E-2</v>
      </c>
      <c r="CG9" s="76">
        <f t="shared" si="35"/>
        <v>1.904308782891144E-2</v>
      </c>
      <c r="CH9" s="76">
        <f t="shared" si="36"/>
        <v>1.6409851296943799E-2</v>
      </c>
      <c r="CI9" s="76">
        <f t="shared" si="37"/>
        <v>6.4633987602842101E-3</v>
      </c>
      <c r="CJ9" s="76">
        <f t="shared" si="38"/>
        <v>8.5954226569057379E-2</v>
      </c>
      <c r="CK9" s="63">
        <f t="shared" si="39"/>
        <v>3290.5259999999953</v>
      </c>
    </row>
    <row r="10" spans="1:90" ht="18.75" customHeight="1" x14ac:dyDescent="0.35">
      <c r="A10" s="50">
        <f t="shared" si="40"/>
        <v>3</v>
      </c>
      <c r="B10" s="58">
        <v>4</v>
      </c>
      <c r="C10" s="52" t="s">
        <v>11</v>
      </c>
      <c r="D10" s="52"/>
      <c r="E10" s="52"/>
      <c r="F10" s="53"/>
      <c r="G10" s="54">
        <v>40</v>
      </c>
      <c r="H10" s="55">
        <f t="shared" si="0"/>
        <v>0</v>
      </c>
      <c r="I10" s="53">
        <v>7694</v>
      </c>
      <c r="J10" s="56">
        <v>50</v>
      </c>
      <c r="K10" s="55">
        <f t="shared" si="1"/>
        <v>384700</v>
      </c>
      <c r="L10" s="53"/>
      <c r="M10" s="57">
        <v>60</v>
      </c>
      <c r="N10" s="55">
        <f t="shared" si="2"/>
        <v>0</v>
      </c>
      <c r="O10" s="53">
        <v>4452</v>
      </c>
      <c r="P10" s="57">
        <v>12</v>
      </c>
      <c r="Q10" s="55">
        <f t="shared" si="3"/>
        <v>53424</v>
      </c>
      <c r="R10" s="53">
        <v>3280</v>
      </c>
      <c r="S10" s="59">
        <v>12</v>
      </c>
      <c r="T10" s="55">
        <f t="shared" si="4"/>
        <v>39360</v>
      </c>
      <c r="U10" s="53">
        <v>1173</v>
      </c>
      <c r="V10" s="57">
        <v>8</v>
      </c>
      <c r="W10" s="55">
        <f t="shared" si="5"/>
        <v>9384</v>
      </c>
      <c r="X10" s="53">
        <v>276</v>
      </c>
      <c r="Y10" s="57">
        <v>12</v>
      </c>
      <c r="Z10" s="55">
        <f t="shared" si="6"/>
        <v>3312</v>
      </c>
      <c r="AA10" s="53">
        <v>968</v>
      </c>
      <c r="AB10" s="57">
        <v>10</v>
      </c>
      <c r="AC10" s="55">
        <f t="shared" si="7"/>
        <v>9680</v>
      </c>
      <c r="AD10" s="53">
        <v>384</v>
      </c>
      <c r="AE10" s="57">
        <v>25</v>
      </c>
      <c r="AF10" s="55">
        <f t="shared" si="8"/>
        <v>9600</v>
      </c>
      <c r="AG10" s="53">
        <v>691</v>
      </c>
      <c r="AH10" s="57">
        <v>7.5</v>
      </c>
      <c r="AI10" s="55">
        <f t="shared" si="9"/>
        <v>5182.5</v>
      </c>
      <c r="AJ10" s="53"/>
      <c r="AK10" s="56">
        <v>15</v>
      </c>
      <c r="AL10" s="55">
        <f t="shared" si="10"/>
        <v>0</v>
      </c>
      <c r="AM10" s="53">
        <v>248</v>
      </c>
      <c r="AN10" s="57">
        <v>10</v>
      </c>
      <c r="AO10" s="55">
        <f t="shared" si="11"/>
        <v>2480</v>
      </c>
      <c r="AP10" s="53">
        <f t="shared" si="12"/>
        <v>7020</v>
      </c>
      <c r="AQ10" s="53"/>
      <c r="AR10" s="61"/>
      <c r="AS10" s="53"/>
      <c r="AT10" s="53"/>
      <c r="AU10" s="55"/>
      <c r="AV10" s="53"/>
      <c r="AW10" s="53"/>
      <c r="AX10" s="66">
        <v>1532</v>
      </c>
      <c r="AY10" s="53"/>
      <c r="AZ10" s="68">
        <f t="shared" si="13"/>
        <v>0.57863270080582274</v>
      </c>
      <c r="BA10" s="68">
        <f t="shared" si="14"/>
        <v>0.91239927216012473</v>
      </c>
      <c r="BB10" s="68">
        <f t="shared" si="15"/>
        <v>0.34411500449236299</v>
      </c>
      <c r="BC10" s="55">
        <f t="shared" si="16"/>
        <v>456036</v>
      </c>
      <c r="BD10" s="55">
        <f t="shared" si="17"/>
        <v>433660</v>
      </c>
      <c r="BE10" s="55">
        <f t="shared" si="18"/>
        <v>456036</v>
      </c>
      <c r="BF10" s="55">
        <f t="shared" si="19"/>
        <v>461218.5</v>
      </c>
      <c r="BG10" s="62">
        <v>545964.5</v>
      </c>
      <c r="BH10" s="63">
        <v>368801.04</v>
      </c>
      <c r="BI10" s="69">
        <f t="shared" si="20"/>
        <v>67.550370033216439</v>
      </c>
      <c r="BJ10" s="70">
        <f t="shared" si="21"/>
        <v>35437</v>
      </c>
      <c r="BK10" s="71">
        <f t="shared" si="22"/>
        <v>6.4907150556492224E-2</v>
      </c>
      <c r="BL10" s="72">
        <v>5</v>
      </c>
      <c r="BM10" s="61">
        <f t="shared" si="23"/>
        <v>56575</v>
      </c>
      <c r="BN10" s="69">
        <f t="shared" si="24"/>
        <v>2.9630532920901458</v>
      </c>
      <c r="BO10" s="73">
        <f t="shared" si="25"/>
        <v>0</v>
      </c>
      <c r="BP10" s="69" t="e">
        <f t="shared" si="26"/>
        <v>#DIV/0!</v>
      </c>
      <c r="BQ10" s="61">
        <f t="shared" si="27"/>
        <v>16000</v>
      </c>
      <c r="BR10" s="69">
        <f t="shared" si="28"/>
        <v>10.47717125</v>
      </c>
      <c r="BS10" s="64">
        <f t="shared" si="29"/>
        <v>59622.739999999991</v>
      </c>
      <c r="BT10" s="69">
        <f t="shared" si="30"/>
        <v>2.8115906783217279</v>
      </c>
      <c r="BU10" s="65">
        <v>167634.74</v>
      </c>
      <c r="BV10" s="74">
        <f t="shared" si="31"/>
        <v>30.704329677112703</v>
      </c>
      <c r="BW10" s="75">
        <f t="shared" si="32"/>
        <v>9528.7200000000303</v>
      </c>
      <c r="BX10" s="69">
        <f t="shared" si="33"/>
        <v>1.745300289670854</v>
      </c>
      <c r="BY10" s="55">
        <v>15126</v>
      </c>
      <c r="BZ10" s="55">
        <v>7955</v>
      </c>
      <c r="CA10" s="55">
        <v>9656</v>
      </c>
      <c r="CB10" s="55">
        <v>2700</v>
      </c>
      <c r="CC10" s="64">
        <v>56575</v>
      </c>
      <c r="CD10" s="64"/>
      <c r="CE10" s="64">
        <v>16000</v>
      </c>
      <c r="CF10" s="76">
        <f t="shared" si="34"/>
        <v>2.7705098042088816E-2</v>
      </c>
      <c r="CG10" s="76">
        <f t="shared" si="35"/>
        <v>1.4570544421844278E-2</v>
      </c>
      <c r="CH10" s="76">
        <f t="shared" si="36"/>
        <v>1.7686131607457994E-2</v>
      </c>
      <c r="CI10" s="76">
        <f t="shared" si="37"/>
        <v>4.9453764851011377E-3</v>
      </c>
      <c r="CJ10" s="76">
        <f t="shared" si="38"/>
        <v>0.10362395357207291</v>
      </c>
      <c r="CK10" s="63">
        <f t="shared" si="39"/>
        <v>1905.7440000000061</v>
      </c>
    </row>
    <row r="11" spans="1:90" ht="18.75" customHeight="1" x14ac:dyDescent="0.35">
      <c r="A11" s="50">
        <f t="shared" si="40"/>
        <v>4</v>
      </c>
      <c r="B11" s="58">
        <v>2</v>
      </c>
      <c r="C11" s="52" t="s">
        <v>105</v>
      </c>
      <c r="D11" s="52"/>
      <c r="E11" s="52"/>
      <c r="F11" s="53"/>
      <c r="G11" s="54">
        <v>40</v>
      </c>
      <c r="H11" s="55">
        <f t="shared" si="0"/>
        <v>0</v>
      </c>
      <c r="I11" s="53">
        <v>3905</v>
      </c>
      <c r="J11" s="56">
        <v>50</v>
      </c>
      <c r="K11" s="55">
        <f t="shared" si="1"/>
        <v>195250</v>
      </c>
      <c r="L11" s="53"/>
      <c r="M11" s="57">
        <v>60</v>
      </c>
      <c r="N11" s="55">
        <f t="shared" si="2"/>
        <v>0</v>
      </c>
      <c r="O11" s="53">
        <v>2173</v>
      </c>
      <c r="P11" s="57">
        <v>12</v>
      </c>
      <c r="Q11" s="55">
        <f t="shared" si="3"/>
        <v>26076</v>
      </c>
      <c r="R11" s="53">
        <v>2745</v>
      </c>
      <c r="S11" s="59">
        <v>12</v>
      </c>
      <c r="T11" s="55">
        <f t="shared" si="4"/>
        <v>32940</v>
      </c>
      <c r="U11" s="53">
        <v>370</v>
      </c>
      <c r="V11" s="57">
        <v>8</v>
      </c>
      <c r="W11" s="55">
        <f t="shared" si="5"/>
        <v>2960</v>
      </c>
      <c r="X11" s="53">
        <v>155</v>
      </c>
      <c r="Y11" s="57">
        <v>12</v>
      </c>
      <c r="Z11" s="55">
        <f t="shared" si="6"/>
        <v>1860</v>
      </c>
      <c r="AA11" s="53">
        <v>431</v>
      </c>
      <c r="AB11" s="57">
        <v>10</v>
      </c>
      <c r="AC11" s="55">
        <f t="shared" si="7"/>
        <v>4310</v>
      </c>
      <c r="AD11" s="53">
        <v>183</v>
      </c>
      <c r="AE11" s="57">
        <v>25</v>
      </c>
      <c r="AF11" s="55">
        <f t="shared" si="8"/>
        <v>4575</v>
      </c>
      <c r="AG11" s="53">
        <v>290</v>
      </c>
      <c r="AH11" s="57">
        <v>7.5</v>
      </c>
      <c r="AI11" s="55">
        <f t="shared" si="9"/>
        <v>2175</v>
      </c>
      <c r="AJ11" s="53"/>
      <c r="AK11" s="56">
        <v>15</v>
      </c>
      <c r="AL11" s="55">
        <f t="shared" si="10"/>
        <v>0</v>
      </c>
      <c r="AM11" s="53">
        <v>142</v>
      </c>
      <c r="AN11" s="57">
        <v>10</v>
      </c>
      <c r="AO11" s="55">
        <f t="shared" si="11"/>
        <v>1420</v>
      </c>
      <c r="AP11" s="53">
        <f t="shared" si="12"/>
        <v>4316</v>
      </c>
      <c r="AQ11" s="53"/>
      <c r="AR11" s="61"/>
      <c r="AS11" s="53"/>
      <c r="AT11" s="53"/>
      <c r="AU11" s="55"/>
      <c r="AV11" s="53"/>
      <c r="AW11" s="53"/>
      <c r="AX11" s="66">
        <v>902</v>
      </c>
      <c r="AY11" s="53"/>
      <c r="AZ11" s="68">
        <f t="shared" si="13"/>
        <v>0.55646606914212549</v>
      </c>
      <c r="BA11" s="68">
        <f t="shared" si="14"/>
        <v>1.1052496798975673</v>
      </c>
      <c r="BB11" s="68">
        <f t="shared" si="15"/>
        <v>0.41509433962264153</v>
      </c>
      <c r="BC11" s="55">
        <f t="shared" si="16"/>
        <v>241895</v>
      </c>
      <c r="BD11" s="55">
        <f t="shared" si="17"/>
        <v>232765</v>
      </c>
      <c r="BE11" s="55">
        <f t="shared" si="18"/>
        <v>241895</v>
      </c>
      <c r="BF11" s="55">
        <f t="shared" si="19"/>
        <v>244070</v>
      </c>
      <c r="BG11" s="62">
        <v>288500</v>
      </c>
      <c r="BH11" s="63">
        <v>193568.3</v>
      </c>
      <c r="BI11" s="69">
        <f t="shared" si="20"/>
        <v>67.094731369150779</v>
      </c>
      <c r="BJ11" s="70">
        <f t="shared" si="21"/>
        <v>22167</v>
      </c>
      <c r="BK11" s="71">
        <f t="shared" si="22"/>
        <v>7.6835355285961873E-2</v>
      </c>
      <c r="BL11" s="72">
        <f t="shared" ref="BL11:BL18" si="41">B11</f>
        <v>2</v>
      </c>
      <c r="BM11" s="61">
        <f t="shared" si="23"/>
        <v>31843.75</v>
      </c>
      <c r="BN11" s="69">
        <f t="shared" si="24"/>
        <v>3.1373004121687931</v>
      </c>
      <c r="BO11" s="73">
        <f t="shared" si="25"/>
        <v>125</v>
      </c>
      <c r="BP11" s="69">
        <f t="shared" si="26"/>
        <v>799.22728000000006</v>
      </c>
      <c r="BQ11" s="61">
        <f t="shared" si="27"/>
        <v>8269</v>
      </c>
      <c r="BR11" s="69">
        <f t="shared" si="28"/>
        <v>12.081679767807474</v>
      </c>
      <c r="BS11" s="64">
        <f t="shared" si="29"/>
        <v>37498.660000000003</v>
      </c>
      <c r="BT11" s="69">
        <f t="shared" si="30"/>
        <v>2.6641861335845065</v>
      </c>
      <c r="BU11" s="65">
        <v>99903.41</v>
      </c>
      <c r="BV11" s="74">
        <f t="shared" si="31"/>
        <v>34.628564991334493</v>
      </c>
      <c r="BW11" s="75">
        <f t="shared" si="32"/>
        <v>-4971.7099999999919</v>
      </c>
      <c r="BX11" s="69">
        <f t="shared" si="33"/>
        <v>-1.7232963604852658</v>
      </c>
      <c r="BY11" s="55">
        <v>7563</v>
      </c>
      <c r="BZ11" s="55">
        <v>6364</v>
      </c>
      <c r="CA11" s="55">
        <v>6080</v>
      </c>
      <c r="CB11" s="55">
        <v>2160</v>
      </c>
      <c r="CC11" s="64">
        <v>31843.75</v>
      </c>
      <c r="CD11" s="64">
        <v>125</v>
      </c>
      <c r="CE11" s="64">
        <v>8269</v>
      </c>
      <c r="CF11" s="76">
        <f t="shared" si="34"/>
        <v>2.6214904679376084E-2</v>
      </c>
      <c r="CG11" s="76">
        <f t="shared" si="35"/>
        <v>2.2058925476603118E-2</v>
      </c>
      <c r="CH11" s="76">
        <f t="shared" si="36"/>
        <v>2.1074523396880415E-2</v>
      </c>
      <c r="CI11" s="76">
        <f t="shared" si="37"/>
        <v>7.4870017331022535E-3</v>
      </c>
      <c r="CJ11" s="76">
        <f t="shared" si="38"/>
        <v>0.11037694974003466</v>
      </c>
      <c r="CK11" s="63">
        <f t="shared" si="39"/>
        <v>-994.34199999999839</v>
      </c>
    </row>
    <row r="12" spans="1:90" ht="18.75" customHeight="1" x14ac:dyDescent="0.35">
      <c r="A12" s="50">
        <f t="shared" si="40"/>
        <v>5</v>
      </c>
      <c r="B12" s="58">
        <v>4</v>
      </c>
      <c r="C12" s="52" t="s">
        <v>108</v>
      </c>
      <c r="D12" s="52"/>
      <c r="E12" s="52"/>
      <c r="F12" s="53"/>
      <c r="G12" s="54">
        <v>40</v>
      </c>
      <c r="H12" s="55">
        <f t="shared" si="0"/>
        <v>0</v>
      </c>
      <c r="I12" s="53">
        <v>6726</v>
      </c>
      <c r="J12" s="56">
        <v>50</v>
      </c>
      <c r="K12" s="55">
        <f t="shared" si="1"/>
        <v>336300</v>
      </c>
      <c r="L12" s="53"/>
      <c r="M12" s="57">
        <v>60</v>
      </c>
      <c r="N12" s="55">
        <f t="shared" si="2"/>
        <v>0</v>
      </c>
      <c r="O12" s="53">
        <v>6110</v>
      </c>
      <c r="P12" s="57">
        <v>12</v>
      </c>
      <c r="Q12" s="55">
        <f t="shared" si="3"/>
        <v>73320</v>
      </c>
      <c r="R12" s="53">
        <v>1880</v>
      </c>
      <c r="S12" s="59">
        <v>12</v>
      </c>
      <c r="T12" s="55">
        <f t="shared" si="4"/>
        <v>22560</v>
      </c>
      <c r="U12" s="53">
        <v>1249</v>
      </c>
      <c r="V12" s="57">
        <v>8</v>
      </c>
      <c r="W12" s="55">
        <f t="shared" si="5"/>
        <v>9992</v>
      </c>
      <c r="X12" s="53">
        <v>374</v>
      </c>
      <c r="Y12" s="57">
        <v>12</v>
      </c>
      <c r="Z12" s="55">
        <f t="shared" si="6"/>
        <v>4488</v>
      </c>
      <c r="AA12" s="53">
        <v>1030</v>
      </c>
      <c r="AB12" s="57">
        <v>10</v>
      </c>
      <c r="AC12" s="55">
        <f t="shared" si="7"/>
        <v>10300</v>
      </c>
      <c r="AD12" s="53">
        <v>278</v>
      </c>
      <c r="AE12" s="57">
        <v>25</v>
      </c>
      <c r="AF12" s="55">
        <f t="shared" si="8"/>
        <v>6950</v>
      </c>
      <c r="AG12" s="53">
        <v>448</v>
      </c>
      <c r="AH12" s="57">
        <v>7.5</v>
      </c>
      <c r="AI12" s="55">
        <f t="shared" si="9"/>
        <v>3360</v>
      </c>
      <c r="AJ12" s="53"/>
      <c r="AK12" s="56">
        <v>15</v>
      </c>
      <c r="AL12" s="55">
        <f t="shared" si="10"/>
        <v>0</v>
      </c>
      <c r="AM12" s="53">
        <v>195</v>
      </c>
      <c r="AN12" s="57">
        <v>10</v>
      </c>
      <c r="AO12" s="55">
        <f t="shared" si="11"/>
        <v>1950</v>
      </c>
      <c r="AP12" s="53">
        <f t="shared" si="12"/>
        <v>5454</v>
      </c>
      <c r="AQ12" s="53"/>
      <c r="AR12" s="61"/>
      <c r="AS12" s="53"/>
      <c r="AT12" s="53"/>
      <c r="AU12" s="55"/>
      <c r="AV12" s="53"/>
      <c r="AW12" s="53"/>
      <c r="AX12" s="66">
        <v>1939</v>
      </c>
      <c r="AY12" s="53"/>
      <c r="AZ12" s="68">
        <f t="shared" si="13"/>
        <v>0.90841510556051142</v>
      </c>
      <c r="BA12" s="68">
        <f t="shared" si="14"/>
        <v>0.81088314005352369</v>
      </c>
      <c r="BB12" s="68">
        <f t="shared" si="15"/>
        <v>0.31734860883797056</v>
      </c>
      <c r="BC12" s="55">
        <f t="shared" si="16"/>
        <v>390590</v>
      </c>
      <c r="BD12" s="55">
        <f t="shared" si="17"/>
        <v>365810</v>
      </c>
      <c r="BE12" s="55">
        <f t="shared" si="18"/>
        <v>390590</v>
      </c>
      <c r="BF12" s="55">
        <f t="shared" si="19"/>
        <v>393950</v>
      </c>
      <c r="BG12" s="62">
        <v>505422</v>
      </c>
      <c r="BH12" s="63">
        <v>338901.17</v>
      </c>
      <c r="BI12" s="69">
        <f t="shared" si="20"/>
        <v>67.053110074353697</v>
      </c>
      <c r="BJ12" s="70">
        <f t="shared" si="21"/>
        <v>37700</v>
      </c>
      <c r="BK12" s="71">
        <f t="shared" si="22"/>
        <v>7.4591133745662036E-2</v>
      </c>
      <c r="BL12" s="72">
        <f t="shared" si="41"/>
        <v>4</v>
      </c>
      <c r="BM12" s="61">
        <f t="shared" si="23"/>
        <v>46700</v>
      </c>
      <c r="BN12" s="69">
        <f t="shared" si="24"/>
        <v>3.4678809421841543</v>
      </c>
      <c r="BO12" s="73">
        <f t="shared" si="25"/>
        <v>125</v>
      </c>
      <c r="BP12" s="69">
        <f t="shared" si="26"/>
        <v>1295.60032</v>
      </c>
      <c r="BQ12" s="61">
        <f t="shared" si="27"/>
        <v>28000</v>
      </c>
      <c r="BR12" s="69">
        <f t="shared" si="28"/>
        <v>5.7839300000000007</v>
      </c>
      <c r="BS12" s="64">
        <f t="shared" si="29"/>
        <v>49425.040000000008</v>
      </c>
      <c r="BT12" s="69">
        <f t="shared" si="30"/>
        <v>3.2766799986403647</v>
      </c>
      <c r="BU12" s="65">
        <v>161950.04</v>
      </c>
      <c r="BV12" s="74">
        <f t="shared" si="31"/>
        <v>32.042538710226303</v>
      </c>
      <c r="BW12" s="75">
        <f t="shared" si="32"/>
        <v>4570.7900000000081</v>
      </c>
      <c r="BX12" s="69">
        <f t="shared" si="33"/>
        <v>0.9043512154199872</v>
      </c>
      <c r="BY12" s="55">
        <v>15051</v>
      </c>
      <c r="BZ12" s="55">
        <v>9546</v>
      </c>
      <c r="CA12" s="55">
        <v>10376</v>
      </c>
      <c r="CB12" s="55">
        <v>2727</v>
      </c>
      <c r="CC12" s="64">
        <v>46700</v>
      </c>
      <c r="CD12" s="64">
        <v>125</v>
      </c>
      <c r="CE12" s="64">
        <v>28000</v>
      </c>
      <c r="CF12" s="76">
        <f t="shared" si="34"/>
        <v>2.9779075703075846E-2</v>
      </c>
      <c r="CG12" s="76">
        <f t="shared" si="35"/>
        <v>1.8887187340479835E-2</v>
      </c>
      <c r="CH12" s="76">
        <f t="shared" si="36"/>
        <v>2.0529379409681414E-2</v>
      </c>
      <c r="CI12" s="76">
        <f t="shared" si="37"/>
        <v>5.3954912924249442E-3</v>
      </c>
      <c r="CJ12" s="76">
        <f t="shared" si="38"/>
        <v>9.2398035700859873E-2</v>
      </c>
      <c r="CK12" s="63">
        <f t="shared" si="39"/>
        <v>914.15800000000172</v>
      </c>
    </row>
    <row r="13" spans="1:90" ht="18.75" customHeight="1" x14ac:dyDescent="0.35">
      <c r="A13" s="50">
        <f t="shared" si="40"/>
        <v>6</v>
      </c>
      <c r="B13" s="58">
        <v>4</v>
      </c>
      <c r="C13" s="52" t="s">
        <v>111</v>
      </c>
      <c r="D13" s="52"/>
      <c r="E13" s="52"/>
      <c r="F13" s="53"/>
      <c r="G13" s="54">
        <v>40</v>
      </c>
      <c r="H13" s="55">
        <f t="shared" si="0"/>
        <v>0</v>
      </c>
      <c r="I13" s="53">
        <v>8633</v>
      </c>
      <c r="J13" s="56">
        <v>50</v>
      </c>
      <c r="K13" s="55">
        <f t="shared" si="1"/>
        <v>431650</v>
      </c>
      <c r="L13" s="53"/>
      <c r="M13" s="57">
        <v>60</v>
      </c>
      <c r="N13" s="55">
        <f t="shared" si="2"/>
        <v>0</v>
      </c>
      <c r="O13" s="53">
        <v>2976</v>
      </c>
      <c r="P13" s="57">
        <v>12</v>
      </c>
      <c r="Q13" s="55">
        <f t="shared" si="3"/>
        <v>35712</v>
      </c>
      <c r="R13" s="53">
        <v>110</v>
      </c>
      <c r="S13" s="59">
        <v>12</v>
      </c>
      <c r="T13" s="55">
        <f t="shared" si="4"/>
        <v>1320</v>
      </c>
      <c r="U13" s="53">
        <v>601</v>
      </c>
      <c r="V13" s="57">
        <v>8</v>
      </c>
      <c r="W13" s="55">
        <f t="shared" si="5"/>
        <v>4808</v>
      </c>
      <c r="X13" s="53">
        <v>501</v>
      </c>
      <c r="Y13" s="57">
        <v>12</v>
      </c>
      <c r="Z13" s="55">
        <f t="shared" si="6"/>
        <v>6012</v>
      </c>
      <c r="AA13" s="53">
        <v>796</v>
      </c>
      <c r="AB13" s="57">
        <v>10</v>
      </c>
      <c r="AC13" s="55">
        <f t="shared" si="7"/>
        <v>7960</v>
      </c>
      <c r="AD13" s="53">
        <v>260</v>
      </c>
      <c r="AE13" s="57">
        <v>25</v>
      </c>
      <c r="AF13" s="55">
        <f t="shared" si="8"/>
        <v>6500</v>
      </c>
      <c r="AG13" s="53">
        <v>243</v>
      </c>
      <c r="AH13" s="57">
        <v>7.5</v>
      </c>
      <c r="AI13" s="55">
        <f t="shared" si="9"/>
        <v>1822.5</v>
      </c>
      <c r="AJ13" s="53"/>
      <c r="AK13" s="56">
        <v>15</v>
      </c>
      <c r="AL13" s="55">
        <f t="shared" si="10"/>
        <v>0</v>
      </c>
      <c r="AM13" s="53"/>
      <c r="AN13" s="57">
        <v>10</v>
      </c>
      <c r="AO13" s="55">
        <f t="shared" si="11"/>
        <v>0</v>
      </c>
      <c r="AP13" s="53">
        <f t="shared" si="12"/>
        <v>2511</v>
      </c>
      <c r="AQ13" s="53"/>
      <c r="AR13" s="61"/>
      <c r="AS13" s="53"/>
      <c r="AT13" s="53"/>
      <c r="AU13" s="55"/>
      <c r="AV13" s="53"/>
      <c r="AW13" s="53"/>
      <c r="AX13" s="66">
        <v>1200</v>
      </c>
      <c r="AY13" s="53"/>
      <c r="AZ13" s="68">
        <f t="shared" si="13"/>
        <v>0.34472373450712385</v>
      </c>
      <c r="BA13" s="68">
        <f t="shared" si="14"/>
        <v>0.29086065099038572</v>
      </c>
      <c r="BB13" s="68">
        <f t="shared" si="15"/>
        <v>0.40322580645161288</v>
      </c>
      <c r="BC13" s="55">
        <f t="shared" si="16"/>
        <v>458250</v>
      </c>
      <c r="BD13" s="55">
        <f t="shared" si="17"/>
        <v>439470</v>
      </c>
      <c r="BE13" s="55">
        <f t="shared" si="18"/>
        <v>458250</v>
      </c>
      <c r="BF13" s="55">
        <f t="shared" si="19"/>
        <v>460072.5</v>
      </c>
      <c r="BG13" s="62">
        <v>519687.5</v>
      </c>
      <c r="BH13" s="63">
        <v>349199.05</v>
      </c>
      <c r="BI13" s="69">
        <f t="shared" si="20"/>
        <v>67.194044497895362</v>
      </c>
      <c r="BJ13" s="70">
        <f t="shared" si="21"/>
        <v>42428</v>
      </c>
      <c r="BK13" s="71">
        <f t="shared" si="22"/>
        <v>8.1641371016235725E-2</v>
      </c>
      <c r="BL13" s="72">
        <f t="shared" si="41"/>
        <v>4</v>
      </c>
      <c r="BM13" s="61">
        <f t="shared" si="23"/>
        <v>48637.5</v>
      </c>
      <c r="BN13" s="69">
        <f t="shared" si="24"/>
        <v>2.8087551786173219</v>
      </c>
      <c r="BO13" s="73">
        <f t="shared" si="25"/>
        <v>687.5</v>
      </c>
      <c r="BP13" s="69">
        <f t="shared" si="26"/>
        <v>198.7066618181818</v>
      </c>
      <c r="BQ13" s="61">
        <f t="shared" si="27"/>
        <v>13000</v>
      </c>
      <c r="BR13" s="69">
        <f t="shared" si="28"/>
        <v>10.508525384615384</v>
      </c>
      <c r="BS13" s="64">
        <f t="shared" si="29"/>
        <v>31857.829999999987</v>
      </c>
      <c r="BT13" s="69">
        <f t="shared" si="30"/>
        <v>4.2881398387774698</v>
      </c>
      <c r="BU13" s="65">
        <v>136610.82999999999</v>
      </c>
      <c r="BV13" s="74">
        <f t="shared" si="31"/>
        <v>26.287111004209258</v>
      </c>
      <c r="BW13" s="75">
        <f t="shared" si="32"/>
        <v>33877.620000000024</v>
      </c>
      <c r="BX13" s="69">
        <f t="shared" si="33"/>
        <v>6.5188444978953743</v>
      </c>
      <c r="BY13" s="55">
        <v>15051</v>
      </c>
      <c r="BZ13" s="55">
        <v>9546</v>
      </c>
      <c r="CA13" s="55">
        <v>13781</v>
      </c>
      <c r="CB13" s="55">
        <v>4050</v>
      </c>
      <c r="CC13" s="64">
        <v>48637.5</v>
      </c>
      <c r="CD13" s="64">
        <v>687.5</v>
      </c>
      <c r="CE13" s="64">
        <v>13000</v>
      </c>
      <c r="CF13" s="76">
        <f t="shared" si="34"/>
        <v>2.8961635598316295E-2</v>
      </c>
      <c r="CG13" s="76">
        <f t="shared" si="35"/>
        <v>1.8368731208659051E-2</v>
      </c>
      <c r="CH13" s="76">
        <f t="shared" si="36"/>
        <v>2.6517859290438966E-2</v>
      </c>
      <c r="CI13" s="76">
        <f t="shared" si="37"/>
        <v>7.7931449188214071E-3</v>
      </c>
      <c r="CJ13" s="76">
        <f t="shared" si="38"/>
        <v>9.3589897775105235E-2</v>
      </c>
      <c r="CK13" s="63">
        <f t="shared" si="39"/>
        <v>6775.5240000000049</v>
      </c>
    </row>
    <row r="14" spans="1:90" ht="18.75" customHeight="1" x14ac:dyDescent="0.35">
      <c r="A14" s="50">
        <f t="shared" si="40"/>
        <v>7</v>
      </c>
      <c r="B14" s="58">
        <v>7</v>
      </c>
      <c r="C14" s="52" t="s">
        <v>110</v>
      </c>
      <c r="D14" s="52"/>
      <c r="E14" s="52"/>
      <c r="F14" s="53"/>
      <c r="G14" s="54">
        <v>40</v>
      </c>
      <c r="H14" s="55">
        <f t="shared" si="0"/>
        <v>0</v>
      </c>
      <c r="I14" s="53">
        <v>16295</v>
      </c>
      <c r="J14" s="56">
        <v>50</v>
      </c>
      <c r="K14" s="55">
        <f t="shared" si="1"/>
        <v>814750</v>
      </c>
      <c r="L14" s="53"/>
      <c r="M14" s="57">
        <v>60</v>
      </c>
      <c r="N14" s="55">
        <f t="shared" si="2"/>
        <v>0</v>
      </c>
      <c r="O14" s="53">
        <v>5451</v>
      </c>
      <c r="P14" s="57">
        <v>12</v>
      </c>
      <c r="Q14" s="55">
        <f t="shared" si="3"/>
        <v>65412</v>
      </c>
      <c r="R14" s="53"/>
      <c r="S14" s="59">
        <v>12</v>
      </c>
      <c r="T14" s="55">
        <f t="shared" si="4"/>
        <v>0</v>
      </c>
      <c r="U14" s="53">
        <v>969</v>
      </c>
      <c r="V14" s="57">
        <v>8</v>
      </c>
      <c r="W14" s="55">
        <f t="shared" si="5"/>
        <v>7752</v>
      </c>
      <c r="X14" s="53">
        <v>411</v>
      </c>
      <c r="Y14" s="57">
        <v>12</v>
      </c>
      <c r="Z14" s="55">
        <f t="shared" si="6"/>
        <v>4932</v>
      </c>
      <c r="AA14" s="53">
        <v>1178</v>
      </c>
      <c r="AB14" s="57">
        <v>10</v>
      </c>
      <c r="AC14" s="55">
        <f t="shared" si="7"/>
        <v>11780</v>
      </c>
      <c r="AD14" s="53">
        <v>330</v>
      </c>
      <c r="AE14" s="57">
        <v>25</v>
      </c>
      <c r="AF14" s="55">
        <f t="shared" si="8"/>
        <v>8250</v>
      </c>
      <c r="AG14" s="53">
        <v>301</v>
      </c>
      <c r="AH14" s="57">
        <v>7.5</v>
      </c>
      <c r="AI14" s="55">
        <f t="shared" si="9"/>
        <v>2257.5</v>
      </c>
      <c r="AJ14" s="53"/>
      <c r="AK14" s="56">
        <v>15</v>
      </c>
      <c r="AL14" s="55">
        <f t="shared" si="10"/>
        <v>0</v>
      </c>
      <c r="AM14" s="53">
        <v>249</v>
      </c>
      <c r="AN14" s="57">
        <v>10</v>
      </c>
      <c r="AO14" s="55">
        <f t="shared" si="11"/>
        <v>2490</v>
      </c>
      <c r="AP14" s="53">
        <f t="shared" si="12"/>
        <v>3438</v>
      </c>
      <c r="AQ14" s="53"/>
      <c r="AR14" s="61"/>
      <c r="AS14" s="53"/>
      <c r="AT14" s="53"/>
      <c r="AU14" s="55"/>
      <c r="AV14" s="53"/>
      <c r="AW14" s="53"/>
      <c r="AX14" s="66">
        <v>1784</v>
      </c>
      <c r="AY14" s="53"/>
      <c r="AZ14" s="68">
        <f t="shared" si="13"/>
        <v>0.33451979134703896</v>
      </c>
      <c r="BA14" s="68">
        <f t="shared" si="14"/>
        <v>0.21098496471310219</v>
      </c>
      <c r="BB14" s="68">
        <f t="shared" si="15"/>
        <v>0.32727939827554575</v>
      </c>
      <c r="BC14" s="55">
        <f t="shared" si="16"/>
        <v>847464</v>
      </c>
      <c r="BD14" s="55">
        <f t="shared" si="17"/>
        <v>823000</v>
      </c>
      <c r="BE14" s="55">
        <f t="shared" si="18"/>
        <v>847464</v>
      </c>
      <c r="BF14" s="55">
        <f t="shared" si="19"/>
        <v>849721.5</v>
      </c>
      <c r="BG14" s="62">
        <v>949506.5</v>
      </c>
      <c r="BH14" s="63">
        <v>643565.89</v>
      </c>
      <c r="BI14" s="69">
        <f t="shared" si="20"/>
        <v>67.778987294979018</v>
      </c>
      <c r="BJ14" s="70">
        <f t="shared" si="21"/>
        <v>55300</v>
      </c>
      <c r="BK14" s="71">
        <f t="shared" si="22"/>
        <v>5.8240780868798692E-2</v>
      </c>
      <c r="BL14" s="72">
        <f t="shared" si="41"/>
        <v>7</v>
      </c>
      <c r="BM14" s="61">
        <f t="shared" si="23"/>
        <v>71350</v>
      </c>
      <c r="BN14" s="69">
        <f t="shared" si="24"/>
        <v>2.9309191310441483</v>
      </c>
      <c r="BO14" s="73">
        <f t="shared" si="25"/>
        <v>312.5</v>
      </c>
      <c r="BP14" s="69">
        <f t="shared" si="26"/>
        <v>669.187456</v>
      </c>
      <c r="BQ14" s="61">
        <f t="shared" si="27"/>
        <v>14500</v>
      </c>
      <c r="BR14" s="69">
        <f t="shared" si="28"/>
        <v>14.422143448275861</v>
      </c>
      <c r="BS14" s="64">
        <f t="shared" si="29"/>
        <v>67658.579999999987</v>
      </c>
      <c r="BT14" s="69">
        <f t="shared" si="30"/>
        <v>3.0908286872115855</v>
      </c>
      <c r="BU14" s="65">
        <v>209121.08</v>
      </c>
      <c r="BV14" s="74">
        <f t="shared" si="31"/>
        <v>22.02418624833005</v>
      </c>
      <c r="BW14" s="75">
        <f t="shared" si="32"/>
        <v>96819.53</v>
      </c>
      <c r="BX14" s="69">
        <f t="shared" si="33"/>
        <v>10.196826456690923</v>
      </c>
      <c r="BY14" s="55">
        <v>15218</v>
      </c>
      <c r="BZ14" s="55">
        <v>15910</v>
      </c>
      <c r="CA14" s="55">
        <v>19312</v>
      </c>
      <c r="CB14" s="55">
        <v>4860</v>
      </c>
      <c r="CC14" s="64">
        <v>71350</v>
      </c>
      <c r="CD14" s="64">
        <v>312.5</v>
      </c>
      <c r="CE14" s="64">
        <v>14500</v>
      </c>
      <c r="CF14" s="76">
        <f t="shared" si="34"/>
        <v>1.6027273115033967E-2</v>
      </c>
      <c r="CG14" s="76">
        <f t="shared" si="35"/>
        <v>1.6756072759902117E-2</v>
      </c>
      <c r="CH14" s="76">
        <f t="shared" si="36"/>
        <v>2.0338986620944671E-2</v>
      </c>
      <c r="CI14" s="76">
        <f t="shared" si="37"/>
        <v>5.1184483729179312E-3</v>
      </c>
      <c r="CJ14" s="76">
        <f t="shared" si="38"/>
        <v>7.5144298643558524E-2</v>
      </c>
      <c r="CK14" s="63">
        <f t="shared" si="39"/>
        <v>19363.905999999999</v>
      </c>
    </row>
    <row r="15" spans="1:90" ht="18.75" customHeight="1" x14ac:dyDescent="0.35">
      <c r="A15" s="50">
        <f t="shared" si="40"/>
        <v>8</v>
      </c>
      <c r="B15" s="58">
        <v>3</v>
      </c>
      <c r="C15" s="52" t="s">
        <v>116</v>
      </c>
      <c r="D15" s="52"/>
      <c r="E15" s="52"/>
      <c r="F15" s="53"/>
      <c r="G15" s="54">
        <v>40</v>
      </c>
      <c r="H15" s="55">
        <f t="shared" si="0"/>
        <v>0</v>
      </c>
      <c r="I15" s="53">
        <v>6190</v>
      </c>
      <c r="J15" s="56">
        <v>50</v>
      </c>
      <c r="K15" s="55">
        <f t="shared" si="1"/>
        <v>309500</v>
      </c>
      <c r="L15" s="53"/>
      <c r="M15" s="57">
        <v>60</v>
      </c>
      <c r="N15" s="55">
        <f t="shared" si="2"/>
        <v>0</v>
      </c>
      <c r="O15" s="53">
        <v>1690</v>
      </c>
      <c r="P15" s="57">
        <v>12</v>
      </c>
      <c r="Q15" s="55">
        <f t="shared" si="3"/>
        <v>20280</v>
      </c>
      <c r="R15" s="53">
        <v>2455</v>
      </c>
      <c r="S15" s="59">
        <v>12</v>
      </c>
      <c r="T15" s="55">
        <f t="shared" si="4"/>
        <v>29460</v>
      </c>
      <c r="U15" s="53">
        <v>453</v>
      </c>
      <c r="V15" s="57">
        <v>8</v>
      </c>
      <c r="W15" s="55">
        <f t="shared" si="5"/>
        <v>3624</v>
      </c>
      <c r="X15" s="53">
        <v>275</v>
      </c>
      <c r="Y15" s="57">
        <v>12</v>
      </c>
      <c r="Z15" s="55">
        <f t="shared" si="6"/>
        <v>3300</v>
      </c>
      <c r="AA15" s="53">
        <v>645</v>
      </c>
      <c r="AB15" s="57">
        <v>10</v>
      </c>
      <c r="AC15" s="55">
        <f t="shared" si="7"/>
        <v>6450</v>
      </c>
      <c r="AD15" s="53">
        <v>182</v>
      </c>
      <c r="AE15" s="57">
        <v>25</v>
      </c>
      <c r="AF15" s="55">
        <f t="shared" si="8"/>
        <v>4550</v>
      </c>
      <c r="AG15" s="53">
        <v>79</v>
      </c>
      <c r="AH15" s="57">
        <v>7.5</v>
      </c>
      <c r="AI15" s="55">
        <f t="shared" si="9"/>
        <v>592.5</v>
      </c>
      <c r="AJ15" s="53"/>
      <c r="AK15" s="56">
        <v>15</v>
      </c>
      <c r="AL15" s="55">
        <f t="shared" si="10"/>
        <v>0</v>
      </c>
      <c r="AM15" s="53">
        <v>70</v>
      </c>
      <c r="AN15" s="57">
        <v>10</v>
      </c>
      <c r="AO15" s="55">
        <f t="shared" si="11"/>
        <v>700</v>
      </c>
      <c r="AP15" s="53">
        <f t="shared" si="12"/>
        <v>4159</v>
      </c>
      <c r="AQ15" s="53"/>
      <c r="AR15" s="61"/>
      <c r="AS15" s="53"/>
      <c r="AT15" s="53"/>
      <c r="AU15" s="55"/>
      <c r="AV15" s="53"/>
      <c r="AW15" s="53"/>
      <c r="AX15" s="66">
        <f>25+320+179+25+8</f>
        <v>557</v>
      </c>
      <c r="AY15" s="53"/>
      <c r="AZ15" s="68">
        <f t="shared" si="13"/>
        <v>0.27302100161550891</v>
      </c>
      <c r="BA15" s="68">
        <f t="shared" si="14"/>
        <v>0.67189014539579972</v>
      </c>
      <c r="BB15" s="68">
        <f t="shared" si="15"/>
        <v>0.32958579881656802</v>
      </c>
      <c r="BC15" s="55">
        <f t="shared" si="16"/>
        <v>356884</v>
      </c>
      <c r="BD15" s="55">
        <f t="shared" si="17"/>
        <v>343510</v>
      </c>
      <c r="BE15" s="55">
        <f t="shared" si="18"/>
        <v>356884</v>
      </c>
      <c r="BF15" s="55">
        <f t="shared" si="19"/>
        <v>357476.5</v>
      </c>
      <c r="BG15" s="62">
        <v>389125.5</v>
      </c>
      <c r="BH15" s="63">
        <v>263201.18</v>
      </c>
      <c r="BI15" s="69">
        <f t="shared" si="20"/>
        <v>67.63914983726329</v>
      </c>
      <c r="BJ15" s="70">
        <f t="shared" si="21"/>
        <v>31245</v>
      </c>
      <c r="BK15" s="71">
        <f t="shared" si="22"/>
        <v>8.0295431679496709E-2</v>
      </c>
      <c r="BL15" s="72">
        <f t="shared" si="41"/>
        <v>3</v>
      </c>
      <c r="BM15" s="61">
        <f t="shared" si="23"/>
        <v>35725</v>
      </c>
      <c r="BN15" s="69">
        <f t="shared" si="24"/>
        <v>3.2544436668999301</v>
      </c>
      <c r="BO15" s="73">
        <f t="shared" si="25"/>
        <v>312.5</v>
      </c>
      <c r="BP15" s="69">
        <f t="shared" si="26"/>
        <v>372.048</v>
      </c>
      <c r="BQ15" s="61">
        <f t="shared" si="27"/>
        <v>15000</v>
      </c>
      <c r="BR15" s="69">
        <f t="shared" si="28"/>
        <v>7.7510000000000003</v>
      </c>
      <c r="BS15" s="64">
        <f t="shared" si="29"/>
        <v>33982.5</v>
      </c>
      <c r="BT15" s="69">
        <f t="shared" si="30"/>
        <v>3.4213197969543145</v>
      </c>
      <c r="BU15" s="65">
        <v>116265</v>
      </c>
      <c r="BV15" s="74">
        <f t="shared" si="31"/>
        <v>29.878535331146377</v>
      </c>
      <c r="BW15" s="75">
        <f t="shared" si="32"/>
        <v>9659.320000000007</v>
      </c>
      <c r="BX15" s="69">
        <f t="shared" si="33"/>
        <v>2.4823148315903243</v>
      </c>
      <c r="BY15" s="55">
        <v>11346</v>
      </c>
      <c r="BZ15" s="55">
        <v>7955</v>
      </c>
      <c r="CA15" s="55">
        <v>8704</v>
      </c>
      <c r="CB15" s="55">
        <v>3240</v>
      </c>
      <c r="CC15" s="64">
        <v>35725</v>
      </c>
      <c r="CD15" s="64">
        <v>312.5</v>
      </c>
      <c r="CE15" s="64">
        <v>15000</v>
      </c>
      <c r="CF15" s="76">
        <f t="shared" si="34"/>
        <v>2.9157688200850369E-2</v>
      </c>
      <c r="CG15" s="76">
        <f t="shared" si="35"/>
        <v>2.0443276012494682E-2</v>
      </c>
      <c r="CH15" s="76">
        <f t="shared" si="36"/>
        <v>2.2368104891609519E-2</v>
      </c>
      <c r="CI15" s="76">
        <f t="shared" si="37"/>
        <v>8.3263625745421468E-3</v>
      </c>
      <c r="CJ15" s="76">
        <f t="shared" si="38"/>
        <v>9.1808426844295729E-2</v>
      </c>
      <c r="CK15" s="63">
        <f t="shared" si="39"/>
        <v>1931.8640000000014</v>
      </c>
    </row>
    <row r="16" spans="1:90" ht="18.75" customHeight="1" x14ac:dyDescent="0.35">
      <c r="A16" s="50">
        <f t="shared" si="40"/>
        <v>9</v>
      </c>
      <c r="B16" s="58">
        <v>4</v>
      </c>
      <c r="C16" s="52" t="s">
        <v>78</v>
      </c>
      <c r="D16" s="52"/>
      <c r="E16" s="52"/>
      <c r="F16" s="53"/>
      <c r="G16" s="54">
        <v>40</v>
      </c>
      <c r="H16" s="55">
        <f t="shared" si="0"/>
        <v>0</v>
      </c>
      <c r="I16" s="53">
        <v>6894</v>
      </c>
      <c r="J16" s="56">
        <v>50</v>
      </c>
      <c r="K16" s="55">
        <f t="shared" si="1"/>
        <v>344700</v>
      </c>
      <c r="L16" s="53"/>
      <c r="M16" s="57">
        <v>60</v>
      </c>
      <c r="N16" s="55">
        <f t="shared" si="2"/>
        <v>0</v>
      </c>
      <c r="O16" s="53">
        <v>2479</v>
      </c>
      <c r="P16" s="57">
        <v>12</v>
      </c>
      <c r="Q16" s="55">
        <f t="shared" si="3"/>
        <v>29748</v>
      </c>
      <c r="R16" s="53">
        <v>1320</v>
      </c>
      <c r="S16" s="59">
        <v>12</v>
      </c>
      <c r="T16" s="55">
        <f t="shared" si="4"/>
        <v>15840</v>
      </c>
      <c r="U16" s="53">
        <v>221</v>
      </c>
      <c r="V16" s="57">
        <v>8</v>
      </c>
      <c r="W16" s="55">
        <f t="shared" si="5"/>
        <v>1768</v>
      </c>
      <c r="X16" s="53">
        <v>142</v>
      </c>
      <c r="Y16" s="57">
        <v>12</v>
      </c>
      <c r="Z16" s="55">
        <f t="shared" si="6"/>
        <v>1704</v>
      </c>
      <c r="AA16" s="53">
        <v>340</v>
      </c>
      <c r="AB16" s="57">
        <v>10</v>
      </c>
      <c r="AC16" s="55">
        <f t="shared" si="7"/>
        <v>3400</v>
      </c>
      <c r="AD16" s="53">
        <v>156</v>
      </c>
      <c r="AE16" s="57">
        <v>25</v>
      </c>
      <c r="AF16" s="55">
        <f t="shared" si="8"/>
        <v>3900</v>
      </c>
      <c r="AG16" s="53">
        <v>32</v>
      </c>
      <c r="AH16" s="57">
        <v>7.5</v>
      </c>
      <c r="AI16" s="55">
        <f t="shared" si="9"/>
        <v>240</v>
      </c>
      <c r="AJ16" s="53"/>
      <c r="AK16" s="56">
        <v>15</v>
      </c>
      <c r="AL16" s="55">
        <f t="shared" si="10"/>
        <v>0</v>
      </c>
      <c r="AM16" s="53">
        <v>56</v>
      </c>
      <c r="AN16" s="57">
        <v>12</v>
      </c>
      <c r="AO16" s="55">
        <f t="shared" si="11"/>
        <v>672</v>
      </c>
      <c r="AP16" s="53">
        <f t="shared" si="12"/>
        <v>2267</v>
      </c>
      <c r="AQ16" s="53"/>
      <c r="AR16" s="61"/>
      <c r="AS16" s="53"/>
      <c r="AT16" s="53"/>
      <c r="AU16" s="55"/>
      <c r="AV16" s="53"/>
      <c r="AW16" s="53"/>
      <c r="AX16" s="66">
        <f>201+487+61+44</f>
        <v>793</v>
      </c>
      <c r="AY16" s="53"/>
      <c r="AZ16" s="68">
        <f t="shared" si="13"/>
        <v>0.35958804757760371</v>
      </c>
      <c r="BA16" s="68">
        <f t="shared" si="14"/>
        <v>0.32883666956774005</v>
      </c>
      <c r="BB16" s="68">
        <f t="shared" si="15"/>
        <v>0.31988705123033484</v>
      </c>
      <c r="BC16" s="55">
        <f t="shared" si="16"/>
        <v>371312</v>
      </c>
      <c r="BD16" s="55">
        <f t="shared" si="17"/>
        <v>364440</v>
      </c>
      <c r="BE16" s="55">
        <f t="shared" si="18"/>
        <v>371312</v>
      </c>
      <c r="BF16" s="55">
        <f t="shared" si="19"/>
        <v>371552</v>
      </c>
      <c r="BG16" s="62">
        <v>417047</v>
      </c>
      <c r="BH16" s="63">
        <v>277927.56</v>
      </c>
      <c r="BI16" s="69">
        <f t="shared" si="20"/>
        <v>66.641783779765831</v>
      </c>
      <c r="BJ16" s="70">
        <f t="shared" si="21"/>
        <v>36499</v>
      </c>
      <c r="BK16" s="71">
        <f t="shared" si="22"/>
        <v>8.7517713830815233E-2</v>
      </c>
      <c r="BL16" s="72">
        <f t="shared" si="41"/>
        <v>4</v>
      </c>
      <c r="BM16" s="61">
        <f t="shared" si="23"/>
        <v>47468</v>
      </c>
      <c r="BN16" s="69">
        <f t="shared" si="24"/>
        <v>2.8550490856998398</v>
      </c>
      <c r="BO16" s="73">
        <f t="shared" si="25"/>
        <v>0</v>
      </c>
      <c r="BP16" s="69" t="e">
        <f t="shared" si="26"/>
        <v>#DIV/0!</v>
      </c>
      <c r="BQ16" s="61">
        <f t="shared" si="27"/>
        <v>18000</v>
      </c>
      <c r="BR16" s="69">
        <f t="shared" si="28"/>
        <v>7.5290816666666665</v>
      </c>
      <c r="BS16" s="64">
        <f t="shared" si="29"/>
        <v>33556.47</v>
      </c>
      <c r="BT16" s="69">
        <f t="shared" si="30"/>
        <v>4.0386688468721532</v>
      </c>
      <c r="BU16" s="65">
        <v>135523.47</v>
      </c>
      <c r="BV16" s="74">
        <f t="shared" si="31"/>
        <v>32.495970478147548</v>
      </c>
      <c r="BW16" s="75">
        <f t="shared" si="32"/>
        <v>3595.9700000000012</v>
      </c>
      <c r="BX16" s="69">
        <f t="shared" si="33"/>
        <v>0.86224574208662352</v>
      </c>
      <c r="BY16" s="55">
        <v>15049</v>
      </c>
      <c r="BZ16" s="55">
        <v>8650</v>
      </c>
      <c r="CA16" s="55">
        <v>10240</v>
      </c>
      <c r="CB16" s="55">
        <v>2560</v>
      </c>
      <c r="CC16" s="64">
        <v>47468</v>
      </c>
      <c r="CD16" s="64">
        <v>0</v>
      </c>
      <c r="CE16" s="64">
        <v>18000</v>
      </c>
      <c r="CF16" s="76">
        <f t="shared" si="34"/>
        <v>3.6084661920598879E-2</v>
      </c>
      <c r="CG16" s="76">
        <f t="shared" si="35"/>
        <v>2.0741067553537131E-2</v>
      </c>
      <c r="CH16" s="76">
        <f t="shared" si="36"/>
        <v>2.4553587485343378E-2</v>
      </c>
      <c r="CI16" s="76">
        <f t="shared" si="37"/>
        <v>6.1383968713358446E-3</v>
      </c>
      <c r="CJ16" s="76">
        <f t="shared" si="38"/>
        <v>0.1138193057377226</v>
      </c>
      <c r="CK16" s="63">
        <f t="shared" si="39"/>
        <v>719.1940000000003</v>
      </c>
    </row>
    <row r="17" spans="1:89" ht="18.75" customHeight="1" x14ac:dyDescent="0.35">
      <c r="A17" s="50">
        <f t="shared" si="40"/>
        <v>10</v>
      </c>
      <c r="B17" s="58">
        <v>6</v>
      </c>
      <c r="C17" s="52" t="s">
        <v>118</v>
      </c>
      <c r="D17" s="52"/>
      <c r="E17" s="52"/>
      <c r="F17" s="53"/>
      <c r="G17" s="54">
        <v>40</v>
      </c>
      <c r="H17" s="55">
        <f t="shared" si="0"/>
        <v>0</v>
      </c>
      <c r="I17" s="53">
        <v>13027</v>
      </c>
      <c r="J17" s="56">
        <v>50</v>
      </c>
      <c r="K17" s="55">
        <f t="shared" si="1"/>
        <v>651350</v>
      </c>
      <c r="L17" s="53"/>
      <c r="M17" s="57">
        <v>60</v>
      </c>
      <c r="N17" s="55">
        <f t="shared" si="2"/>
        <v>0</v>
      </c>
      <c r="O17" s="53">
        <v>9451</v>
      </c>
      <c r="P17" s="57">
        <v>12</v>
      </c>
      <c r="Q17" s="55">
        <f t="shared" si="3"/>
        <v>113412</v>
      </c>
      <c r="R17" s="53"/>
      <c r="S17" s="59">
        <v>12</v>
      </c>
      <c r="T17" s="55">
        <f t="shared" si="4"/>
        <v>0</v>
      </c>
      <c r="U17" s="53">
        <v>1262</v>
      </c>
      <c r="V17" s="57">
        <v>8</v>
      </c>
      <c r="W17" s="55">
        <f t="shared" si="5"/>
        <v>10096</v>
      </c>
      <c r="X17" s="53">
        <v>715</v>
      </c>
      <c r="Y17" s="57">
        <v>12</v>
      </c>
      <c r="Z17" s="55">
        <f t="shared" si="6"/>
        <v>8580</v>
      </c>
      <c r="AA17" s="53">
        <v>1094</v>
      </c>
      <c r="AB17" s="57">
        <v>10</v>
      </c>
      <c r="AC17" s="55">
        <f t="shared" si="7"/>
        <v>10940</v>
      </c>
      <c r="AD17" s="53">
        <v>458</v>
      </c>
      <c r="AE17" s="57">
        <v>25</v>
      </c>
      <c r="AF17" s="55">
        <f t="shared" si="8"/>
        <v>11450</v>
      </c>
      <c r="AG17" s="53">
        <v>754</v>
      </c>
      <c r="AH17" s="57">
        <v>7.5</v>
      </c>
      <c r="AI17" s="55">
        <f t="shared" si="9"/>
        <v>5655</v>
      </c>
      <c r="AJ17" s="53"/>
      <c r="AK17" s="56">
        <v>15</v>
      </c>
      <c r="AL17" s="55">
        <f t="shared" si="10"/>
        <v>0</v>
      </c>
      <c r="AM17" s="53">
        <v>459</v>
      </c>
      <c r="AN17" s="57">
        <v>10</v>
      </c>
      <c r="AO17" s="55">
        <f t="shared" si="11"/>
        <v>4590</v>
      </c>
      <c r="AP17" s="53">
        <f t="shared" si="12"/>
        <v>4742</v>
      </c>
      <c r="AQ17" s="53"/>
      <c r="AR17" s="61"/>
      <c r="AS17" s="53"/>
      <c r="AT17" s="53"/>
      <c r="AU17" s="55"/>
      <c r="AV17" s="53"/>
      <c r="AW17" s="53"/>
      <c r="AX17" s="66">
        <f>48+1415+211+244+110+73</f>
        <v>2101</v>
      </c>
      <c r="AY17" s="53"/>
      <c r="AZ17" s="68">
        <f t="shared" si="13"/>
        <v>0.72549320641744075</v>
      </c>
      <c r="BA17" s="68">
        <f t="shared" si="14"/>
        <v>0.36401320334689491</v>
      </c>
      <c r="BB17" s="68">
        <f t="shared" si="15"/>
        <v>0.22230451804041901</v>
      </c>
      <c r="BC17" s="55">
        <f t="shared" si="16"/>
        <v>692416</v>
      </c>
      <c r="BD17" s="55">
        <f t="shared" si="17"/>
        <v>662800</v>
      </c>
      <c r="BE17" s="55">
        <f t="shared" si="18"/>
        <v>692416</v>
      </c>
      <c r="BF17" s="55">
        <f t="shared" si="19"/>
        <v>698071</v>
      </c>
      <c r="BG17" s="62">
        <v>857516</v>
      </c>
      <c r="BH17" s="63">
        <v>585143.92000000004</v>
      </c>
      <c r="BI17" s="69">
        <f t="shared" si="20"/>
        <v>68.237084789088485</v>
      </c>
      <c r="BJ17" s="70">
        <f t="shared" si="21"/>
        <v>47797</v>
      </c>
      <c r="BK17" s="71">
        <f t="shared" si="22"/>
        <v>5.5738901664808584E-2</v>
      </c>
      <c r="BL17" s="72">
        <f t="shared" si="41"/>
        <v>6</v>
      </c>
      <c r="BM17" s="61">
        <f t="shared" si="23"/>
        <v>68950</v>
      </c>
      <c r="BN17" s="69">
        <f t="shared" si="24"/>
        <v>2.6744445250181292</v>
      </c>
      <c r="BO17" s="73">
        <f t="shared" si="25"/>
        <v>625</v>
      </c>
      <c r="BP17" s="69">
        <f t="shared" si="26"/>
        <v>295.04472000000004</v>
      </c>
      <c r="BQ17" s="61">
        <f t="shared" si="27"/>
        <v>22050</v>
      </c>
      <c r="BR17" s="69">
        <f t="shared" si="28"/>
        <v>8.3629455782312938</v>
      </c>
      <c r="BS17" s="64">
        <f t="shared" si="29"/>
        <v>44980.950000000012</v>
      </c>
      <c r="BT17" s="69">
        <f t="shared" si="30"/>
        <v>4.0995788217011864</v>
      </c>
      <c r="BU17" s="65">
        <v>184402.95</v>
      </c>
      <c r="BV17" s="74">
        <f t="shared" si="31"/>
        <v>21.504315954454494</v>
      </c>
      <c r="BW17" s="75">
        <f t="shared" si="32"/>
        <v>87969.129999999946</v>
      </c>
      <c r="BX17" s="69">
        <f t="shared" si="33"/>
        <v>10.258599256457016</v>
      </c>
      <c r="BY17" s="55">
        <v>15051</v>
      </c>
      <c r="BZ17" s="55">
        <v>12728</v>
      </c>
      <c r="CA17" s="55">
        <v>17048</v>
      </c>
      <c r="CB17" s="55">
        <v>2970</v>
      </c>
      <c r="CC17" s="64">
        <v>68950</v>
      </c>
      <c r="CD17" s="64">
        <v>625</v>
      </c>
      <c r="CE17" s="64">
        <v>22050</v>
      </c>
      <c r="CF17" s="76">
        <f t="shared" si="34"/>
        <v>1.7551859090675859E-2</v>
      </c>
      <c r="CG17" s="76">
        <f t="shared" si="35"/>
        <v>1.4842871736504042E-2</v>
      </c>
      <c r="CH17" s="76">
        <f t="shared" si="36"/>
        <v>1.9880678611244571E-2</v>
      </c>
      <c r="CI17" s="76">
        <f t="shared" si="37"/>
        <v>3.463492226384114E-3</v>
      </c>
      <c r="CJ17" s="76">
        <f t="shared" si="38"/>
        <v>8.0406662966055448E-2</v>
      </c>
      <c r="CK17" s="63">
        <f t="shared" si="39"/>
        <v>17593.82599999999</v>
      </c>
    </row>
    <row r="18" spans="1:89" ht="18.75" customHeight="1" x14ac:dyDescent="0.35">
      <c r="A18" s="50">
        <f t="shared" si="40"/>
        <v>11</v>
      </c>
      <c r="B18" s="58">
        <v>4</v>
      </c>
      <c r="C18" s="52" t="s">
        <v>207</v>
      </c>
      <c r="D18" s="52"/>
      <c r="E18" s="52"/>
      <c r="F18" s="53"/>
      <c r="G18" s="54">
        <v>40</v>
      </c>
      <c r="H18" s="55">
        <f t="shared" si="0"/>
        <v>0</v>
      </c>
      <c r="I18" s="53">
        <v>8078</v>
      </c>
      <c r="J18" s="56">
        <v>50</v>
      </c>
      <c r="K18" s="55">
        <f t="shared" si="1"/>
        <v>403900</v>
      </c>
      <c r="L18" s="53"/>
      <c r="M18" s="57">
        <v>60</v>
      </c>
      <c r="N18" s="55">
        <f t="shared" si="2"/>
        <v>0</v>
      </c>
      <c r="O18" s="53">
        <v>3173</v>
      </c>
      <c r="P18" s="57">
        <v>12</v>
      </c>
      <c r="Q18" s="55">
        <f t="shared" si="3"/>
        <v>38076</v>
      </c>
      <c r="R18" s="53">
        <v>1560</v>
      </c>
      <c r="S18" s="59">
        <v>12</v>
      </c>
      <c r="T18" s="55">
        <f t="shared" si="4"/>
        <v>18720</v>
      </c>
      <c r="U18" s="53">
        <v>394</v>
      </c>
      <c r="V18" s="57">
        <v>8</v>
      </c>
      <c r="W18" s="55">
        <f t="shared" si="5"/>
        <v>3152</v>
      </c>
      <c r="X18" s="53">
        <v>746</v>
      </c>
      <c r="Y18" s="57">
        <v>12</v>
      </c>
      <c r="Z18" s="55">
        <f t="shared" si="6"/>
        <v>8952</v>
      </c>
      <c r="AA18" s="53">
        <v>551</v>
      </c>
      <c r="AB18" s="57">
        <v>10</v>
      </c>
      <c r="AC18" s="55">
        <f t="shared" si="7"/>
        <v>5510</v>
      </c>
      <c r="AD18" s="53">
        <v>278</v>
      </c>
      <c r="AE18" s="57">
        <v>25</v>
      </c>
      <c r="AF18" s="55">
        <f t="shared" si="8"/>
        <v>6950</v>
      </c>
      <c r="AG18" s="53">
        <v>906</v>
      </c>
      <c r="AH18" s="57">
        <v>7.5</v>
      </c>
      <c r="AI18" s="55">
        <f t="shared" si="9"/>
        <v>6795</v>
      </c>
      <c r="AJ18" s="53"/>
      <c r="AK18" s="56">
        <v>15</v>
      </c>
      <c r="AL18" s="55">
        <f t="shared" si="10"/>
        <v>0</v>
      </c>
      <c r="AM18" s="53">
        <v>273</v>
      </c>
      <c r="AN18" s="57">
        <v>10</v>
      </c>
      <c r="AO18" s="55">
        <f t="shared" si="11"/>
        <v>2730</v>
      </c>
      <c r="AP18" s="53">
        <f t="shared" si="12"/>
        <v>4708</v>
      </c>
      <c r="AQ18" s="53"/>
      <c r="AR18" s="61"/>
      <c r="AS18" s="53"/>
      <c r="AT18" s="53"/>
      <c r="AU18" s="55"/>
      <c r="AV18" s="53"/>
      <c r="AW18" s="53"/>
      <c r="AX18" s="66">
        <f>217+698+126+139+56+24</f>
        <v>1260</v>
      </c>
      <c r="AY18" s="53"/>
      <c r="AZ18" s="68">
        <f t="shared" si="13"/>
        <v>0.39279524634810598</v>
      </c>
      <c r="BA18" s="68">
        <f t="shared" si="14"/>
        <v>0.5828175290913592</v>
      </c>
      <c r="BB18" s="68">
        <f t="shared" si="15"/>
        <v>0.39710053577056414</v>
      </c>
      <c r="BC18" s="55">
        <f t="shared" si="16"/>
        <v>447184</v>
      </c>
      <c r="BD18" s="55">
        <f t="shared" si="17"/>
        <v>429570</v>
      </c>
      <c r="BE18" s="55">
        <f t="shared" si="18"/>
        <v>447184</v>
      </c>
      <c r="BF18" s="55">
        <f t="shared" si="19"/>
        <v>453979</v>
      </c>
      <c r="BG18" s="62">
        <v>518457</v>
      </c>
      <c r="BH18" s="63">
        <v>348023.98</v>
      </c>
      <c r="BI18" s="69">
        <f t="shared" si="20"/>
        <v>67.126874552759432</v>
      </c>
      <c r="BJ18" s="70">
        <f t="shared" si="21"/>
        <v>32278</v>
      </c>
      <c r="BK18" s="71">
        <f t="shared" si="22"/>
        <v>6.2257815016481602E-2</v>
      </c>
      <c r="BL18" s="72">
        <f t="shared" si="41"/>
        <v>4</v>
      </c>
      <c r="BM18" s="61">
        <f t="shared" si="23"/>
        <v>44248</v>
      </c>
      <c r="BN18" s="69">
        <f t="shared" si="24"/>
        <v>3.3180625112999458</v>
      </c>
      <c r="BO18" s="73">
        <f t="shared" si="25"/>
        <v>0</v>
      </c>
      <c r="BP18" s="69" t="e">
        <f t="shared" si="26"/>
        <v>#DIV/0!</v>
      </c>
      <c r="BQ18" s="61">
        <f t="shared" si="27"/>
        <v>36000</v>
      </c>
      <c r="BR18" s="69">
        <f t="shared" si="28"/>
        <v>4.0782674999999999</v>
      </c>
      <c r="BS18" s="64">
        <f t="shared" si="29"/>
        <v>34291.630000000005</v>
      </c>
      <c r="BT18" s="69">
        <f t="shared" si="30"/>
        <v>4.2814421478360751</v>
      </c>
      <c r="BU18" s="65">
        <v>146817.63</v>
      </c>
      <c r="BV18" s="74">
        <f t="shared" si="31"/>
        <v>28.318188393637275</v>
      </c>
      <c r="BW18" s="75">
        <f t="shared" si="32"/>
        <v>23615.390000000014</v>
      </c>
      <c r="BX18" s="69">
        <f t="shared" si="33"/>
        <v>4.5549370536032914</v>
      </c>
      <c r="BY18" s="55">
        <v>11346</v>
      </c>
      <c r="BZ18" s="55">
        <v>8650</v>
      </c>
      <c r="CA18" s="55">
        <v>8442</v>
      </c>
      <c r="CB18" s="55">
        <v>3840</v>
      </c>
      <c r="CC18" s="64">
        <v>44248</v>
      </c>
      <c r="CD18" s="64">
        <v>0</v>
      </c>
      <c r="CE18" s="64">
        <v>36000</v>
      </c>
      <c r="CF18" s="76">
        <f t="shared" si="34"/>
        <v>2.1884167828768827E-2</v>
      </c>
      <c r="CG18" s="76">
        <f t="shared" si="35"/>
        <v>1.6684122309082526E-2</v>
      </c>
      <c r="CH18" s="76">
        <f t="shared" si="36"/>
        <v>1.628293185355777E-2</v>
      </c>
      <c r="CI18" s="76">
        <f t="shared" si="37"/>
        <v>7.4065930250724749E-3</v>
      </c>
      <c r="CJ18" s="76">
        <f t="shared" si="38"/>
        <v>8.5345554211824701E-2</v>
      </c>
      <c r="CK18" s="63">
        <f t="shared" si="39"/>
        <v>4723.0780000000032</v>
      </c>
    </row>
    <row r="19" spans="1:89" ht="18.75" customHeight="1" x14ac:dyDescent="0.35">
      <c r="A19" s="50">
        <f t="shared" si="40"/>
        <v>12</v>
      </c>
      <c r="B19" s="58">
        <v>3</v>
      </c>
      <c r="C19" s="52" t="s">
        <v>208</v>
      </c>
      <c r="D19" s="52"/>
      <c r="E19" s="52"/>
      <c r="F19" s="53"/>
      <c r="G19" s="54">
        <v>40</v>
      </c>
      <c r="H19" s="55">
        <f t="shared" si="0"/>
        <v>0</v>
      </c>
      <c r="I19" s="53">
        <v>6608</v>
      </c>
      <c r="J19" s="56">
        <v>50</v>
      </c>
      <c r="K19" s="55">
        <f t="shared" si="1"/>
        <v>330400</v>
      </c>
      <c r="L19" s="53"/>
      <c r="M19" s="57">
        <v>60</v>
      </c>
      <c r="N19" s="55">
        <f t="shared" si="2"/>
        <v>0</v>
      </c>
      <c r="O19" s="53">
        <v>2623</v>
      </c>
      <c r="P19" s="57">
        <v>12</v>
      </c>
      <c r="Q19" s="55">
        <f t="shared" si="3"/>
        <v>31476</v>
      </c>
      <c r="R19" s="53">
        <v>2380</v>
      </c>
      <c r="S19" s="59">
        <v>12</v>
      </c>
      <c r="T19" s="55">
        <f t="shared" si="4"/>
        <v>28560</v>
      </c>
      <c r="U19" s="53">
        <v>626</v>
      </c>
      <c r="V19" s="57">
        <v>8</v>
      </c>
      <c r="W19" s="55">
        <f t="shared" si="5"/>
        <v>5008</v>
      </c>
      <c r="X19" s="53">
        <v>459</v>
      </c>
      <c r="Y19" s="57">
        <v>12</v>
      </c>
      <c r="Z19" s="55">
        <f t="shared" si="6"/>
        <v>5508</v>
      </c>
      <c r="AA19" s="53">
        <v>639</v>
      </c>
      <c r="AB19" s="57">
        <v>10</v>
      </c>
      <c r="AC19" s="55">
        <f t="shared" si="7"/>
        <v>6390</v>
      </c>
      <c r="AD19" s="53">
        <v>230</v>
      </c>
      <c r="AE19" s="57">
        <v>25</v>
      </c>
      <c r="AF19" s="55">
        <f t="shared" si="8"/>
        <v>5750</v>
      </c>
      <c r="AG19" s="53">
        <v>156</v>
      </c>
      <c r="AH19" s="57">
        <v>7.5</v>
      </c>
      <c r="AI19" s="55">
        <f t="shared" si="9"/>
        <v>1170</v>
      </c>
      <c r="AJ19" s="53"/>
      <c r="AK19" s="56">
        <v>15</v>
      </c>
      <c r="AL19" s="55">
        <f t="shared" si="10"/>
        <v>0</v>
      </c>
      <c r="AM19" s="53">
        <v>167</v>
      </c>
      <c r="AN19" s="57">
        <v>10</v>
      </c>
      <c r="AO19" s="55">
        <f t="shared" si="11"/>
        <v>1670</v>
      </c>
      <c r="AP19" s="53">
        <f t="shared" si="12"/>
        <v>4657</v>
      </c>
      <c r="AQ19" s="53"/>
      <c r="AR19" s="61"/>
      <c r="AS19" s="53"/>
      <c r="AT19" s="53"/>
      <c r="AU19" s="55"/>
      <c r="AV19" s="53"/>
      <c r="AW19" s="53"/>
      <c r="AX19" s="66">
        <f>109+468+138+533+81+43</f>
        <v>1372</v>
      </c>
      <c r="AY19" s="53"/>
      <c r="AZ19" s="68">
        <f t="shared" si="13"/>
        <v>0.39694309927360777</v>
      </c>
      <c r="BA19" s="68">
        <f t="shared" si="14"/>
        <v>0.70475181598062953</v>
      </c>
      <c r="BB19" s="68">
        <f t="shared" si="15"/>
        <v>0.52306519252764005</v>
      </c>
      <c r="BC19" s="55">
        <f t="shared" si="16"/>
        <v>381616</v>
      </c>
      <c r="BD19" s="55">
        <f t="shared" si="17"/>
        <v>364710</v>
      </c>
      <c r="BE19" s="55">
        <f t="shared" si="18"/>
        <v>381616</v>
      </c>
      <c r="BF19" s="55">
        <f t="shared" si="19"/>
        <v>382786</v>
      </c>
      <c r="BG19" s="62">
        <v>441305</v>
      </c>
      <c r="BH19" s="63">
        <v>294338.75</v>
      </c>
      <c r="BI19" s="69">
        <f t="shared" si="20"/>
        <v>66.697352171400723</v>
      </c>
      <c r="BJ19" s="70">
        <f t="shared" si="21"/>
        <v>26953</v>
      </c>
      <c r="BK19" s="71">
        <f t="shared" si="22"/>
        <v>6.107567328718233E-2</v>
      </c>
      <c r="BL19" s="72">
        <v>4</v>
      </c>
      <c r="BM19" s="61">
        <f t="shared" si="23"/>
        <v>43625</v>
      </c>
      <c r="BN19" s="69">
        <f t="shared" si="24"/>
        <v>2.9288052722063038</v>
      </c>
      <c r="BO19" s="73">
        <f t="shared" si="25"/>
        <v>0</v>
      </c>
      <c r="BP19" s="69" t="e">
        <f t="shared" si="26"/>
        <v>#DIV/0!</v>
      </c>
      <c r="BQ19" s="61">
        <f t="shared" si="27"/>
        <v>15000</v>
      </c>
      <c r="BR19" s="69">
        <f t="shared" si="28"/>
        <v>8.5179419999999997</v>
      </c>
      <c r="BS19" s="64">
        <f t="shared" si="29"/>
        <v>42191.130000000005</v>
      </c>
      <c r="BT19" s="69">
        <f t="shared" si="30"/>
        <v>3.0283410280786502</v>
      </c>
      <c r="BU19" s="65">
        <v>127769.13</v>
      </c>
      <c r="BV19" s="74">
        <f t="shared" si="31"/>
        <v>28.952567951870023</v>
      </c>
      <c r="BW19" s="75">
        <f t="shared" si="32"/>
        <v>19197.119999999995</v>
      </c>
      <c r="BX19" s="69">
        <f t="shared" si="33"/>
        <v>4.3500798767292448</v>
      </c>
      <c r="BY19" s="55">
        <v>7564</v>
      </c>
      <c r="BZ19" s="55">
        <v>7955</v>
      </c>
      <c r="CA19" s="55">
        <v>8464</v>
      </c>
      <c r="CB19" s="55">
        <v>2970</v>
      </c>
      <c r="CC19" s="64">
        <v>43625</v>
      </c>
      <c r="CD19" s="64">
        <v>0</v>
      </c>
      <c r="CE19" s="64">
        <v>15000</v>
      </c>
      <c r="CF19" s="76">
        <f t="shared" si="34"/>
        <v>1.7140073192010059E-2</v>
      </c>
      <c r="CG19" s="76">
        <f t="shared" si="35"/>
        <v>1.8026081734854579E-2</v>
      </c>
      <c r="CH19" s="76">
        <f t="shared" si="36"/>
        <v>1.917947904510486E-2</v>
      </c>
      <c r="CI19" s="76">
        <f t="shared" si="37"/>
        <v>6.7300393152128343E-3</v>
      </c>
      <c r="CJ19" s="76">
        <f t="shared" si="38"/>
        <v>9.8854533712511752E-2</v>
      </c>
      <c r="CK19" s="63">
        <f t="shared" si="39"/>
        <v>3839.4239999999991</v>
      </c>
    </row>
    <row r="20" spans="1:89" ht="18.75" customHeight="1" x14ac:dyDescent="0.35">
      <c r="A20" s="50">
        <f t="shared" si="40"/>
        <v>13</v>
      </c>
      <c r="B20" s="58">
        <v>3</v>
      </c>
      <c r="C20" s="52" t="s">
        <v>97</v>
      </c>
      <c r="D20" s="52"/>
      <c r="E20" s="52"/>
      <c r="F20" s="53"/>
      <c r="G20" s="54">
        <v>40</v>
      </c>
      <c r="H20" s="55">
        <f t="shared" si="0"/>
        <v>0</v>
      </c>
      <c r="I20" s="53">
        <v>7230</v>
      </c>
      <c r="J20" s="56">
        <v>50</v>
      </c>
      <c r="K20" s="55">
        <f t="shared" si="1"/>
        <v>361500</v>
      </c>
      <c r="L20" s="53"/>
      <c r="M20" s="57">
        <v>60</v>
      </c>
      <c r="N20" s="55">
        <f t="shared" si="2"/>
        <v>0</v>
      </c>
      <c r="O20" s="53">
        <v>3774</v>
      </c>
      <c r="P20" s="57">
        <v>12</v>
      </c>
      <c r="Q20" s="55">
        <f t="shared" si="3"/>
        <v>45288</v>
      </c>
      <c r="R20" s="53">
        <v>830</v>
      </c>
      <c r="S20" s="59">
        <v>12</v>
      </c>
      <c r="T20" s="55">
        <f t="shared" si="4"/>
        <v>9960</v>
      </c>
      <c r="U20" s="53">
        <v>609</v>
      </c>
      <c r="V20" s="57">
        <v>8</v>
      </c>
      <c r="W20" s="55">
        <f t="shared" si="5"/>
        <v>4872</v>
      </c>
      <c r="X20" s="53">
        <v>300</v>
      </c>
      <c r="Y20" s="57">
        <v>12</v>
      </c>
      <c r="Z20" s="55">
        <f t="shared" si="6"/>
        <v>3600</v>
      </c>
      <c r="AA20" s="53">
        <v>686</v>
      </c>
      <c r="AB20" s="57">
        <v>10</v>
      </c>
      <c r="AC20" s="55">
        <f t="shared" si="7"/>
        <v>6860</v>
      </c>
      <c r="AD20" s="53">
        <v>136</v>
      </c>
      <c r="AE20" s="57">
        <v>25</v>
      </c>
      <c r="AF20" s="55">
        <f t="shared" si="8"/>
        <v>3400</v>
      </c>
      <c r="AG20" s="53">
        <v>112</v>
      </c>
      <c r="AH20" s="57">
        <v>7.5</v>
      </c>
      <c r="AI20" s="55">
        <f t="shared" si="9"/>
        <v>840</v>
      </c>
      <c r="AJ20" s="53"/>
      <c r="AK20" s="56">
        <v>15</v>
      </c>
      <c r="AL20" s="55">
        <f t="shared" si="10"/>
        <v>0</v>
      </c>
      <c r="AM20" s="53">
        <v>143</v>
      </c>
      <c r="AN20" s="57">
        <v>10</v>
      </c>
      <c r="AO20" s="55">
        <f t="shared" si="11"/>
        <v>1430</v>
      </c>
      <c r="AP20" s="53">
        <f t="shared" si="12"/>
        <v>2816</v>
      </c>
      <c r="AQ20" s="53"/>
      <c r="AR20" s="61"/>
      <c r="AS20" s="53"/>
      <c r="AT20" s="53"/>
      <c r="AU20" s="55"/>
      <c r="AV20" s="53"/>
      <c r="AW20" s="53"/>
      <c r="AX20" s="66">
        <f>272+569+96+98+54+71</f>
        <v>1160</v>
      </c>
      <c r="AY20" s="53"/>
      <c r="AZ20" s="68">
        <f t="shared" si="13"/>
        <v>0.52199170124481331</v>
      </c>
      <c r="BA20" s="68">
        <f t="shared" si="14"/>
        <v>0.38948824343015215</v>
      </c>
      <c r="BB20" s="68">
        <f t="shared" si="15"/>
        <v>0.30736618971913088</v>
      </c>
      <c r="BC20" s="55">
        <f t="shared" si="16"/>
        <v>390192</v>
      </c>
      <c r="BD20" s="55">
        <f t="shared" si="17"/>
        <v>374860</v>
      </c>
      <c r="BE20" s="55">
        <f t="shared" si="18"/>
        <v>390192</v>
      </c>
      <c r="BF20" s="55">
        <f t="shared" si="19"/>
        <v>391032</v>
      </c>
      <c r="BG20" s="62">
        <v>459714</v>
      </c>
      <c r="BH20" s="63">
        <v>313454.75</v>
      </c>
      <c r="BI20" s="69">
        <f t="shared" si="20"/>
        <v>68.184730071305196</v>
      </c>
      <c r="BJ20" s="70">
        <f t="shared" si="21"/>
        <v>34309.5</v>
      </c>
      <c r="BK20" s="71">
        <f t="shared" si="22"/>
        <v>7.4632271368720554E-2</v>
      </c>
      <c r="BL20" s="72">
        <f>B20</f>
        <v>3</v>
      </c>
      <c r="BM20" s="61">
        <f t="shared" si="23"/>
        <v>41287.5</v>
      </c>
      <c r="BN20" s="69">
        <f t="shared" si="24"/>
        <v>3.6690695731153493</v>
      </c>
      <c r="BO20" s="73">
        <f t="shared" si="25"/>
        <v>0</v>
      </c>
      <c r="BP20" s="69" t="e">
        <f t="shared" si="26"/>
        <v>#DIV/0!</v>
      </c>
      <c r="BQ20" s="61">
        <f t="shared" si="27"/>
        <v>26750</v>
      </c>
      <c r="BR20" s="69">
        <f t="shared" si="28"/>
        <v>5.6630545794392519</v>
      </c>
      <c r="BS20" s="64">
        <f t="shared" si="29"/>
        <v>49139.709999999992</v>
      </c>
      <c r="BT20" s="69">
        <f t="shared" si="30"/>
        <v>3.0827758242773515</v>
      </c>
      <c r="BU20" s="65">
        <v>151486.71</v>
      </c>
      <c r="BV20" s="74">
        <f t="shared" si="31"/>
        <v>32.952381263133162</v>
      </c>
      <c r="BW20" s="75">
        <f t="shared" si="32"/>
        <v>-5227.4599999999919</v>
      </c>
      <c r="BX20" s="69">
        <f t="shared" si="33"/>
        <v>-1.1371113344383663</v>
      </c>
      <c r="BY20" s="55">
        <v>11344.5</v>
      </c>
      <c r="BZ20" s="55">
        <v>7955</v>
      </c>
      <c r="CA20" s="55">
        <v>12040</v>
      </c>
      <c r="CB20" s="55">
        <v>2970</v>
      </c>
      <c r="CC20" s="64">
        <v>41287.5</v>
      </c>
      <c r="CD20" s="64">
        <v>0</v>
      </c>
      <c r="CE20" s="64">
        <v>26750</v>
      </c>
      <c r="CF20" s="76">
        <f t="shared" si="34"/>
        <v>2.4677299364387423E-2</v>
      </c>
      <c r="CG20" s="76">
        <f t="shared" si="35"/>
        <v>1.7304236982123668E-2</v>
      </c>
      <c r="CH20" s="76">
        <f t="shared" si="36"/>
        <v>2.6190196513484469E-2</v>
      </c>
      <c r="CI20" s="76">
        <f t="shared" si="37"/>
        <v>6.4605385087249901E-3</v>
      </c>
      <c r="CJ20" s="76">
        <f t="shared" si="38"/>
        <v>8.9811273965987551E-2</v>
      </c>
      <c r="CK20" s="63">
        <f t="shared" si="39"/>
        <v>-1045.4919999999984</v>
      </c>
    </row>
    <row r="21" spans="1:89" ht="18.75" customHeight="1" x14ac:dyDescent="0.35">
      <c r="A21" s="50">
        <f t="shared" si="40"/>
        <v>14</v>
      </c>
      <c r="B21" s="51">
        <v>4</v>
      </c>
      <c r="C21" s="52" t="s">
        <v>99</v>
      </c>
      <c r="D21" s="52"/>
      <c r="E21" s="52"/>
      <c r="F21" s="53"/>
      <c r="G21" s="54">
        <v>40</v>
      </c>
      <c r="H21" s="55">
        <f t="shared" si="0"/>
        <v>0</v>
      </c>
      <c r="I21" s="53">
        <v>5935</v>
      </c>
      <c r="J21" s="56">
        <v>50</v>
      </c>
      <c r="K21" s="55">
        <f t="shared" si="1"/>
        <v>296750</v>
      </c>
      <c r="L21" s="53"/>
      <c r="M21" s="57">
        <v>60</v>
      </c>
      <c r="N21" s="55">
        <f t="shared" si="2"/>
        <v>0</v>
      </c>
      <c r="O21" s="53">
        <v>4815</v>
      </c>
      <c r="P21" s="57">
        <v>12</v>
      </c>
      <c r="Q21" s="55">
        <f t="shared" si="3"/>
        <v>57780</v>
      </c>
      <c r="R21" s="53">
        <v>6158</v>
      </c>
      <c r="S21" s="59">
        <v>12</v>
      </c>
      <c r="T21" s="55">
        <f t="shared" si="4"/>
        <v>73896</v>
      </c>
      <c r="U21" s="53">
        <v>594</v>
      </c>
      <c r="V21" s="57">
        <v>8</v>
      </c>
      <c r="W21" s="55">
        <f t="shared" si="5"/>
        <v>4752</v>
      </c>
      <c r="X21" s="53">
        <v>185</v>
      </c>
      <c r="Y21" s="57">
        <v>12</v>
      </c>
      <c r="Z21" s="55">
        <f t="shared" si="6"/>
        <v>2220</v>
      </c>
      <c r="AA21" s="53">
        <v>560</v>
      </c>
      <c r="AB21" s="57">
        <v>10</v>
      </c>
      <c r="AC21" s="55">
        <f t="shared" si="7"/>
        <v>5600</v>
      </c>
      <c r="AD21" s="53">
        <v>261</v>
      </c>
      <c r="AE21" s="57">
        <v>25</v>
      </c>
      <c r="AF21" s="55">
        <f t="shared" si="8"/>
        <v>6525</v>
      </c>
      <c r="AG21" s="53">
        <v>726</v>
      </c>
      <c r="AH21" s="57">
        <v>7.5</v>
      </c>
      <c r="AI21" s="55">
        <f t="shared" si="9"/>
        <v>5445</v>
      </c>
      <c r="AJ21" s="53"/>
      <c r="AK21" s="56">
        <v>15</v>
      </c>
      <c r="AL21" s="55">
        <f t="shared" si="10"/>
        <v>0</v>
      </c>
      <c r="AM21" s="53">
        <v>210</v>
      </c>
      <c r="AN21" s="57">
        <v>10</v>
      </c>
      <c r="AO21" s="55">
        <f t="shared" si="11"/>
        <v>2100</v>
      </c>
      <c r="AP21" s="53">
        <f t="shared" si="12"/>
        <v>8694</v>
      </c>
      <c r="AQ21" s="53"/>
      <c r="AR21" s="61"/>
      <c r="AS21" s="53"/>
      <c r="AT21" s="53"/>
      <c r="AU21" s="55"/>
      <c r="AV21" s="53"/>
      <c r="AW21" s="53"/>
      <c r="AX21" s="66">
        <f>863+108+167+63</f>
        <v>1201</v>
      </c>
      <c r="AY21" s="53"/>
      <c r="AZ21" s="68">
        <f t="shared" si="13"/>
        <v>0.81128896377422077</v>
      </c>
      <c r="BA21" s="68">
        <f t="shared" si="14"/>
        <v>1.4648694187026117</v>
      </c>
      <c r="BB21" s="68">
        <f t="shared" si="15"/>
        <v>0.24942886812045689</v>
      </c>
      <c r="BC21" s="55">
        <f t="shared" si="16"/>
        <v>389743</v>
      </c>
      <c r="BD21" s="55">
        <f t="shared" si="17"/>
        <v>377171</v>
      </c>
      <c r="BE21" s="55">
        <f t="shared" si="18"/>
        <v>389743</v>
      </c>
      <c r="BF21" s="55">
        <f t="shared" si="19"/>
        <v>395188</v>
      </c>
      <c r="BG21" s="62">
        <v>478890</v>
      </c>
      <c r="BH21" s="63">
        <v>318786.13</v>
      </c>
      <c r="BI21" s="69">
        <f t="shared" si="20"/>
        <v>66.567714924095313</v>
      </c>
      <c r="BJ21" s="70">
        <f t="shared" si="21"/>
        <v>38535</v>
      </c>
      <c r="BK21" s="71">
        <f t="shared" si="22"/>
        <v>8.0467330702248957E-2</v>
      </c>
      <c r="BL21" s="72">
        <v>3</v>
      </c>
      <c r="BM21" s="61">
        <f t="shared" si="23"/>
        <v>40800</v>
      </c>
      <c r="BN21" s="69">
        <f t="shared" si="24"/>
        <v>3.7934781862745099</v>
      </c>
      <c r="BO21" s="73">
        <f t="shared" si="25"/>
        <v>0</v>
      </c>
      <c r="BP21" s="69" t="e">
        <f t="shared" si="26"/>
        <v>#DIV/0!</v>
      </c>
      <c r="BQ21" s="61">
        <f t="shared" si="27"/>
        <v>35000</v>
      </c>
      <c r="BR21" s="69">
        <f t="shared" si="28"/>
        <v>4.4221117142857143</v>
      </c>
      <c r="BS21" s="64">
        <f t="shared" si="29"/>
        <v>40438.910000000003</v>
      </c>
      <c r="BT21" s="69">
        <f t="shared" si="30"/>
        <v>3.8273511823142607</v>
      </c>
      <c r="BU21" s="65">
        <v>154773.91</v>
      </c>
      <c r="BV21" s="74">
        <f t="shared" si="31"/>
        <v>32.319302971454825</v>
      </c>
      <c r="BW21" s="75">
        <f t="shared" si="32"/>
        <v>5329.9599999999919</v>
      </c>
      <c r="BX21" s="69">
        <f t="shared" si="33"/>
        <v>1.112982104449872</v>
      </c>
      <c r="BY21" s="55">
        <v>15051</v>
      </c>
      <c r="BZ21" s="55">
        <v>9546</v>
      </c>
      <c r="CA21" s="55">
        <v>10968</v>
      </c>
      <c r="CB21" s="55">
        <v>2970</v>
      </c>
      <c r="CC21" s="64">
        <v>40800</v>
      </c>
      <c r="CD21" s="64">
        <v>0</v>
      </c>
      <c r="CE21" s="64">
        <v>35000</v>
      </c>
      <c r="CF21" s="76">
        <f t="shared" si="34"/>
        <v>3.1428929399235736E-2</v>
      </c>
      <c r="CG21" s="76">
        <f t="shared" si="35"/>
        <v>1.9933596441771596E-2</v>
      </c>
      <c r="CH21" s="76">
        <f t="shared" si="36"/>
        <v>2.2902963102173778E-2</v>
      </c>
      <c r="CI21" s="76">
        <f t="shared" si="37"/>
        <v>6.2018417590678446E-3</v>
      </c>
      <c r="CJ21" s="76">
        <f t="shared" si="38"/>
        <v>8.5197018104366348E-2</v>
      </c>
      <c r="CK21" s="63">
        <f t="shared" si="39"/>
        <v>1065.9919999999984</v>
      </c>
    </row>
    <row r="22" spans="1:89" ht="18.75" customHeight="1" x14ac:dyDescent="0.35">
      <c r="A22" s="50">
        <f t="shared" si="40"/>
        <v>15</v>
      </c>
      <c r="B22" s="58">
        <v>9</v>
      </c>
      <c r="C22" s="52" t="s">
        <v>98</v>
      </c>
      <c r="D22" s="52"/>
      <c r="E22" s="52"/>
      <c r="F22" s="53"/>
      <c r="G22" s="54">
        <v>40</v>
      </c>
      <c r="H22" s="55">
        <f t="shared" si="0"/>
        <v>0</v>
      </c>
      <c r="I22" s="53">
        <v>20930</v>
      </c>
      <c r="J22" s="56">
        <v>50</v>
      </c>
      <c r="K22" s="55">
        <f t="shared" si="1"/>
        <v>1046500</v>
      </c>
      <c r="L22" s="53"/>
      <c r="M22" s="57">
        <v>60</v>
      </c>
      <c r="N22" s="55">
        <f t="shared" si="2"/>
        <v>0</v>
      </c>
      <c r="O22" s="53">
        <v>19374</v>
      </c>
      <c r="P22" s="57">
        <v>12</v>
      </c>
      <c r="Q22" s="55">
        <f t="shared" si="3"/>
        <v>232488</v>
      </c>
      <c r="R22" s="53">
        <v>0</v>
      </c>
      <c r="S22" s="59">
        <v>12</v>
      </c>
      <c r="T22" s="55">
        <f t="shared" si="4"/>
        <v>0</v>
      </c>
      <c r="U22" s="53">
        <v>3213</v>
      </c>
      <c r="V22" s="57">
        <v>8</v>
      </c>
      <c r="W22" s="55">
        <f t="shared" si="5"/>
        <v>25704</v>
      </c>
      <c r="X22" s="53">
        <v>863</v>
      </c>
      <c r="Y22" s="57">
        <v>12</v>
      </c>
      <c r="Z22" s="55">
        <f t="shared" si="6"/>
        <v>10356</v>
      </c>
      <c r="AA22" s="53">
        <v>2642</v>
      </c>
      <c r="AB22" s="57">
        <v>10</v>
      </c>
      <c r="AC22" s="55">
        <f t="shared" si="7"/>
        <v>26420</v>
      </c>
      <c r="AD22" s="53">
        <v>1153</v>
      </c>
      <c r="AE22" s="57">
        <v>25</v>
      </c>
      <c r="AF22" s="55">
        <f t="shared" si="8"/>
        <v>28825</v>
      </c>
      <c r="AG22" s="53">
        <v>647</v>
      </c>
      <c r="AH22" s="57">
        <v>7.5</v>
      </c>
      <c r="AI22" s="55">
        <f t="shared" si="9"/>
        <v>4852.5</v>
      </c>
      <c r="AJ22" s="53"/>
      <c r="AK22" s="56">
        <v>15</v>
      </c>
      <c r="AL22" s="55">
        <f t="shared" si="10"/>
        <v>0</v>
      </c>
      <c r="AM22" s="53">
        <v>828</v>
      </c>
      <c r="AN22" s="57">
        <v>10</v>
      </c>
      <c r="AO22" s="55">
        <f t="shared" si="11"/>
        <v>8280</v>
      </c>
      <c r="AP22" s="53">
        <f t="shared" si="12"/>
        <v>9346</v>
      </c>
      <c r="AQ22" s="53"/>
      <c r="AR22" s="61"/>
      <c r="AS22" s="53"/>
      <c r="AT22" s="53"/>
      <c r="AU22" s="55"/>
      <c r="AV22" s="53"/>
      <c r="AW22" s="53"/>
      <c r="AX22" s="66">
        <f>773+4442+807+633+323+132</f>
        <v>7110</v>
      </c>
      <c r="AY22" s="53"/>
      <c r="AZ22" s="68">
        <f t="shared" si="13"/>
        <v>0.92565695174390827</v>
      </c>
      <c r="BA22" s="68">
        <f t="shared" si="14"/>
        <v>0.44653607262302913</v>
      </c>
      <c r="BB22" s="68">
        <f t="shared" si="15"/>
        <v>0.36698668318364819</v>
      </c>
      <c r="BC22" s="55">
        <f t="shared" si="16"/>
        <v>1137805</v>
      </c>
      <c r="BD22" s="55">
        <f t="shared" si="17"/>
        <v>1075325</v>
      </c>
      <c r="BE22" s="55">
        <f t="shared" si="18"/>
        <v>1137805</v>
      </c>
      <c r="BF22" s="55">
        <f t="shared" si="19"/>
        <v>1142657.5</v>
      </c>
      <c r="BG22" s="62">
        <v>1523258.5</v>
      </c>
      <c r="BH22" s="63">
        <v>1027295.84</v>
      </c>
      <c r="BI22" s="69">
        <f t="shared" si="20"/>
        <v>67.440676680944179</v>
      </c>
      <c r="BJ22" s="70">
        <f t="shared" si="21"/>
        <v>84114</v>
      </c>
      <c r="BK22" s="71">
        <f t="shared" si="22"/>
        <v>5.5219780490310739E-2</v>
      </c>
      <c r="BL22" s="72">
        <f t="shared" ref="BL22:BL26" si="42">B22</f>
        <v>9</v>
      </c>
      <c r="BM22" s="61">
        <f t="shared" si="23"/>
        <v>109437.5</v>
      </c>
      <c r="BN22" s="69">
        <f t="shared" si="24"/>
        <v>3.0266997144488865</v>
      </c>
      <c r="BO22" s="73">
        <f t="shared" si="25"/>
        <v>0</v>
      </c>
      <c r="BP22" s="69" t="e">
        <f t="shared" si="26"/>
        <v>#DIV/0!</v>
      </c>
      <c r="BQ22" s="61">
        <f t="shared" si="27"/>
        <v>66150</v>
      </c>
      <c r="BR22" s="69">
        <f t="shared" si="28"/>
        <v>5.0073235071806499</v>
      </c>
      <c r="BS22" s="64">
        <f t="shared" si="29"/>
        <v>71532.950000000012</v>
      </c>
      <c r="BT22" s="69">
        <f t="shared" si="30"/>
        <v>4.6305157273675972</v>
      </c>
      <c r="BU22" s="65">
        <v>331234.45</v>
      </c>
      <c r="BV22" s="74">
        <f t="shared" si="31"/>
        <v>21.74512402195688</v>
      </c>
      <c r="BW22" s="75">
        <f t="shared" si="32"/>
        <v>164728.21000000002</v>
      </c>
      <c r="BX22" s="69">
        <f t="shared" si="33"/>
        <v>10.814199297098952</v>
      </c>
      <c r="BY22" s="55">
        <v>22689</v>
      </c>
      <c r="BZ22" s="55">
        <v>20683</v>
      </c>
      <c r="CA22" s="55">
        <v>33992</v>
      </c>
      <c r="CB22" s="55">
        <v>6750</v>
      </c>
      <c r="CC22" s="64">
        <v>109437.5</v>
      </c>
      <c r="CD22" s="64">
        <v>0</v>
      </c>
      <c r="CE22" s="64">
        <v>66150</v>
      </c>
      <c r="CF22" s="76">
        <f t="shared" si="34"/>
        <v>1.4895042436986238E-2</v>
      </c>
      <c r="CG22" s="76">
        <f t="shared" si="35"/>
        <v>1.3578128728643234E-2</v>
      </c>
      <c r="CH22" s="76">
        <f t="shared" si="36"/>
        <v>2.2315319428711542E-2</v>
      </c>
      <c r="CI22" s="76">
        <f t="shared" si="37"/>
        <v>4.4312898959697252E-3</v>
      </c>
      <c r="CJ22" s="76">
        <f t="shared" si="38"/>
        <v>7.1844338961509158E-2</v>
      </c>
      <c r="CK22" s="63">
        <f t="shared" si="39"/>
        <v>32945.642000000007</v>
      </c>
    </row>
    <row r="23" spans="1:89" ht="18.75" customHeight="1" x14ac:dyDescent="0.35">
      <c r="A23" s="50">
        <f t="shared" si="40"/>
        <v>16</v>
      </c>
      <c r="B23" s="58">
        <v>6</v>
      </c>
      <c r="C23" s="52" t="s">
        <v>117</v>
      </c>
      <c r="D23" s="52"/>
      <c r="E23" s="52"/>
      <c r="F23" s="53"/>
      <c r="G23" s="54">
        <v>40</v>
      </c>
      <c r="H23" s="55">
        <f t="shared" si="0"/>
        <v>0</v>
      </c>
      <c r="I23" s="53">
        <v>14186</v>
      </c>
      <c r="J23" s="56">
        <v>50</v>
      </c>
      <c r="K23" s="55">
        <f t="shared" si="1"/>
        <v>709300</v>
      </c>
      <c r="L23" s="53"/>
      <c r="M23" s="57">
        <v>60</v>
      </c>
      <c r="N23" s="55">
        <f t="shared" si="2"/>
        <v>0</v>
      </c>
      <c r="O23" s="53">
        <v>5704</v>
      </c>
      <c r="P23" s="57">
        <v>12</v>
      </c>
      <c r="Q23" s="55">
        <f t="shared" si="3"/>
        <v>68448</v>
      </c>
      <c r="R23" s="53"/>
      <c r="S23" s="59">
        <v>12</v>
      </c>
      <c r="T23" s="55">
        <f t="shared" si="4"/>
        <v>0</v>
      </c>
      <c r="U23" s="53">
        <v>918</v>
      </c>
      <c r="V23" s="57">
        <v>8</v>
      </c>
      <c r="W23" s="55">
        <f t="shared" si="5"/>
        <v>7344</v>
      </c>
      <c r="X23" s="53">
        <v>523</v>
      </c>
      <c r="Y23" s="57">
        <v>12</v>
      </c>
      <c r="Z23" s="55">
        <f t="shared" si="6"/>
        <v>6276</v>
      </c>
      <c r="AA23" s="53">
        <v>1256</v>
      </c>
      <c r="AB23" s="57">
        <v>10</v>
      </c>
      <c r="AC23" s="55">
        <f t="shared" si="7"/>
        <v>12560</v>
      </c>
      <c r="AD23" s="53">
        <v>180</v>
      </c>
      <c r="AE23" s="57">
        <v>25</v>
      </c>
      <c r="AF23" s="55">
        <f t="shared" si="8"/>
        <v>4500</v>
      </c>
      <c r="AG23" s="53">
        <v>435</v>
      </c>
      <c r="AH23" s="57">
        <v>7.5</v>
      </c>
      <c r="AI23" s="55">
        <f t="shared" si="9"/>
        <v>3262.5</v>
      </c>
      <c r="AJ23" s="53"/>
      <c r="AK23" s="56">
        <v>15</v>
      </c>
      <c r="AL23" s="55">
        <f t="shared" si="10"/>
        <v>0</v>
      </c>
      <c r="AM23" s="53"/>
      <c r="AN23" s="57">
        <v>10</v>
      </c>
      <c r="AO23" s="55">
        <f t="shared" si="11"/>
        <v>0</v>
      </c>
      <c r="AP23" s="53">
        <f t="shared" si="12"/>
        <v>3312</v>
      </c>
      <c r="AQ23" s="53"/>
      <c r="AR23" s="61"/>
      <c r="AS23" s="53"/>
      <c r="AT23" s="53"/>
      <c r="AU23" s="55"/>
      <c r="AV23" s="53"/>
      <c r="AW23" s="53"/>
      <c r="AX23" s="66">
        <v>2771</v>
      </c>
      <c r="AY23" s="53"/>
      <c r="AZ23" s="68">
        <f t="shared" si="13"/>
        <v>0.40208656421824335</v>
      </c>
      <c r="BA23" s="68">
        <f t="shared" si="14"/>
        <v>0.23346961793317356</v>
      </c>
      <c r="BB23" s="68">
        <f t="shared" si="15"/>
        <v>0.48579943899018235</v>
      </c>
      <c r="BC23" s="55">
        <f t="shared" si="16"/>
        <v>739980</v>
      </c>
      <c r="BD23" s="55">
        <f t="shared" si="17"/>
        <v>713800</v>
      </c>
      <c r="BE23" s="55">
        <f t="shared" si="18"/>
        <v>739980</v>
      </c>
      <c r="BF23" s="55">
        <f t="shared" si="19"/>
        <v>743242.5</v>
      </c>
      <c r="BG23" s="62">
        <v>865277.5</v>
      </c>
      <c r="BH23" s="63">
        <v>576217.25</v>
      </c>
      <c r="BI23" s="69">
        <f t="shared" si="20"/>
        <v>66.593347220978245</v>
      </c>
      <c r="BJ23" s="70">
        <f t="shared" si="21"/>
        <v>62361</v>
      </c>
      <c r="BK23" s="71">
        <f t="shared" si="22"/>
        <v>7.2070520728899107E-2</v>
      </c>
      <c r="BL23" s="72">
        <f t="shared" si="42"/>
        <v>6</v>
      </c>
      <c r="BM23" s="61">
        <f t="shared" si="23"/>
        <v>68450.5</v>
      </c>
      <c r="BN23" s="69">
        <f t="shared" si="24"/>
        <v>3.3185760513071489</v>
      </c>
      <c r="BO23" s="73">
        <f t="shared" si="25"/>
        <v>375</v>
      </c>
      <c r="BP23" s="69">
        <f t="shared" si="26"/>
        <v>605.75517333333335</v>
      </c>
      <c r="BQ23" s="61">
        <f t="shared" si="27"/>
        <v>26250</v>
      </c>
      <c r="BR23" s="69">
        <f t="shared" si="28"/>
        <v>8.6536453333333334</v>
      </c>
      <c r="BS23" s="64">
        <f t="shared" si="29"/>
        <v>69721.69</v>
      </c>
      <c r="BT23" s="69">
        <f t="shared" si="30"/>
        <v>3.258070623359818</v>
      </c>
      <c r="BU23" s="65">
        <v>227158.19</v>
      </c>
      <c r="BV23" s="74">
        <f t="shared" si="31"/>
        <v>26.252640337926273</v>
      </c>
      <c r="BW23" s="75">
        <f t="shared" si="32"/>
        <v>61902.06</v>
      </c>
      <c r="BX23" s="69">
        <f t="shared" si="33"/>
        <v>7.1540124410954871</v>
      </c>
      <c r="BY23" s="55">
        <v>22614</v>
      </c>
      <c r="BZ23" s="55">
        <v>14319</v>
      </c>
      <c r="CA23" s="55">
        <v>18138</v>
      </c>
      <c r="CB23" s="55">
        <v>7290</v>
      </c>
      <c r="CC23" s="64">
        <v>68450.5</v>
      </c>
      <c r="CD23" s="64">
        <v>375</v>
      </c>
      <c r="CE23" s="64">
        <v>26250</v>
      </c>
      <c r="CF23" s="76">
        <f t="shared" si="34"/>
        <v>2.6134968261627051E-2</v>
      </c>
      <c r="CG23" s="76">
        <f t="shared" si="35"/>
        <v>1.6548448330159976E-2</v>
      </c>
      <c r="CH23" s="76">
        <f t="shared" si="36"/>
        <v>2.0962061304032522E-2</v>
      </c>
      <c r="CI23" s="76">
        <f t="shared" si="37"/>
        <v>8.4250428330795608E-3</v>
      </c>
      <c r="CJ23" s="76">
        <f t="shared" si="38"/>
        <v>7.9108147386243138E-2</v>
      </c>
      <c r="CK23" s="63">
        <f t="shared" si="39"/>
        <v>12380.412</v>
      </c>
    </row>
    <row r="24" spans="1:89" ht="18.75" customHeight="1" x14ac:dyDescent="0.35">
      <c r="A24" s="50">
        <f t="shared" si="40"/>
        <v>17</v>
      </c>
      <c r="B24" s="51">
        <v>4</v>
      </c>
      <c r="C24" s="52" t="s">
        <v>213</v>
      </c>
      <c r="D24" s="52"/>
      <c r="E24" s="52"/>
      <c r="F24" s="53"/>
      <c r="G24" s="54">
        <v>40</v>
      </c>
      <c r="H24" s="55">
        <f t="shared" si="0"/>
        <v>0</v>
      </c>
      <c r="I24" s="53">
        <v>7380</v>
      </c>
      <c r="J24" s="56">
        <v>50</v>
      </c>
      <c r="K24" s="55">
        <f t="shared" si="1"/>
        <v>369000</v>
      </c>
      <c r="L24" s="53"/>
      <c r="M24" s="57">
        <v>60</v>
      </c>
      <c r="N24" s="55">
        <f t="shared" si="2"/>
        <v>0</v>
      </c>
      <c r="O24" s="53">
        <v>2781</v>
      </c>
      <c r="P24" s="57">
        <v>12</v>
      </c>
      <c r="Q24" s="55">
        <f t="shared" si="3"/>
        <v>33372</v>
      </c>
      <c r="R24" s="53">
        <v>320</v>
      </c>
      <c r="S24" s="59">
        <v>12</v>
      </c>
      <c r="T24" s="55">
        <f t="shared" si="4"/>
        <v>3840</v>
      </c>
      <c r="U24" s="53">
        <v>400</v>
      </c>
      <c r="V24" s="57">
        <v>8</v>
      </c>
      <c r="W24" s="55">
        <f t="shared" si="5"/>
        <v>3200</v>
      </c>
      <c r="X24" s="53">
        <v>275</v>
      </c>
      <c r="Y24" s="57">
        <v>12</v>
      </c>
      <c r="Z24" s="55">
        <f t="shared" si="6"/>
        <v>3300</v>
      </c>
      <c r="AA24" s="53">
        <v>675</v>
      </c>
      <c r="AB24" s="57">
        <v>10</v>
      </c>
      <c r="AC24" s="55">
        <f t="shared" si="7"/>
        <v>6750</v>
      </c>
      <c r="AD24" s="53">
        <v>25</v>
      </c>
      <c r="AE24" s="57">
        <v>25</v>
      </c>
      <c r="AF24" s="55">
        <f t="shared" si="8"/>
        <v>625</v>
      </c>
      <c r="AG24" s="53">
        <v>121</v>
      </c>
      <c r="AH24" s="57">
        <v>7.5</v>
      </c>
      <c r="AI24" s="55">
        <f t="shared" si="9"/>
        <v>907.5</v>
      </c>
      <c r="AJ24" s="53"/>
      <c r="AK24" s="56">
        <v>15</v>
      </c>
      <c r="AL24" s="55">
        <f t="shared" si="10"/>
        <v>0</v>
      </c>
      <c r="AM24" s="53">
        <v>41</v>
      </c>
      <c r="AN24" s="57">
        <v>10</v>
      </c>
      <c r="AO24" s="55">
        <f t="shared" si="11"/>
        <v>410</v>
      </c>
      <c r="AP24" s="53">
        <f t="shared" si="12"/>
        <v>1857</v>
      </c>
      <c r="AQ24" s="53"/>
      <c r="AR24" s="61"/>
      <c r="AS24" s="53"/>
      <c r="AT24" s="53"/>
      <c r="AU24" s="55"/>
      <c r="AV24" s="53"/>
      <c r="AW24" s="53"/>
      <c r="AX24" s="66">
        <v>1116</v>
      </c>
      <c r="AY24" s="53"/>
      <c r="AZ24" s="68">
        <f t="shared" si="13"/>
        <v>0.37682926829268293</v>
      </c>
      <c r="BA24" s="68">
        <f t="shared" si="14"/>
        <v>0.25162601626016262</v>
      </c>
      <c r="BB24" s="68">
        <f t="shared" si="15"/>
        <v>0.40129449838187703</v>
      </c>
      <c r="BC24" s="55">
        <f t="shared" si="16"/>
        <v>386715</v>
      </c>
      <c r="BD24" s="55">
        <f t="shared" si="17"/>
        <v>373465</v>
      </c>
      <c r="BE24" s="55">
        <f t="shared" si="18"/>
        <v>386715</v>
      </c>
      <c r="BF24" s="55">
        <f t="shared" si="19"/>
        <v>387622.5</v>
      </c>
      <c r="BG24" s="62">
        <v>443728.5</v>
      </c>
      <c r="BH24" s="63">
        <v>297820.02</v>
      </c>
      <c r="BI24" s="69">
        <f t="shared" si="20"/>
        <v>67.117622600306277</v>
      </c>
      <c r="BJ24" s="70">
        <f t="shared" si="21"/>
        <v>33485.5</v>
      </c>
      <c r="BK24" s="71">
        <f t="shared" si="22"/>
        <v>7.5463937971079156E-2</v>
      </c>
      <c r="BL24" s="72">
        <f t="shared" si="42"/>
        <v>4</v>
      </c>
      <c r="BM24" s="61">
        <f t="shared" si="23"/>
        <v>48350</v>
      </c>
      <c r="BN24" s="69">
        <f t="shared" si="24"/>
        <v>2.7352690796277148</v>
      </c>
      <c r="BO24" s="73">
        <f t="shared" si="25"/>
        <v>437</v>
      </c>
      <c r="BP24" s="69">
        <f t="shared" si="26"/>
        <v>302.63217391304352</v>
      </c>
      <c r="BQ24" s="61">
        <f t="shared" si="27"/>
        <v>10000</v>
      </c>
      <c r="BR24" s="69">
        <f t="shared" si="28"/>
        <v>13.225026000000002</v>
      </c>
      <c r="BS24" s="64">
        <f t="shared" si="29"/>
        <v>39977.760000000009</v>
      </c>
      <c r="BT24" s="69">
        <f t="shared" si="30"/>
        <v>3.3080958012655031</v>
      </c>
      <c r="BU24" s="65">
        <v>132250.26</v>
      </c>
      <c r="BV24" s="74">
        <f t="shared" si="31"/>
        <v>29.804319533228092</v>
      </c>
      <c r="BW24" s="75">
        <f t="shared" si="32"/>
        <v>13658.219999999972</v>
      </c>
      <c r="BX24" s="69">
        <f t="shared" si="33"/>
        <v>3.0780578664656368</v>
      </c>
      <c r="BY24" s="55">
        <v>11269.5</v>
      </c>
      <c r="BZ24" s="55">
        <v>9546</v>
      </c>
      <c r="CA24" s="55">
        <v>9700</v>
      </c>
      <c r="CB24" s="55">
        <v>2970</v>
      </c>
      <c r="CC24" s="64">
        <v>48350</v>
      </c>
      <c r="CD24" s="64">
        <v>437</v>
      </c>
      <c r="CE24" s="64">
        <v>10000</v>
      </c>
      <c r="CF24" s="76">
        <f t="shared" si="34"/>
        <v>2.539728685446168E-2</v>
      </c>
      <c r="CG24" s="76">
        <f t="shared" si="35"/>
        <v>2.1513155003566369E-2</v>
      </c>
      <c r="CH24" s="76">
        <f t="shared" si="36"/>
        <v>2.1860214072343787E-2</v>
      </c>
      <c r="CI24" s="76">
        <f t="shared" si="37"/>
        <v>6.6932820407073247E-3</v>
      </c>
      <c r="CJ24" s="76">
        <f t="shared" si="38"/>
        <v>0.10896302581420847</v>
      </c>
      <c r="CK24" s="63">
        <f t="shared" si="39"/>
        <v>2731.6439999999948</v>
      </c>
    </row>
    <row r="25" spans="1:89" ht="18.75" customHeight="1" x14ac:dyDescent="0.35">
      <c r="A25" s="50">
        <f t="shared" si="40"/>
        <v>18</v>
      </c>
      <c r="B25" s="51">
        <v>6</v>
      </c>
      <c r="C25" s="52" t="s">
        <v>112</v>
      </c>
      <c r="D25" s="52"/>
      <c r="E25" s="52"/>
      <c r="F25" s="53"/>
      <c r="G25" s="54">
        <v>40</v>
      </c>
      <c r="H25" s="55">
        <f t="shared" si="0"/>
        <v>0</v>
      </c>
      <c r="I25" s="53">
        <v>15297</v>
      </c>
      <c r="J25" s="56">
        <v>50</v>
      </c>
      <c r="K25" s="55">
        <f t="shared" si="1"/>
        <v>764850</v>
      </c>
      <c r="L25" s="53"/>
      <c r="M25" s="57">
        <v>60</v>
      </c>
      <c r="N25" s="55">
        <f t="shared" si="2"/>
        <v>0</v>
      </c>
      <c r="O25" s="53">
        <v>7934</v>
      </c>
      <c r="P25" s="57">
        <v>12</v>
      </c>
      <c r="Q25" s="55">
        <f t="shared" si="3"/>
        <v>95208</v>
      </c>
      <c r="R25" s="53">
        <v>570</v>
      </c>
      <c r="S25" s="59">
        <v>12</v>
      </c>
      <c r="T25" s="55">
        <f t="shared" si="4"/>
        <v>6840</v>
      </c>
      <c r="U25" s="53">
        <v>882</v>
      </c>
      <c r="V25" s="57">
        <v>8</v>
      </c>
      <c r="W25" s="55">
        <f t="shared" si="5"/>
        <v>7056</v>
      </c>
      <c r="X25" s="53">
        <v>343</v>
      </c>
      <c r="Y25" s="57">
        <v>12</v>
      </c>
      <c r="Z25" s="55">
        <f t="shared" si="6"/>
        <v>4116</v>
      </c>
      <c r="AA25" s="53">
        <v>1414</v>
      </c>
      <c r="AB25" s="57">
        <v>10</v>
      </c>
      <c r="AC25" s="55">
        <f t="shared" si="7"/>
        <v>14140</v>
      </c>
      <c r="AD25" s="53">
        <v>255</v>
      </c>
      <c r="AE25" s="57">
        <v>25</v>
      </c>
      <c r="AF25" s="55">
        <f t="shared" si="8"/>
        <v>6375</v>
      </c>
      <c r="AG25" s="53">
        <v>238</v>
      </c>
      <c r="AH25" s="57">
        <v>7.5</v>
      </c>
      <c r="AI25" s="55">
        <f t="shared" si="9"/>
        <v>1785</v>
      </c>
      <c r="AJ25" s="53"/>
      <c r="AK25" s="56">
        <v>15</v>
      </c>
      <c r="AL25" s="55">
        <f t="shared" si="10"/>
        <v>0</v>
      </c>
      <c r="AM25" s="53">
        <v>236</v>
      </c>
      <c r="AN25" s="57">
        <v>10</v>
      </c>
      <c r="AO25" s="55">
        <f t="shared" si="11"/>
        <v>2360</v>
      </c>
      <c r="AP25" s="53">
        <f t="shared" si="12"/>
        <v>3938</v>
      </c>
      <c r="AQ25" s="53"/>
      <c r="AR25" s="61"/>
      <c r="AS25" s="53"/>
      <c r="AT25" s="53"/>
      <c r="AU25" s="55"/>
      <c r="AV25" s="53"/>
      <c r="AW25" s="53"/>
      <c r="AX25" s="66">
        <v>2238</v>
      </c>
      <c r="AY25" s="53"/>
      <c r="AZ25" s="68">
        <f t="shared" si="13"/>
        <v>0.51866379028567688</v>
      </c>
      <c r="BA25" s="68">
        <f t="shared" si="14"/>
        <v>0.25743609858142119</v>
      </c>
      <c r="BB25" s="68">
        <f t="shared" si="15"/>
        <v>0.28207713637509452</v>
      </c>
      <c r="BC25" s="55">
        <f t="shared" si="16"/>
        <v>803377</v>
      </c>
      <c r="BD25" s="55">
        <f t="shared" si="17"/>
        <v>778065</v>
      </c>
      <c r="BE25" s="55">
        <f t="shared" si="18"/>
        <v>803377</v>
      </c>
      <c r="BF25" s="55">
        <f t="shared" si="19"/>
        <v>805162</v>
      </c>
      <c r="BG25" s="62">
        <v>949112</v>
      </c>
      <c r="BH25" s="63">
        <v>651073.29</v>
      </c>
      <c r="BI25" s="69">
        <f t="shared" si="20"/>
        <v>68.598151746053148</v>
      </c>
      <c r="BJ25" s="70">
        <f t="shared" si="21"/>
        <v>56647</v>
      </c>
      <c r="BK25" s="71">
        <f t="shared" si="22"/>
        <v>5.9684210082687816E-2</v>
      </c>
      <c r="BL25" s="72">
        <f t="shared" si="42"/>
        <v>6</v>
      </c>
      <c r="BM25" s="61">
        <f t="shared" si="23"/>
        <v>67037.5</v>
      </c>
      <c r="BN25" s="69">
        <f t="shared" si="24"/>
        <v>2.8291526384486296</v>
      </c>
      <c r="BO25" s="73">
        <f t="shared" si="25"/>
        <v>0</v>
      </c>
      <c r="BP25" s="69" t="e">
        <f t="shared" si="26"/>
        <v>#DIV/0!</v>
      </c>
      <c r="BQ25" s="61">
        <f t="shared" si="27"/>
        <v>25000</v>
      </c>
      <c r="BR25" s="69">
        <f t="shared" si="28"/>
        <v>7.5863728000000004</v>
      </c>
      <c r="BS25" s="64">
        <f t="shared" si="29"/>
        <v>40974.820000000007</v>
      </c>
      <c r="BT25" s="69">
        <f t="shared" si="30"/>
        <v>4.628679759911086</v>
      </c>
      <c r="BU25" s="65">
        <v>189659.32</v>
      </c>
      <c r="BV25" s="74">
        <f t="shared" si="31"/>
        <v>19.982817623209904</v>
      </c>
      <c r="BW25" s="75">
        <f t="shared" si="32"/>
        <v>108379.38999999996</v>
      </c>
      <c r="BX25" s="69">
        <f t="shared" si="33"/>
        <v>11.419030630736936</v>
      </c>
      <c r="BY25" s="55">
        <v>15053</v>
      </c>
      <c r="BZ25" s="55">
        <v>14319</v>
      </c>
      <c r="CA25" s="55">
        <v>21875</v>
      </c>
      <c r="CB25" s="55">
        <v>5400</v>
      </c>
      <c r="CC25" s="64">
        <v>67037.5</v>
      </c>
      <c r="CD25" s="64"/>
      <c r="CE25" s="64">
        <v>25000</v>
      </c>
      <c r="CF25" s="76">
        <f t="shared" si="34"/>
        <v>1.5860088166623116E-2</v>
      </c>
      <c r="CG25" s="76">
        <f t="shared" si="35"/>
        <v>1.5086733704768247E-2</v>
      </c>
      <c r="CH25" s="76">
        <f t="shared" si="36"/>
        <v>2.3047859472854627E-2</v>
      </c>
      <c r="CI25" s="76">
        <f t="shared" si="37"/>
        <v>5.6895287384418278E-3</v>
      </c>
      <c r="CJ25" s="76">
        <f t="shared" si="38"/>
        <v>7.0631811630239641E-2</v>
      </c>
      <c r="CK25" s="63">
        <f t="shared" si="39"/>
        <v>21675.877999999993</v>
      </c>
    </row>
    <row r="26" spans="1:89" ht="18.75" customHeight="1" x14ac:dyDescent="0.35">
      <c r="A26" s="50">
        <f t="shared" si="40"/>
        <v>19</v>
      </c>
      <c r="B26" s="58">
        <v>9</v>
      </c>
      <c r="C26" s="52" t="s">
        <v>104</v>
      </c>
      <c r="D26" s="52"/>
      <c r="E26" s="52"/>
      <c r="F26" s="53"/>
      <c r="G26" s="54">
        <v>40</v>
      </c>
      <c r="H26" s="55">
        <f t="shared" si="0"/>
        <v>0</v>
      </c>
      <c r="I26" s="53">
        <v>20605</v>
      </c>
      <c r="J26" s="56">
        <v>50</v>
      </c>
      <c r="K26" s="55">
        <f t="shared" si="1"/>
        <v>1030250</v>
      </c>
      <c r="L26" s="53"/>
      <c r="M26" s="57">
        <v>60</v>
      </c>
      <c r="N26" s="55">
        <f t="shared" si="2"/>
        <v>0</v>
      </c>
      <c r="O26" s="53">
        <v>19010</v>
      </c>
      <c r="P26" s="57">
        <v>12</v>
      </c>
      <c r="Q26" s="55">
        <f t="shared" si="3"/>
        <v>228120</v>
      </c>
      <c r="R26" s="53"/>
      <c r="S26" s="59">
        <v>12</v>
      </c>
      <c r="T26" s="55">
        <f>R26*U26</f>
        <v>0</v>
      </c>
      <c r="U26" s="53">
        <v>2538</v>
      </c>
      <c r="V26" s="57">
        <v>8</v>
      </c>
      <c r="W26" s="55">
        <f t="shared" si="5"/>
        <v>20304</v>
      </c>
      <c r="X26" s="53">
        <v>1112</v>
      </c>
      <c r="Y26" s="57">
        <v>12</v>
      </c>
      <c r="Z26" s="55">
        <f t="shared" si="6"/>
        <v>13344</v>
      </c>
      <c r="AA26" s="53">
        <v>2586</v>
      </c>
      <c r="AB26" s="57">
        <v>10</v>
      </c>
      <c r="AC26" s="55">
        <f t="shared" si="7"/>
        <v>25860</v>
      </c>
      <c r="AD26" s="53">
        <v>650</v>
      </c>
      <c r="AE26" s="57">
        <v>25</v>
      </c>
      <c r="AF26" s="55">
        <f t="shared" si="8"/>
        <v>16250</v>
      </c>
      <c r="AG26" s="53">
        <v>823</v>
      </c>
      <c r="AH26" s="57">
        <v>7.5</v>
      </c>
      <c r="AI26" s="55">
        <f t="shared" si="9"/>
        <v>6172.5</v>
      </c>
      <c r="AJ26" s="53"/>
      <c r="AK26" s="56">
        <v>15</v>
      </c>
      <c r="AL26" s="55">
        <f t="shared" si="10"/>
        <v>0</v>
      </c>
      <c r="AM26" s="53">
        <v>528</v>
      </c>
      <c r="AN26" s="57">
        <v>10</v>
      </c>
      <c r="AO26" s="55">
        <f t="shared" si="11"/>
        <v>5280</v>
      </c>
      <c r="AP26" s="53">
        <f t="shared" si="12"/>
        <v>8237</v>
      </c>
      <c r="AQ26" s="53"/>
      <c r="AR26" s="61"/>
      <c r="AS26" s="53"/>
      <c r="AT26" s="53"/>
      <c r="AU26" s="55"/>
      <c r="AV26" s="53"/>
      <c r="AW26" s="53"/>
      <c r="AX26" s="66">
        <v>4529</v>
      </c>
      <c r="AY26" s="53"/>
      <c r="AZ26" s="68">
        <f t="shared" si="13"/>
        <v>0.92259160397961659</v>
      </c>
      <c r="BA26" s="68">
        <f t="shared" si="14"/>
        <v>0.39975734045134675</v>
      </c>
      <c r="BB26" s="68">
        <f t="shared" si="15"/>
        <v>0.23824302998421884</v>
      </c>
      <c r="BC26" s="55">
        <f t="shared" si="16"/>
        <v>1106008</v>
      </c>
      <c r="BD26" s="55">
        <f t="shared" si="17"/>
        <v>1046500</v>
      </c>
      <c r="BE26" s="55">
        <f t="shared" si="18"/>
        <v>1106008</v>
      </c>
      <c r="BF26" s="55">
        <f t="shared" si="19"/>
        <v>1112180.5</v>
      </c>
      <c r="BG26" s="62">
        <v>1435576.5</v>
      </c>
      <c r="BH26" s="63">
        <v>974732.79</v>
      </c>
      <c r="BI26" s="69">
        <f t="shared" si="20"/>
        <v>67.898352334410603</v>
      </c>
      <c r="BJ26" s="70">
        <f t="shared" si="21"/>
        <v>82235.5</v>
      </c>
      <c r="BK26" s="71">
        <f t="shared" si="22"/>
        <v>5.7283955261179048E-2</v>
      </c>
      <c r="BL26" s="72">
        <f t="shared" si="42"/>
        <v>9</v>
      </c>
      <c r="BM26" s="61">
        <f t="shared" si="23"/>
        <v>103590</v>
      </c>
      <c r="BN26" s="69">
        <f t="shared" si="24"/>
        <v>2.7905322907616563</v>
      </c>
      <c r="BO26" s="73">
        <f t="shared" si="25"/>
        <v>62.5</v>
      </c>
      <c r="BP26" s="69">
        <f t="shared" si="26"/>
        <v>4625.1398399999998</v>
      </c>
      <c r="BQ26" s="61">
        <f t="shared" si="27"/>
        <v>38217.86</v>
      </c>
      <c r="BR26" s="69">
        <f t="shared" si="28"/>
        <v>7.5637735864854809</v>
      </c>
      <c r="BS26" s="64">
        <f t="shared" si="29"/>
        <v>64965.380000000005</v>
      </c>
      <c r="BT26" s="69">
        <f t="shared" si="30"/>
        <v>4.4496197821054837</v>
      </c>
      <c r="BU26" s="65">
        <v>289071.24</v>
      </c>
      <c r="BV26" s="74">
        <f t="shared" si="31"/>
        <v>20.136247702578025</v>
      </c>
      <c r="BW26" s="75">
        <f t="shared" si="32"/>
        <v>171772.46999999997</v>
      </c>
      <c r="BX26" s="69">
        <f t="shared" si="33"/>
        <v>11.965399963011373</v>
      </c>
      <c r="BY26" s="55">
        <v>26395.5</v>
      </c>
      <c r="BZ26" s="55">
        <v>22274</v>
      </c>
      <c r="CA26" s="55">
        <v>27896</v>
      </c>
      <c r="CB26" s="55">
        <v>5670</v>
      </c>
      <c r="CC26" s="64">
        <v>103590</v>
      </c>
      <c r="CD26" s="64">
        <v>62.5</v>
      </c>
      <c r="CE26" s="64">
        <v>38217.86</v>
      </c>
      <c r="CF26" s="76">
        <f t="shared" si="34"/>
        <v>1.8386689946512776E-2</v>
      </c>
      <c r="CG26" s="76">
        <f t="shared" si="35"/>
        <v>1.5515717901484177E-2</v>
      </c>
      <c r="CH26" s="76">
        <f t="shared" si="36"/>
        <v>1.9431914634991589E-2</v>
      </c>
      <c r="CI26" s="76">
        <f t="shared" si="37"/>
        <v>3.949632778190504E-3</v>
      </c>
      <c r="CJ26" s="76">
        <f t="shared" si="38"/>
        <v>7.2159163931702699E-2</v>
      </c>
      <c r="CK26" s="63">
        <f t="shared" si="39"/>
        <v>34354.493999999999</v>
      </c>
    </row>
    <row r="27" spans="1:89" ht="18.75" customHeight="1" x14ac:dyDescent="0.35">
      <c r="A27" s="50">
        <f t="shared" si="40"/>
        <v>20</v>
      </c>
      <c r="B27" s="51">
        <v>5</v>
      </c>
      <c r="C27" s="52" t="s">
        <v>206</v>
      </c>
      <c r="D27" s="52"/>
      <c r="E27" s="52"/>
      <c r="F27" s="53"/>
      <c r="G27" s="54">
        <v>40</v>
      </c>
      <c r="H27" s="55">
        <f t="shared" si="0"/>
        <v>0</v>
      </c>
      <c r="I27" s="53">
        <v>10752</v>
      </c>
      <c r="J27" s="56">
        <v>50</v>
      </c>
      <c r="K27" s="55">
        <f t="shared" si="1"/>
        <v>537600</v>
      </c>
      <c r="L27" s="53"/>
      <c r="M27" s="57">
        <v>60</v>
      </c>
      <c r="N27" s="55">
        <f t="shared" si="2"/>
        <v>0</v>
      </c>
      <c r="O27" s="53">
        <v>3337</v>
      </c>
      <c r="P27" s="57">
        <v>12</v>
      </c>
      <c r="Q27" s="55">
        <f t="shared" si="3"/>
        <v>40044</v>
      </c>
      <c r="R27" s="53">
        <v>1860</v>
      </c>
      <c r="S27" s="59">
        <v>12</v>
      </c>
      <c r="T27" s="55">
        <f t="shared" ref="T27:T42" si="43">R27*S27</f>
        <v>22320</v>
      </c>
      <c r="U27" s="53">
        <v>874</v>
      </c>
      <c r="V27" s="57">
        <v>8</v>
      </c>
      <c r="W27" s="55">
        <f t="shared" si="5"/>
        <v>6992</v>
      </c>
      <c r="X27" s="53">
        <v>250</v>
      </c>
      <c r="Y27" s="57">
        <v>12</v>
      </c>
      <c r="Z27" s="55">
        <f t="shared" si="6"/>
        <v>3000</v>
      </c>
      <c r="AA27" s="53">
        <v>857</v>
      </c>
      <c r="AB27" s="57">
        <v>10</v>
      </c>
      <c r="AC27" s="55">
        <f t="shared" si="7"/>
        <v>8570</v>
      </c>
      <c r="AD27" s="53">
        <v>101</v>
      </c>
      <c r="AE27" s="57">
        <v>25</v>
      </c>
      <c r="AF27" s="55">
        <f t="shared" si="8"/>
        <v>2525</v>
      </c>
      <c r="AG27" s="53">
        <v>136</v>
      </c>
      <c r="AH27" s="57">
        <v>7.5</v>
      </c>
      <c r="AI27" s="55">
        <f t="shared" si="9"/>
        <v>1020</v>
      </c>
      <c r="AJ27" s="53"/>
      <c r="AK27" s="56">
        <v>15</v>
      </c>
      <c r="AL27" s="55">
        <f t="shared" si="10"/>
        <v>0</v>
      </c>
      <c r="AM27" s="53">
        <v>214</v>
      </c>
      <c r="AN27" s="57">
        <v>10</v>
      </c>
      <c r="AO27" s="55">
        <f t="shared" si="11"/>
        <v>2140</v>
      </c>
      <c r="AP27" s="53">
        <f t="shared" si="12"/>
        <v>4292</v>
      </c>
      <c r="AQ27" s="53"/>
      <c r="AR27" s="61"/>
      <c r="AS27" s="53"/>
      <c r="AT27" s="53"/>
      <c r="AU27" s="55"/>
      <c r="AV27" s="53"/>
      <c r="AW27" s="53"/>
      <c r="AX27" s="66">
        <v>2530</v>
      </c>
      <c r="AY27" s="53"/>
      <c r="AZ27" s="68">
        <f t="shared" si="13"/>
        <v>0.31036086309523808</v>
      </c>
      <c r="BA27" s="68">
        <f t="shared" si="14"/>
        <v>0.39918154761904762</v>
      </c>
      <c r="BB27" s="68">
        <f t="shared" si="15"/>
        <v>0.75816601738088107</v>
      </c>
      <c r="BC27" s="55">
        <f t="shared" si="16"/>
        <v>581007</v>
      </c>
      <c r="BD27" s="55">
        <f t="shared" si="17"/>
        <v>562445</v>
      </c>
      <c r="BE27" s="55">
        <f t="shared" si="18"/>
        <v>581007</v>
      </c>
      <c r="BF27" s="55">
        <f t="shared" si="19"/>
        <v>582027</v>
      </c>
      <c r="BG27" s="62">
        <v>673856</v>
      </c>
      <c r="BH27" s="63">
        <v>452949.99</v>
      </c>
      <c r="BI27" s="69">
        <f t="shared" si="20"/>
        <v>67.217623646595115</v>
      </c>
      <c r="BJ27" s="70">
        <f t="shared" si="21"/>
        <v>49373.5</v>
      </c>
      <c r="BK27" s="71">
        <f t="shared" si="22"/>
        <v>7.3270105185677656E-2</v>
      </c>
      <c r="BL27" s="72">
        <v>4</v>
      </c>
      <c r="BM27" s="61">
        <f t="shared" si="23"/>
        <v>47426</v>
      </c>
      <c r="BN27" s="69">
        <f t="shared" si="24"/>
        <v>3.3108474254628262</v>
      </c>
      <c r="BO27" s="73">
        <f t="shared" si="25"/>
        <v>437</v>
      </c>
      <c r="BP27" s="69">
        <f t="shared" si="26"/>
        <v>359.31407322654462</v>
      </c>
      <c r="BQ27" s="61">
        <f t="shared" si="27"/>
        <v>16000</v>
      </c>
      <c r="BR27" s="69">
        <f t="shared" si="28"/>
        <v>9.8137656250000003</v>
      </c>
      <c r="BS27" s="64">
        <f t="shared" si="29"/>
        <v>43783.75</v>
      </c>
      <c r="BT27" s="69">
        <f t="shared" si="30"/>
        <v>3.5862677363176978</v>
      </c>
      <c r="BU27" s="65">
        <v>157020.25</v>
      </c>
      <c r="BV27" s="74">
        <f t="shared" si="31"/>
        <v>23.301751412764744</v>
      </c>
      <c r="BW27" s="75">
        <f t="shared" si="32"/>
        <v>63885.760000000009</v>
      </c>
      <c r="BX27" s="69">
        <f t="shared" si="33"/>
        <v>9.4806249406401371</v>
      </c>
      <c r="BY27" s="55">
        <v>18832.5</v>
      </c>
      <c r="BZ27" s="55">
        <v>11137</v>
      </c>
      <c r="CA27" s="55">
        <v>14544</v>
      </c>
      <c r="CB27" s="55">
        <v>4860</v>
      </c>
      <c r="CC27" s="55">
        <v>47426</v>
      </c>
      <c r="CD27" s="64">
        <v>437</v>
      </c>
      <c r="CE27" s="64">
        <v>16000</v>
      </c>
      <c r="CF27" s="76">
        <f t="shared" si="34"/>
        <v>2.7947365609269637E-2</v>
      </c>
      <c r="CG27" s="76">
        <f t="shared" si="35"/>
        <v>1.6527269921170103E-2</v>
      </c>
      <c r="CH27" s="76">
        <f t="shared" si="36"/>
        <v>2.1583246272200589E-2</v>
      </c>
      <c r="CI27" s="76">
        <f t="shared" si="37"/>
        <v>7.2122233830373252E-3</v>
      </c>
      <c r="CJ27" s="76">
        <f t="shared" si="38"/>
        <v>7.0380021844429666E-2</v>
      </c>
      <c r="CK27" s="63">
        <f t="shared" si="39"/>
        <v>12777.152000000002</v>
      </c>
    </row>
    <row r="28" spans="1:89" ht="18.75" customHeight="1" x14ac:dyDescent="0.35">
      <c r="A28" s="50">
        <f t="shared" si="40"/>
        <v>21</v>
      </c>
      <c r="B28" s="51">
        <v>4</v>
      </c>
      <c r="C28" s="52" t="s">
        <v>215</v>
      </c>
      <c r="D28" s="52"/>
      <c r="E28" s="52"/>
      <c r="F28" s="53"/>
      <c r="G28" s="54">
        <v>40</v>
      </c>
      <c r="H28" s="55">
        <f t="shared" si="0"/>
        <v>0</v>
      </c>
      <c r="I28" s="53">
        <v>8421</v>
      </c>
      <c r="J28" s="56">
        <v>50</v>
      </c>
      <c r="K28" s="55">
        <f t="shared" si="1"/>
        <v>421050</v>
      </c>
      <c r="L28" s="53"/>
      <c r="M28" s="57">
        <v>60</v>
      </c>
      <c r="N28" s="55">
        <f t="shared" si="2"/>
        <v>0</v>
      </c>
      <c r="O28" s="53">
        <v>3758</v>
      </c>
      <c r="P28" s="57">
        <v>12</v>
      </c>
      <c r="Q28" s="55">
        <f t="shared" si="3"/>
        <v>45096</v>
      </c>
      <c r="R28" s="53">
        <v>2160</v>
      </c>
      <c r="S28" s="59">
        <v>12</v>
      </c>
      <c r="T28" s="55">
        <f t="shared" si="43"/>
        <v>25920</v>
      </c>
      <c r="U28" s="53">
        <v>984</v>
      </c>
      <c r="V28" s="57">
        <v>8</v>
      </c>
      <c r="W28" s="55">
        <f t="shared" si="5"/>
        <v>7872</v>
      </c>
      <c r="X28" s="53">
        <v>907</v>
      </c>
      <c r="Y28" s="57">
        <v>12</v>
      </c>
      <c r="Z28" s="55">
        <f t="shared" si="6"/>
        <v>10884</v>
      </c>
      <c r="AA28" s="53">
        <v>1468</v>
      </c>
      <c r="AB28" s="57">
        <v>10</v>
      </c>
      <c r="AC28" s="55">
        <f t="shared" si="7"/>
        <v>14680</v>
      </c>
      <c r="AD28" s="53">
        <v>295</v>
      </c>
      <c r="AE28" s="57">
        <v>25</v>
      </c>
      <c r="AF28" s="55">
        <f t="shared" si="8"/>
        <v>7375</v>
      </c>
      <c r="AG28" s="53">
        <v>750</v>
      </c>
      <c r="AH28" s="57">
        <v>7.5</v>
      </c>
      <c r="AI28" s="55">
        <f t="shared" si="9"/>
        <v>5625</v>
      </c>
      <c r="AJ28" s="53"/>
      <c r="AK28" s="56">
        <v>15</v>
      </c>
      <c r="AL28" s="55">
        <f t="shared" si="10"/>
        <v>0</v>
      </c>
      <c r="AM28" s="53"/>
      <c r="AN28" s="57">
        <v>10</v>
      </c>
      <c r="AO28" s="55">
        <f t="shared" si="11"/>
        <v>0</v>
      </c>
      <c r="AP28" s="53">
        <f t="shared" si="12"/>
        <v>6564</v>
      </c>
      <c r="AQ28" s="53"/>
      <c r="AR28" s="61"/>
      <c r="AS28" s="53"/>
      <c r="AT28" s="53"/>
      <c r="AU28" s="55"/>
      <c r="AV28" s="53"/>
      <c r="AW28" s="53"/>
      <c r="AX28" s="66">
        <v>1804</v>
      </c>
      <c r="AY28" s="53"/>
      <c r="AZ28" s="68">
        <f t="shared" si="13"/>
        <v>0.44626528915805724</v>
      </c>
      <c r="BA28" s="68">
        <f t="shared" si="14"/>
        <v>0.77947987174919842</v>
      </c>
      <c r="BB28" s="68">
        <f t="shared" si="15"/>
        <v>0.4800425758382118</v>
      </c>
      <c r="BC28" s="55">
        <f t="shared" si="16"/>
        <v>487781</v>
      </c>
      <c r="BD28" s="55">
        <f t="shared" si="17"/>
        <v>454345</v>
      </c>
      <c r="BE28" s="55">
        <f t="shared" si="18"/>
        <v>487781</v>
      </c>
      <c r="BF28" s="55">
        <f t="shared" si="19"/>
        <v>493406</v>
      </c>
      <c r="BG28" s="62">
        <v>572889</v>
      </c>
      <c r="BH28" s="63">
        <v>382958.92</v>
      </c>
      <c r="BI28" s="69">
        <f t="shared" si="20"/>
        <v>66.846966864436212</v>
      </c>
      <c r="BJ28" s="70">
        <f t="shared" si="21"/>
        <v>35928</v>
      </c>
      <c r="BK28" s="71">
        <f t="shared" si="22"/>
        <v>6.2713719411613772E-2</v>
      </c>
      <c r="BL28" s="72">
        <f t="shared" ref="BL28:BL29" si="44">B28</f>
        <v>4</v>
      </c>
      <c r="BM28" s="61">
        <f t="shared" si="23"/>
        <v>49444</v>
      </c>
      <c r="BN28" s="69">
        <f t="shared" si="24"/>
        <v>2.524969055901626</v>
      </c>
      <c r="BO28" s="73">
        <f t="shared" si="25"/>
        <v>256</v>
      </c>
      <c r="BP28" s="69">
        <f t="shared" si="26"/>
        <v>487.67410156250003</v>
      </c>
      <c r="BQ28" s="61">
        <f t="shared" si="27"/>
        <v>12000</v>
      </c>
      <c r="BR28" s="69">
        <f t="shared" si="28"/>
        <v>10.403714166666667</v>
      </c>
      <c r="BS28" s="64">
        <f t="shared" si="29"/>
        <v>27216.570000000007</v>
      </c>
      <c r="BT28" s="69">
        <f t="shared" si="30"/>
        <v>4.5870794887085324</v>
      </c>
      <c r="BU28" s="65">
        <v>124844.57</v>
      </c>
      <c r="BV28" s="74">
        <f t="shared" si="31"/>
        <v>21.792104578722927</v>
      </c>
      <c r="BW28" s="75">
        <f t="shared" si="32"/>
        <v>65085.510000000009</v>
      </c>
      <c r="BX28" s="69">
        <f t="shared" si="33"/>
        <v>11.360928556840856</v>
      </c>
      <c r="BY28" s="55">
        <v>11346</v>
      </c>
      <c r="BZ28" s="55">
        <v>10380</v>
      </c>
      <c r="CA28" s="55">
        <v>8442</v>
      </c>
      <c r="CB28" s="55">
        <v>5760</v>
      </c>
      <c r="CC28" s="64">
        <v>49444</v>
      </c>
      <c r="CD28" s="64">
        <v>256</v>
      </c>
      <c r="CE28" s="64">
        <v>12000</v>
      </c>
      <c r="CF28" s="76">
        <f t="shared" si="34"/>
        <v>1.9804883668564068E-2</v>
      </c>
      <c r="CG28" s="76">
        <f t="shared" si="35"/>
        <v>1.8118693149981935E-2</v>
      </c>
      <c r="CH28" s="76">
        <f t="shared" si="36"/>
        <v>1.4735838879782994E-2</v>
      </c>
      <c r="CI28" s="76">
        <f t="shared" si="37"/>
        <v>1.0054303713284772E-2</v>
      </c>
      <c r="CJ28" s="76">
        <f t="shared" si="38"/>
        <v>8.6306422361050739E-2</v>
      </c>
      <c r="CK28" s="63">
        <f t="shared" si="39"/>
        <v>13017.102000000003</v>
      </c>
    </row>
    <row r="29" spans="1:89" ht="18.75" customHeight="1" x14ac:dyDescent="0.35">
      <c r="A29" s="50">
        <f t="shared" si="40"/>
        <v>22</v>
      </c>
      <c r="B29" s="58">
        <v>7</v>
      </c>
      <c r="C29" s="52" t="s">
        <v>103</v>
      </c>
      <c r="D29" s="52"/>
      <c r="E29" s="52"/>
      <c r="F29" s="53"/>
      <c r="G29" s="54">
        <v>40</v>
      </c>
      <c r="H29" s="55">
        <f t="shared" si="0"/>
        <v>0</v>
      </c>
      <c r="I29" s="53">
        <v>23401</v>
      </c>
      <c r="J29" s="56">
        <v>50</v>
      </c>
      <c r="K29" s="55">
        <f t="shared" si="1"/>
        <v>1170050</v>
      </c>
      <c r="L29" s="53"/>
      <c r="M29" s="57">
        <v>60</v>
      </c>
      <c r="N29" s="55">
        <f t="shared" si="2"/>
        <v>0</v>
      </c>
      <c r="O29" s="53">
        <v>7801</v>
      </c>
      <c r="P29" s="57">
        <v>12</v>
      </c>
      <c r="Q29" s="55">
        <f t="shared" si="3"/>
        <v>93612</v>
      </c>
      <c r="R29" s="53">
        <v>1270</v>
      </c>
      <c r="S29" s="59">
        <v>12</v>
      </c>
      <c r="T29" s="55">
        <f t="shared" si="43"/>
        <v>15240</v>
      </c>
      <c r="U29" s="53">
        <v>960</v>
      </c>
      <c r="V29" s="57">
        <v>8</v>
      </c>
      <c r="W29" s="55">
        <f t="shared" si="5"/>
        <v>7680</v>
      </c>
      <c r="X29" s="53">
        <v>629</v>
      </c>
      <c r="Y29" s="57">
        <v>12</v>
      </c>
      <c r="Z29" s="55">
        <f t="shared" si="6"/>
        <v>7548</v>
      </c>
      <c r="AA29" s="53">
        <v>1231</v>
      </c>
      <c r="AB29" s="57">
        <v>10</v>
      </c>
      <c r="AC29" s="55">
        <f t="shared" si="7"/>
        <v>12310</v>
      </c>
      <c r="AD29" s="53">
        <v>370</v>
      </c>
      <c r="AE29" s="57">
        <v>25</v>
      </c>
      <c r="AF29" s="55">
        <f t="shared" si="8"/>
        <v>9250</v>
      </c>
      <c r="AG29" s="53">
        <v>269</v>
      </c>
      <c r="AH29" s="57">
        <v>7.5</v>
      </c>
      <c r="AI29" s="55">
        <f t="shared" si="9"/>
        <v>2017.5</v>
      </c>
      <c r="AJ29" s="53"/>
      <c r="AK29" s="56">
        <v>15</v>
      </c>
      <c r="AL29" s="55">
        <f t="shared" si="10"/>
        <v>0</v>
      </c>
      <c r="AM29" s="53">
        <v>309</v>
      </c>
      <c r="AN29" s="57">
        <v>10</v>
      </c>
      <c r="AO29" s="55">
        <f t="shared" si="11"/>
        <v>3090</v>
      </c>
      <c r="AP29" s="53">
        <f t="shared" si="12"/>
        <v>5038</v>
      </c>
      <c r="AQ29" s="53"/>
      <c r="AR29" s="61"/>
      <c r="AS29" s="53"/>
      <c r="AT29" s="53"/>
      <c r="AU29" s="55"/>
      <c r="AV29" s="53"/>
      <c r="AW29" s="53"/>
      <c r="AX29" s="66">
        <v>3723</v>
      </c>
      <c r="AY29" s="53"/>
      <c r="AZ29" s="68">
        <f t="shared" si="13"/>
        <v>0.33336182214435278</v>
      </c>
      <c r="BA29" s="68">
        <f t="shared" si="14"/>
        <v>0.21528994487415068</v>
      </c>
      <c r="BB29" s="68">
        <f t="shared" si="15"/>
        <v>0.47724650685809511</v>
      </c>
      <c r="BC29" s="55">
        <f t="shared" si="16"/>
        <v>1222078</v>
      </c>
      <c r="BD29" s="55">
        <f t="shared" si="17"/>
        <v>1194540</v>
      </c>
      <c r="BE29" s="55">
        <f t="shared" si="18"/>
        <v>1222078</v>
      </c>
      <c r="BF29" s="55">
        <f t="shared" si="19"/>
        <v>1224095.5</v>
      </c>
      <c r="BG29" s="62">
        <v>1392269.5</v>
      </c>
      <c r="BH29" s="63">
        <v>935146.07</v>
      </c>
      <c r="BI29" s="69">
        <f t="shared" si="20"/>
        <v>67.167029802778842</v>
      </c>
      <c r="BJ29" s="70">
        <f t="shared" si="21"/>
        <v>87351</v>
      </c>
      <c r="BK29" s="71">
        <f t="shared" si="22"/>
        <v>6.2740008310172707E-2</v>
      </c>
      <c r="BL29" s="72">
        <f t="shared" si="44"/>
        <v>7</v>
      </c>
      <c r="BM29" s="61">
        <f t="shared" si="23"/>
        <v>76163</v>
      </c>
      <c r="BN29" s="69">
        <f t="shared" si="24"/>
        <v>3.5408699762351801</v>
      </c>
      <c r="BO29" s="73">
        <f t="shared" si="25"/>
        <v>1602.12</v>
      </c>
      <c r="BP29" s="69">
        <f t="shared" si="26"/>
        <v>168.32901405637534</v>
      </c>
      <c r="BQ29" s="61">
        <f t="shared" si="27"/>
        <v>20000</v>
      </c>
      <c r="BR29" s="69">
        <f t="shared" si="28"/>
        <v>13.484164000000002</v>
      </c>
      <c r="BS29" s="64">
        <f t="shared" si="29"/>
        <v>84567.160000000033</v>
      </c>
      <c r="BT29" s="69">
        <f t="shared" si="30"/>
        <v>3.1889835250468375</v>
      </c>
      <c r="BU29" s="65">
        <v>269683.28000000003</v>
      </c>
      <c r="BV29" s="74">
        <f t="shared" si="31"/>
        <v>19.370048686694641</v>
      </c>
      <c r="BW29" s="75">
        <f t="shared" si="32"/>
        <v>187440.15000000002</v>
      </c>
      <c r="BX29" s="69">
        <f t="shared" si="33"/>
        <v>13.46292151052652</v>
      </c>
      <c r="BY29" s="55">
        <v>32157</v>
      </c>
      <c r="BZ29" s="55">
        <v>22490</v>
      </c>
      <c r="CA29" s="55">
        <v>26304</v>
      </c>
      <c r="CB29" s="55">
        <v>6400</v>
      </c>
      <c r="CC29" s="64">
        <v>76163</v>
      </c>
      <c r="CD29" s="64">
        <v>1602.12</v>
      </c>
      <c r="CE29" s="64">
        <v>20000</v>
      </c>
      <c r="CF29" s="76">
        <f t="shared" si="34"/>
        <v>2.3096821412808367E-2</v>
      </c>
      <c r="CG29" s="76">
        <f t="shared" si="35"/>
        <v>1.6153481779210131E-2</v>
      </c>
      <c r="CH29" s="76">
        <f t="shared" si="36"/>
        <v>1.8892893940433229E-2</v>
      </c>
      <c r="CI29" s="76">
        <f t="shared" si="37"/>
        <v>4.5968111777209804E-3</v>
      </c>
      <c r="CJ29" s="76">
        <f t="shared" si="38"/>
        <v>5.4704207770119216E-2</v>
      </c>
      <c r="CK29" s="63">
        <f t="shared" si="39"/>
        <v>37488.030000000006</v>
      </c>
    </row>
    <row r="30" spans="1:89" ht="18.75" customHeight="1" x14ac:dyDescent="0.35">
      <c r="A30" s="50">
        <f t="shared" si="40"/>
        <v>23</v>
      </c>
      <c r="B30" s="58">
        <v>2</v>
      </c>
      <c r="C30" s="52" t="s">
        <v>217</v>
      </c>
      <c r="D30" s="52"/>
      <c r="E30" s="52"/>
      <c r="F30" s="53"/>
      <c r="G30" s="54">
        <v>40</v>
      </c>
      <c r="H30" s="55">
        <f t="shared" si="0"/>
        <v>0</v>
      </c>
      <c r="I30" s="53">
        <v>5773</v>
      </c>
      <c r="J30" s="56">
        <v>50</v>
      </c>
      <c r="K30" s="55">
        <f t="shared" si="1"/>
        <v>288650</v>
      </c>
      <c r="L30" s="53"/>
      <c r="M30" s="57">
        <v>60</v>
      </c>
      <c r="N30" s="55">
        <f t="shared" si="2"/>
        <v>0</v>
      </c>
      <c r="O30" s="53">
        <v>2122</v>
      </c>
      <c r="P30" s="57">
        <v>12</v>
      </c>
      <c r="Q30" s="55">
        <f t="shared" si="3"/>
        <v>25464</v>
      </c>
      <c r="R30" s="53">
        <v>2400</v>
      </c>
      <c r="S30" s="59">
        <v>12</v>
      </c>
      <c r="T30" s="55">
        <f t="shared" si="43"/>
        <v>28800</v>
      </c>
      <c r="U30" s="53">
        <v>280</v>
      </c>
      <c r="V30" s="57">
        <v>8</v>
      </c>
      <c r="W30" s="55">
        <f t="shared" si="5"/>
        <v>2240</v>
      </c>
      <c r="X30" s="53">
        <v>201</v>
      </c>
      <c r="Y30" s="57">
        <v>12</v>
      </c>
      <c r="Z30" s="55">
        <f t="shared" si="6"/>
        <v>2412</v>
      </c>
      <c r="AA30" s="53">
        <v>276</v>
      </c>
      <c r="AB30" s="57">
        <v>10</v>
      </c>
      <c r="AC30" s="55">
        <f t="shared" si="7"/>
        <v>2760</v>
      </c>
      <c r="AD30" s="53">
        <v>85</v>
      </c>
      <c r="AE30" s="57">
        <v>25</v>
      </c>
      <c r="AF30" s="55">
        <f t="shared" si="8"/>
        <v>2125</v>
      </c>
      <c r="AG30" s="53">
        <v>145</v>
      </c>
      <c r="AH30" s="57">
        <v>7.5</v>
      </c>
      <c r="AI30" s="55">
        <f t="shared" si="9"/>
        <v>1087.5</v>
      </c>
      <c r="AJ30" s="53"/>
      <c r="AK30" s="56">
        <v>15</v>
      </c>
      <c r="AL30" s="55">
        <f t="shared" si="10"/>
        <v>0</v>
      </c>
      <c r="AM30" s="53">
        <v>78</v>
      </c>
      <c r="AN30" s="57">
        <v>10</v>
      </c>
      <c r="AO30" s="55">
        <f t="shared" si="11"/>
        <v>780</v>
      </c>
      <c r="AP30" s="53">
        <f t="shared" si="12"/>
        <v>3465</v>
      </c>
      <c r="AQ30" s="53"/>
      <c r="AR30" s="61"/>
      <c r="AS30" s="53"/>
      <c r="AT30" s="53"/>
      <c r="AU30" s="55"/>
      <c r="AV30" s="53"/>
      <c r="AW30" s="53"/>
      <c r="AX30" s="66">
        <v>767</v>
      </c>
      <c r="AY30" s="53"/>
      <c r="AZ30" s="68">
        <f t="shared" si="13"/>
        <v>0.36757318551879437</v>
      </c>
      <c r="BA30" s="68">
        <f t="shared" si="14"/>
        <v>0.60020786419539229</v>
      </c>
      <c r="BB30" s="68">
        <f t="shared" si="15"/>
        <v>0.36145146088595664</v>
      </c>
      <c r="BC30" s="55">
        <f t="shared" si="16"/>
        <v>326987</v>
      </c>
      <c r="BD30" s="55">
        <f t="shared" si="17"/>
        <v>319575</v>
      </c>
      <c r="BE30" s="55">
        <f t="shared" si="18"/>
        <v>326987</v>
      </c>
      <c r="BF30" s="55">
        <f t="shared" si="19"/>
        <v>328074.5</v>
      </c>
      <c r="BG30" s="62">
        <v>368695.5</v>
      </c>
      <c r="BH30" s="63">
        <v>245318.33</v>
      </c>
      <c r="BI30" s="69">
        <f t="shared" si="20"/>
        <v>66.536838664968784</v>
      </c>
      <c r="BJ30" s="70">
        <f t="shared" si="21"/>
        <v>26662</v>
      </c>
      <c r="BK30" s="71">
        <f t="shared" si="22"/>
        <v>7.2314416639204973E-2</v>
      </c>
      <c r="BL30" s="72">
        <v>3</v>
      </c>
      <c r="BM30" s="61">
        <f t="shared" si="23"/>
        <v>33277</v>
      </c>
      <c r="BN30" s="69">
        <f t="shared" si="24"/>
        <v>3.2563779787841454</v>
      </c>
      <c r="BO30" s="73">
        <f t="shared" si="25"/>
        <v>1920</v>
      </c>
      <c r="BP30" s="69">
        <f t="shared" si="26"/>
        <v>56.438796875000001</v>
      </c>
      <c r="BQ30" s="61">
        <f t="shared" si="27"/>
        <v>14000</v>
      </c>
      <c r="BR30" s="69">
        <f t="shared" si="28"/>
        <v>7.7401778571428572</v>
      </c>
      <c r="BS30" s="64">
        <f t="shared" si="29"/>
        <v>32503.490000000005</v>
      </c>
      <c r="BT30" s="69">
        <f t="shared" si="30"/>
        <v>3.3338724549271475</v>
      </c>
      <c r="BU30" s="65">
        <v>108362.49</v>
      </c>
      <c r="BV30" s="74">
        <f t="shared" si="31"/>
        <v>29.39078182402552</v>
      </c>
      <c r="BW30" s="75">
        <f t="shared" si="32"/>
        <v>15014.680000000008</v>
      </c>
      <c r="BX30" s="69">
        <f t="shared" si="33"/>
        <v>4.0723795110056962</v>
      </c>
      <c r="BY30" s="55">
        <v>10719</v>
      </c>
      <c r="BZ30" s="55">
        <v>6781</v>
      </c>
      <c r="CA30" s="55">
        <v>6732</v>
      </c>
      <c r="CB30" s="55">
        <v>2430</v>
      </c>
      <c r="CC30" s="64">
        <v>33277</v>
      </c>
      <c r="CD30" s="64">
        <v>1920</v>
      </c>
      <c r="CE30" s="64">
        <v>14000</v>
      </c>
      <c r="CF30" s="76">
        <f t="shared" si="34"/>
        <v>2.9072771433337266E-2</v>
      </c>
      <c r="CG30" s="76">
        <f t="shared" si="35"/>
        <v>1.8391870798531579E-2</v>
      </c>
      <c r="CH30" s="76">
        <f t="shared" si="36"/>
        <v>1.8258969800282347E-2</v>
      </c>
      <c r="CI30" s="76">
        <f t="shared" si="37"/>
        <v>6.5908046070537879E-3</v>
      </c>
      <c r="CJ30" s="76">
        <f t="shared" si="38"/>
        <v>9.0256051402851409E-2</v>
      </c>
      <c r="CK30" s="63">
        <f t="shared" si="39"/>
        <v>3002.9360000000015</v>
      </c>
    </row>
    <row r="31" spans="1:89" ht="18.75" customHeight="1" x14ac:dyDescent="0.35">
      <c r="A31" s="50">
        <f t="shared" si="40"/>
        <v>24</v>
      </c>
      <c r="B31" s="58">
        <v>5</v>
      </c>
      <c r="C31" s="52" t="s">
        <v>211</v>
      </c>
      <c r="D31" s="52"/>
      <c r="E31" s="52"/>
      <c r="F31" s="53"/>
      <c r="G31" s="54">
        <v>40</v>
      </c>
      <c r="H31" s="55">
        <f t="shared" si="0"/>
        <v>0</v>
      </c>
      <c r="I31" s="53">
        <v>8913</v>
      </c>
      <c r="J31" s="56">
        <v>50</v>
      </c>
      <c r="K31" s="55">
        <f t="shared" si="1"/>
        <v>445650</v>
      </c>
      <c r="L31" s="53"/>
      <c r="M31" s="57">
        <v>60</v>
      </c>
      <c r="N31" s="55">
        <f t="shared" si="2"/>
        <v>0</v>
      </c>
      <c r="O31" s="53">
        <v>3432</v>
      </c>
      <c r="P31" s="57">
        <v>12</v>
      </c>
      <c r="Q31" s="55">
        <f t="shared" si="3"/>
        <v>41184</v>
      </c>
      <c r="R31" s="53">
        <v>3030</v>
      </c>
      <c r="S31" s="59">
        <v>12</v>
      </c>
      <c r="T31" s="55">
        <f t="shared" si="43"/>
        <v>36360</v>
      </c>
      <c r="U31" s="53">
        <v>475</v>
      </c>
      <c r="V31" s="57">
        <v>8</v>
      </c>
      <c r="W31" s="55">
        <f t="shared" si="5"/>
        <v>3800</v>
      </c>
      <c r="X31" s="53">
        <v>529</v>
      </c>
      <c r="Y31" s="57">
        <v>12</v>
      </c>
      <c r="Z31" s="55">
        <f t="shared" si="6"/>
        <v>6348</v>
      </c>
      <c r="AA31" s="53">
        <v>657</v>
      </c>
      <c r="AB31" s="57">
        <v>10</v>
      </c>
      <c r="AC31" s="55">
        <f t="shared" si="7"/>
        <v>6570</v>
      </c>
      <c r="AD31" s="53">
        <v>97</v>
      </c>
      <c r="AE31" s="57">
        <v>25</v>
      </c>
      <c r="AF31" s="55">
        <f t="shared" si="8"/>
        <v>2425</v>
      </c>
      <c r="AG31" s="53">
        <v>230</v>
      </c>
      <c r="AH31" s="57">
        <v>7.5</v>
      </c>
      <c r="AI31" s="55">
        <f t="shared" si="9"/>
        <v>1725</v>
      </c>
      <c r="AJ31" s="53"/>
      <c r="AK31" s="56">
        <v>15</v>
      </c>
      <c r="AL31" s="55">
        <f t="shared" si="10"/>
        <v>0</v>
      </c>
      <c r="AM31" s="53">
        <v>162</v>
      </c>
      <c r="AN31" s="57">
        <v>10</v>
      </c>
      <c r="AO31" s="55">
        <f t="shared" si="11"/>
        <v>1620</v>
      </c>
      <c r="AP31" s="53">
        <f t="shared" si="12"/>
        <v>5180</v>
      </c>
      <c r="AQ31" s="53"/>
      <c r="AR31" s="61"/>
      <c r="AS31" s="53"/>
      <c r="AT31" s="53"/>
      <c r="AU31" s="55"/>
      <c r="AV31" s="53"/>
      <c r="AW31" s="53"/>
      <c r="AX31" s="66">
        <v>941</v>
      </c>
      <c r="AY31" s="53"/>
      <c r="AZ31" s="68">
        <f t="shared" si="13"/>
        <v>0.38505553685627736</v>
      </c>
      <c r="BA31" s="68">
        <f t="shared" si="14"/>
        <v>0.58117356670032538</v>
      </c>
      <c r="BB31" s="68">
        <f t="shared" si="15"/>
        <v>0.27418414918414918</v>
      </c>
      <c r="BC31" s="55">
        <f t="shared" si="16"/>
        <v>501153</v>
      </c>
      <c r="BD31" s="55">
        <f t="shared" si="17"/>
        <v>484435</v>
      </c>
      <c r="BE31" s="55">
        <f t="shared" si="18"/>
        <v>501153</v>
      </c>
      <c r="BF31" s="55">
        <f t="shared" si="19"/>
        <v>502878</v>
      </c>
      <c r="BG31" s="62">
        <v>563654</v>
      </c>
      <c r="BH31" s="63">
        <v>376468.59</v>
      </c>
      <c r="BI31" s="69">
        <f t="shared" si="20"/>
        <v>66.790724451525236</v>
      </c>
      <c r="BJ31" s="70">
        <f t="shared" si="21"/>
        <v>41635</v>
      </c>
      <c r="BK31" s="71">
        <f t="shared" si="22"/>
        <v>7.3866237088710457E-2</v>
      </c>
      <c r="BL31" s="72">
        <f t="shared" ref="BL31:BL36" si="45">B31</f>
        <v>5</v>
      </c>
      <c r="BM31" s="61">
        <f t="shared" si="23"/>
        <v>58516.480000000003</v>
      </c>
      <c r="BN31" s="69">
        <f t="shared" si="24"/>
        <v>2.5116505640804094</v>
      </c>
      <c r="BO31" s="73">
        <f t="shared" si="25"/>
        <v>512.96</v>
      </c>
      <c r="BP31" s="69">
        <f t="shared" si="26"/>
        <v>286.51931924516532</v>
      </c>
      <c r="BQ31" s="61">
        <f t="shared" si="27"/>
        <v>15000</v>
      </c>
      <c r="BR31" s="69">
        <f t="shared" si="28"/>
        <v>9.7981966666666676</v>
      </c>
      <c r="BS31" s="64">
        <f t="shared" si="29"/>
        <v>31308.509999999995</v>
      </c>
      <c r="BT31" s="69">
        <f t="shared" si="30"/>
        <v>4.694345083812677</v>
      </c>
      <c r="BU31" s="65">
        <v>146972.95000000001</v>
      </c>
      <c r="BV31" s="74">
        <f t="shared" si="31"/>
        <v>26.075030071639695</v>
      </c>
      <c r="BW31" s="75">
        <f t="shared" si="32"/>
        <v>40212.459999999963</v>
      </c>
      <c r="BX31" s="69">
        <f t="shared" si="33"/>
        <v>7.1342454768350727</v>
      </c>
      <c r="BY31" s="55">
        <v>15053</v>
      </c>
      <c r="BZ31" s="55">
        <v>12110</v>
      </c>
      <c r="CA31" s="55">
        <v>8442</v>
      </c>
      <c r="CB31" s="55">
        <v>6030</v>
      </c>
      <c r="CC31" s="64">
        <v>58516.480000000003</v>
      </c>
      <c r="CD31" s="64">
        <v>512.96</v>
      </c>
      <c r="CE31" s="64">
        <v>15000</v>
      </c>
      <c r="CF31" s="76">
        <f t="shared" si="34"/>
        <v>2.6706099841392061E-2</v>
      </c>
      <c r="CG31" s="76">
        <f t="shared" si="35"/>
        <v>2.1484811604282058E-2</v>
      </c>
      <c r="CH31" s="76">
        <f t="shared" si="36"/>
        <v>1.4977273291771193E-2</v>
      </c>
      <c r="CI31" s="76">
        <f t="shared" si="37"/>
        <v>1.0698052351265138E-2</v>
      </c>
      <c r="CJ31" s="76">
        <f t="shared" si="38"/>
        <v>0.10381631284440455</v>
      </c>
      <c r="CK31" s="63">
        <f t="shared" si="39"/>
        <v>8042.4919999999929</v>
      </c>
    </row>
    <row r="32" spans="1:89" ht="18.75" customHeight="1" x14ac:dyDescent="0.35">
      <c r="A32" s="50">
        <f t="shared" si="40"/>
        <v>25</v>
      </c>
      <c r="B32" s="58">
        <v>6</v>
      </c>
      <c r="C32" s="52" t="s">
        <v>210</v>
      </c>
      <c r="D32" s="52"/>
      <c r="E32" s="52"/>
      <c r="F32" s="53"/>
      <c r="G32" s="54">
        <v>40</v>
      </c>
      <c r="H32" s="55">
        <f t="shared" si="0"/>
        <v>0</v>
      </c>
      <c r="I32" s="53">
        <v>9814</v>
      </c>
      <c r="J32" s="56">
        <v>50</v>
      </c>
      <c r="K32" s="55">
        <f t="shared" si="1"/>
        <v>490700</v>
      </c>
      <c r="L32" s="53"/>
      <c r="M32" s="57">
        <v>60</v>
      </c>
      <c r="N32" s="55">
        <f t="shared" si="2"/>
        <v>0</v>
      </c>
      <c r="O32" s="53">
        <v>5470</v>
      </c>
      <c r="P32" s="57">
        <v>12</v>
      </c>
      <c r="Q32" s="55">
        <f t="shared" si="3"/>
        <v>65640</v>
      </c>
      <c r="R32" s="53">
        <v>3070</v>
      </c>
      <c r="S32" s="59">
        <v>12</v>
      </c>
      <c r="T32" s="55">
        <f t="shared" si="43"/>
        <v>36840</v>
      </c>
      <c r="U32" s="53">
        <v>920</v>
      </c>
      <c r="V32" s="57">
        <v>8</v>
      </c>
      <c r="W32" s="55">
        <f t="shared" si="5"/>
        <v>7360</v>
      </c>
      <c r="X32" s="53">
        <v>909</v>
      </c>
      <c r="Y32" s="57">
        <v>12</v>
      </c>
      <c r="Z32" s="55">
        <f t="shared" si="6"/>
        <v>10908</v>
      </c>
      <c r="AA32" s="53">
        <v>1358</v>
      </c>
      <c r="AB32" s="57">
        <v>10</v>
      </c>
      <c r="AC32" s="55">
        <f t="shared" si="7"/>
        <v>13580</v>
      </c>
      <c r="AD32" s="53">
        <v>205</v>
      </c>
      <c r="AE32" s="57">
        <v>25</v>
      </c>
      <c r="AF32" s="55">
        <f t="shared" si="8"/>
        <v>5125</v>
      </c>
      <c r="AG32" s="53">
        <v>189</v>
      </c>
      <c r="AH32" s="57">
        <v>7.5</v>
      </c>
      <c r="AI32" s="55">
        <f t="shared" si="9"/>
        <v>1417.5</v>
      </c>
      <c r="AJ32" s="53"/>
      <c r="AK32" s="56">
        <v>15</v>
      </c>
      <c r="AL32" s="55">
        <f t="shared" si="10"/>
        <v>0</v>
      </c>
      <c r="AM32" s="53">
        <v>206</v>
      </c>
      <c r="AN32" s="57">
        <v>10</v>
      </c>
      <c r="AO32" s="55">
        <f t="shared" si="11"/>
        <v>2060</v>
      </c>
      <c r="AP32" s="53">
        <f t="shared" si="12"/>
        <v>6857</v>
      </c>
      <c r="AQ32" s="53"/>
      <c r="AR32" s="61"/>
      <c r="AS32" s="53"/>
      <c r="AT32" s="53"/>
      <c r="AU32" s="55"/>
      <c r="AV32" s="53"/>
      <c r="AW32" s="53"/>
      <c r="AX32" s="66">
        <v>2260</v>
      </c>
      <c r="AY32" s="53"/>
      <c r="AZ32" s="68">
        <f t="shared" si="13"/>
        <v>0.55736702669655591</v>
      </c>
      <c r="BA32" s="68">
        <f t="shared" si="14"/>
        <v>0.69869574077847973</v>
      </c>
      <c r="BB32" s="68">
        <f t="shared" si="15"/>
        <v>0.41316270566727603</v>
      </c>
      <c r="BC32" s="55">
        <f t="shared" si="16"/>
        <v>564513</v>
      </c>
      <c r="BD32" s="55">
        <f t="shared" si="17"/>
        <v>532665</v>
      </c>
      <c r="BE32" s="55">
        <f t="shared" si="18"/>
        <v>564513</v>
      </c>
      <c r="BF32" s="55">
        <f t="shared" si="19"/>
        <v>565930.5</v>
      </c>
      <c r="BG32" s="62">
        <v>677837.5</v>
      </c>
      <c r="BH32" s="63">
        <v>446638.85</v>
      </c>
      <c r="BI32" s="69">
        <f t="shared" si="20"/>
        <v>65.891729212384973</v>
      </c>
      <c r="BJ32" s="70">
        <f t="shared" si="21"/>
        <v>46351</v>
      </c>
      <c r="BK32" s="71">
        <f t="shared" si="22"/>
        <v>6.8380695963265528E-2</v>
      </c>
      <c r="BL32" s="72">
        <f t="shared" si="45"/>
        <v>6</v>
      </c>
      <c r="BM32" s="61">
        <f t="shared" si="23"/>
        <v>75783</v>
      </c>
      <c r="BN32" s="69">
        <f t="shared" si="24"/>
        <v>2.226188459153108</v>
      </c>
      <c r="BO32" s="73">
        <f t="shared" si="25"/>
        <v>0</v>
      </c>
      <c r="BP32" s="69" t="e">
        <f t="shared" si="26"/>
        <v>#DIV/0!</v>
      </c>
      <c r="BQ32" s="61">
        <f t="shared" si="27"/>
        <v>9316.9</v>
      </c>
      <c r="BR32" s="69">
        <f t="shared" si="28"/>
        <v>18.107658126630103</v>
      </c>
      <c r="BS32" s="64">
        <f t="shared" si="29"/>
        <v>37256.339999999997</v>
      </c>
      <c r="BT32" s="69">
        <f t="shared" si="30"/>
        <v>4.5282827030245052</v>
      </c>
      <c r="BU32" s="65">
        <v>168707.24</v>
      </c>
      <c r="BV32" s="74">
        <f t="shared" si="31"/>
        <v>24.88903903959282</v>
      </c>
      <c r="BW32" s="75">
        <f t="shared" si="32"/>
        <v>62491.410000000033</v>
      </c>
      <c r="BX32" s="69">
        <f t="shared" si="33"/>
        <v>9.2192317480222084</v>
      </c>
      <c r="BY32" s="55">
        <v>15128</v>
      </c>
      <c r="BZ32" s="55">
        <v>13840</v>
      </c>
      <c r="CA32" s="55">
        <v>12583</v>
      </c>
      <c r="CB32" s="55">
        <v>4800</v>
      </c>
      <c r="CC32" s="64">
        <v>75783</v>
      </c>
      <c r="CD32" s="64"/>
      <c r="CE32" s="64">
        <v>9316.9</v>
      </c>
      <c r="CF32" s="76">
        <f t="shared" si="34"/>
        <v>2.231803345197042E-2</v>
      </c>
      <c r="CG32" s="76">
        <f t="shared" si="35"/>
        <v>2.0417873015287587E-2</v>
      </c>
      <c r="CH32" s="76">
        <f t="shared" si="36"/>
        <v>1.8563446253711251E-2</v>
      </c>
      <c r="CI32" s="76">
        <f t="shared" si="37"/>
        <v>7.0813432422962728E-3</v>
      </c>
      <c r="CJ32" s="76">
        <f t="shared" si="38"/>
        <v>0.11180113227727885</v>
      </c>
      <c r="CK32" s="63">
        <f t="shared" si="39"/>
        <v>12498.282000000007</v>
      </c>
    </row>
    <row r="33" spans="1:90" ht="18.75" customHeight="1" x14ac:dyDescent="0.35">
      <c r="A33" s="50">
        <f t="shared" si="40"/>
        <v>26</v>
      </c>
      <c r="B33" s="58">
        <v>4</v>
      </c>
      <c r="C33" s="52" t="s">
        <v>216</v>
      </c>
      <c r="D33" s="52"/>
      <c r="E33" s="52"/>
      <c r="F33" s="53"/>
      <c r="G33" s="54">
        <v>40</v>
      </c>
      <c r="H33" s="55">
        <f t="shared" si="0"/>
        <v>0</v>
      </c>
      <c r="I33" s="53">
        <v>8895</v>
      </c>
      <c r="J33" s="56">
        <v>50</v>
      </c>
      <c r="K33" s="55">
        <f t="shared" si="1"/>
        <v>444750</v>
      </c>
      <c r="L33" s="53"/>
      <c r="M33" s="57">
        <v>60</v>
      </c>
      <c r="N33" s="55">
        <f t="shared" si="2"/>
        <v>0</v>
      </c>
      <c r="O33" s="53">
        <v>2923</v>
      </c>
      <c r="P33" s="57">
        <v>12</v>
      </c>
      <c r="Q33" s="55">
        <f t="shared" si="3"/>
        <v>35076</v>
      </c>
      <c r="R33" s="53">
        <v>2250</v>
      </c>
      <c r="S33" s="59">
        <v>12</v>
      </c>
      <c r="T33" s="55">
        <f t="shared" si="43"/>
        <v>27000</v>
      </c>
      <c r="U33" s="53">
        <v>454</v>
      </c>
      <c r="V33" s="57">
        <v>8</v>
      </c>
      <c r="W33" s="55">
        <f t="shared" si="5"/>
        <v>3632</v>
      </c>
      <c r="X33" s="53">
        <v>737</v>
      </c>
      <c r="Y33" s="57">
        <v>12</v>
      </c>
      <c r="Z33" s="55">
        <f t="shared" si="6"/>
        <v>8844</v>
      </c>
      <c r="AA33" s="53">
        <v>755</v>
      </c>
      <c r="AB33" s="57">
        <v>10</v>
      </c>
      <c r="AC33" s="55">
        <f t="shared" si="7"/>
        <v>7550</v>
      </c>
      <c r="AD33" s="53">
        <v>227</v>
      </c>
      <c r="AE33" s="57">
        <v>25</v>
      </c>
      <c r="AF33" s="55">
        <f t="shared" si="8"/>
        <v>5675</v>
      </c>
      <c r="AG33" s="53">
        <v>132</v>
      </c>
      <c r="AH33" s="57">
        <v>7.5</v>
      </c>
      <c r="AI33" s="55">
        <f t="shared" si="9"/>
        <v>990</v>
      </c>
      <c r="AJ33" s="53"/>
      <c r="AK33" s="56">
        <v>15</v>
      </c>
      <c r="AL33" s="55">
        <f t="shared" si="10"/>
        <v>0</v>
      </c>
      <c r="AM33" s="53">
        <v>225</v>
      </c>
      <c r="AN33" s="57">
        <v>10</v>
      </c>
      <c r="AO33" s="55">
        <f t="shared" si="11"/>
        <v>2250</v>
      </c>
      <c r="AP33" s="53">
        <f t="shared" si="12"/>
        <v>4780</v>
      </c>
      <c r="AQ33" s="53"/>
      <c r="AR33" s="61"/>
      <c r="AS33" s="53"/>
      <c r="AT33" s="53"/>
      <c r="AU33" s="55"/>
      <c r="AV33" s="53"/>
      <c r="AW33" s="53"/>
      <c r="AX33" s="66">
        <v>757</v>
      </c>
      <c r="AY33" s="53"/>
      <c r="AZ33" s="68">
        <f t="shared" si="13"/>
        <v>0.32861157953906689</v>
      </c>
      <c r="BA33" s="68">
        <f t="shared" si="14"/>
        <v>0.53738055087127601</v>
      </c>
      <c r="BB33" s="68">
        <f t="shared" si="15"/>
        <v>0.25898049948682861</v>
      </c>
      <c r="BC33" s="55">
        <f t="shared" si="16"/>
        <v>497451</v>
      </c>
      <c r="BD33" s="55">
        <f t="shared" si="17"/>
        <v>477425</v>
      </c>
      <c r="BE33" s="55">
        <f t="shared" si="18"/>
        <v>497451</v>
      </c>
      <c r="BF33" s="55">
        <f t="shared" si="19"/>
        <v>498441</v>
      </c>
      <c r="BG33" s="62">
        <v>550572</v>
      </c>
      <c r="BH33" s="63">
        <v>370404.38</v>
      </c>
      <c r="BI33" s="69">
        <f t="shared" si="20"/>
        <v>67.27628357417376</v>
      </c>
      <c r="BJ33" s="70">
        <f t="shared" si="21"/>
        <v>39424</v>
      </c>
      <c r="BK33" s="71">
        <f t="shared" si="22"/>
        <v>7.1605530248541507E-2</v>
      </c>
      <c r="BL33" s="72">
        <f t="shared" si="45"/>
        <v>4</v>
      </c>
      <c r="BM33" s="61">
        <f t="shared" si="23"/>
        <v>50813</v>
      </c>
      <c r="BN33" s="69">
        <f t="shared" si="24"/>
        <v>3.0027250900360145</v>
      </c>
      <c r="BO33" s="73">
        <f t="shared" si="25"/>
        <v>0</v>
      </c>
      <c r="BP33" s="69" t="e">
        <f t="shared" si="26"/>
        <v>#DIV/0!</v>
      </c>
      <c r="BQ33" s="61">
        <f t="shared" si="27"/>
        <v>30000</v>
      </c>
      <c r="BR33" s="69">
        <f t="shared" si="28"/>
        <v>5.0859156666666667</v>
      </c>
      <c r="BS33" s="64">
        <f t="shared" si="29"/>
        <v>32340.47</v>
      </c>
      <c r="BT33" s="69">
        <f t="shared" si="30"/>
        <v>4.7178494932201049</v>
      </c>
      <c r="BU33" s="65">
        <v>152577.47</v>
      </c>
      <c r="BV33" s="74">
        <f t="shared" si="31"/>
        <v>27.712537143189262</v>
      </c>
      <c r="BW33" s="75">
        <f t="shared" si="32"/>
        <v>27590.149999999994</v>
      </c>
      <c r="BX33" s="69">
        <f t="shared" si="33"/>
        <v>5.0111792826369657</v>
      </c>
      <c r="BY33" s="55">
        <v>15128</v>
      </c>
      <c r="BZ33" s="55">
        <v>10380</v>
      </c>
      <c r="CA33" s="55">
        <v>9756</v>
      </c>
      <c r="CB33" s="55">
        <v>4160</v>
      </c>
      <c r="CC33" s="64">
        <v>50813</v>
      </c>
      <c r="CD33" s="64"/>
      <c r="CE33" s="64">
        <v>30000</v>
      </c>
      <c r="CF33" s="76">
        <f t="shared" si="34"/>
        <v>2.7476878591719156E-2</v>
      </c>
      <c r="CG33" s="76">
        <f t="shared" si="35"/>
        <v>1.8853120027898258E-2</v>
      </c>
      <c r="CH33" s="76">
        <f t="shared" si="36"/>
        <v>1.771975327477605E-2</v>
      </c>
      <c r="CI33" s="76">
        <f t="shared" si="37"/>
        <v>7.5557783541480494E-3</v>
      </c>
      <c r="CJ33" s="76">
        <f t="shared" si="38"/>
        <v>9.2291289785895403E-2</v>
      </c>
      <c r="CK33" s="63">
        <f t="shared" si="39"/>
        <v>5518.0299999999988</v>
      </c>
    </row>
    <row r="34" spans="1:90" ht="18.75" customHeight="1" x14ac:dyDescent="0.35">
      <c r="A34" s="50">
        <f t="shared" si="40"/>
        <v>27</v>
      </c>
      <c r="B34" s="58">
        <v>4</v>
      </c>
      <c r="C34" s="52" t="s">
        <v>214</v>
      </c>
      <c r="D34" s="52"/>
      <c r="E34" s="52"/>
      <c r="F34" s="53"/>
      <c r="G34" s="54">
        <v>40</v>
      </c>
      <c r="H34" s="55">
        <f t="shared" si="0"/>
        <v>0</v>
      </c>
      <c r="I34" s="53">
        <v>8500</v>
      </c>
      <c r="J34" s="56">
        <v>50</v>
      </c>
      <c r="K34" s="55">
        <f t="shared" si="1"/>
        <v>425000</v>
      </c>
      <c r="L34" s="53"/>
      <c r="M34" s="57">
        <v>60</v>
      </c>
      <c r="N34" s="55">
        <f t="shared" si="2"/>
        <v>0</v>
      </c>
      <c r="O34" s="53">
        <v>3764</v>
      </c>
      <c r="P34" s="57">
        <v>12</v>
      </c>
      <c r="Q34" s="55">
        <f t="shared" si="3"/>
        <v>45168</v>
      </c>
      <c r="R34" s="53">
        <v>2630</v>
      </c>
      <c r="S34" s="59">
        <v>12</v>
      </c>
      <c r="T34" s="55">
        <f t="shared" si="43"/>
        <v>31560</v>
      </c>
      <c r="U34" s="53">
        <v>600</v>
      </c>
      <c r="V34" s="57">
        <v>8</v>
      </c>
      <c r="W34" s="55">
        <f t="shared" si="5"/>
        <v>4800</v>
      </c>
      <c r="X34" s="53">
        <v>734</v>
      </c>
      <c r="Y34" s="57">
        <v>12</v>
      </c>
      <c r="Z34" s="55">
        <f t="shared" si="6"/>
        <v>8808</v>
      </c>
      <c r="AA34" s="53">
        <v>950</v>
      </c>
      <c r="AB34" s="57">
        <v>10</v>
      </c>
      <c r="AC34" s="55">
        <f t="shared" si="7"/>
        <v>9500</v>
      </c>
      <c r="AD34" s="53">
        <v>148</v>
      </c>
      <c r="AE34" s="57">
        <v>25</v>
      </c>
      <c r="AF34" s="55">
        <f t="shared" si="8"/>
        <v>3700</v>
      </c>
      <c r="AG34" s="53">
        <v>356</v>
      </c>
      <c r="AH34" s="57">
        <v>7.5</v>
      </c>
      <c r="AI34" s="55">
        <f t="shared" si="9"/>
        <v>2670</v>
      </c>
      <c r="AJ34" s="53"/>
      <c r="AK34" s="56">
        <v>15</v>
      </c>
      <c r="AL34" s="55">
        <f t="shared" si="10"/>
        <v>0</v>
      </c>
      <c r="AM34" s="53">
        <v>242</v>
      </c>
      <c r="AN34" s="57">
        <v>10</v>
      </c>
      <c r="AO34" s="55">
        <f t="shared" si="11"/>
        <v>2420</v>
      </c>
      <c r="AP34" s="53">
        <f t="shared" si="12"/>
        <v>5660</v>
      </c>
      <c r="AQ34" s="53"/>
      <c r="AR34" s="61"/>
      <c r="AS34" s="53"/>
      <c r="AT34" s="53"/>
      <c r="AU34" s="55"/>
      <c r="AV34" s="53"/>
      <c r="AW34" s="53"/>
      <c r="AX34" s="66">
        <v>1777</v>
      </c>
      <c r="AY34" s="53"/>
      <c r="AZ34" s="68">
        <f t="shared" si="13"/>
        <v>0.44282352941176473</v>
      </c>
      <c r="BA34" s="68">
        <f t="shared" si="14"/>
        <v>0.66588235294117648</v>
      </c>
      <c r="BB34" s="68">
        <f t="shared" si="15"/>
        <v>0.47210414452709881</v>
      </c>
      <c r="BC34" s="55">
        <f t="shared" si="16"/>
        <v>483368</v>
      </c>
      <c r="BD34" s="55">
        <f t="shared" si="17"/>
        <v>460260</v>
      </c>
      <c r="BE34" s="55">
        <f t="shared" si="18"/>
        <v>483368</v>
      </c>
      <c r="BF34" s="55">
        <f t="shared" si="19"/>
        <v>486038</v>
      </c>
      <c r="BG34" s="62">
        <v>568715</v>
      </c>
      <c r="BH34" s="63">
        <v>378633.21</v>
      </c>
      <c r="BI34" s="69">
        <f t="shared" si="20"/>
        <v>66.576969132166383</v>
      </c>
      <c r="BJ34" s="70">
        <f t="shared" si="21"/>
        <v>35928</v>
      </c>
      <c r="BK34" s="71">
        <f t="shared" si="22"/>
        <v>6.3173997520726541E-2</v>
      </c>
      <c r="BL34" s="72">
        <f t="shared" si="45"/>
        <v>4</v>
      </c>
      <c r="BM34" s="61">
        <f t="shared" si="23"/>
        <v>39865.29</v>
      </c>
      <c r="BN34" s="69">
        <f t="shared" si="24"/>
        <v>3.2805555910918995</v>
      </c>
      <c r="BO34" s="73">
        <f t="shared" si="25"/>
        <v>0</v>
      </c>
      <c r="BP34" s="69" t="e">
        <f t="shared" si="26"/>
        <v>#DIV/0!</v>
      </c>
      <c r="BQ34" s="61">
        <f t="shared" si="27"/>
        <v>20000</v>
      </c>
      <c r="BR34" s="69">
        <f t="shared" si="28"/>
        <v>6.539015</v>
      </c>
      <c r="BS34" s="64">
        <f t="shared" si="29"/>
        <v>34987.010000000009</v>
      </c>
      <c r="BT34" s="69">
        <f t="shared" si="30"/>
        <v>3.7379673198710028</v>
      </c>
      <c r="BU34" s="65">
        <v>130780.3</v>
      </c>
      <c r="BV34" s="74">
        <f t="shared" si="31"/>
        <v>22.995753584835992</v>
      </c>
      <c r="BW34" s="75">
        <f t="shared" si="32"/>
        <v>59301.489999999976</v>
      </c>
      <c r="BX34" s="69">
        <f t="shared" si="33"/>
        <v>10.427277282997631</v>
      </c>
      <c r="BY34" s="55">
        <v>11346</v>
      </c>
      <c r="BZ34" s="55">
        <v>10380</v>
      </c>
      <c r="CA34" s="55">
        <v>8442</v>
      </c>
      <c r="CB34" s="55">
        <v>5760</v>
      </c>
      <c r="CC34" s="55">
        <v>39865.29</v>
      </c>
      <c r="CD34" s="64"/>
      <c r="CE34" s="64">
        <v>20000</v>
      </c>
      <c r="CF34" s="76">
        <f t="shared" si="34"/>
        <v>1.9950238696007667E-2</v>
      </c>
      <c r="CG34" s="76">
        <f t="shared" si="35"/>
        <v>1.8251672630403629E-2</v>
      </c>
      <c r="CH34" s="76">
        <f t="shared" si="36"/>
        <v>1.4843990399409195E-2</v>
      </c>
      <c r="CI34" s="76">
        <f t="shared" si="37"/>
        <v>1.012809579490606E-2</v>
      </c>
      <c r="CJ34" s="76">
        <f t="shared" si="38"/>
        <v>7.0097131252033096E-2</v>
      </c>
      <c r="CK34" s="63">
        <f t="shared" si="39"/>
        <v>11860.297999999995</v>
      </c>
    </row>
    <row r="35" spans="1:90" ht="18.75" customHeight="1" x14ac:dyDescent="0.35">
      <c r="A35" s="50">
        <f t="shared" si="40"/>
        <v>28</v>
      </c>
      <c r="B35" s="58">
        <v>2</v>
      </c>
      <c r="C35" s="52" t="s">
        <v>218</v>
      </c>
      <c r="D35" s="52"/>
      <c r="E35" s="52"/>
      <c r="F35" s="53"/>
      <c r="G35" s="54">
        <v>40</v>
      </c>
      <c r="H35" s="55">
        <f t="shared" si="0"/>
        <v>0</v>
      </c>
      <c r="I35" s="53">
        <v>3440</v>
      </c>
      <c r="J35" s="56">
        <v>50</v>
      </c>
      <c r="K35" s="55">
        <f t="shared" si="1"/>
        <v>172000</v>
      </c>
      <c r="L35" s="53"/>
      <c r="M35" s="57">
        <v>60</v>
      </c>
      <c r="N35" s="55">
        <f t="shared" si="2"/>
        <v>0</v>
      </c>
      <c r="O35" s="53">
        <v>1788</v>
      </c>
      <c r="P35" s="57">
        <v>12</v>
      </c>
      <c r="Q35" s="55">
        <f t="shared" si="3"/>
        <v>21456</v>
      </c>
      <c r="R35" s="53">
        <v>930</v>
      </c>
      <c r="S35" s="59">
        <v>12</v>
      </c>
      <c r="T35" s="55">
        <f t="shared" si="43"/>
        <v>11160</v>
      </c>
      <c r="U35" s="53">
        <v>743</v>
      </c>
      <c r="V35" s="57">
        <v>8</v>
      </c>
      <c r="W35" s="55">
        <f t="shared" si="5"/>
        <v>5944</v>
      </c>
      <c r="X35" s="53">
        <v>656</v>
      </c>
      <c r="Y35" s="57">
        <v>12</v>
      </c>
      <c r="Z35" s="55">
        <f t="shared" si="6"/>
        <v>7872</v>
      </c>
      <c r="AA35" s="53">
        <v>760</v>
      </c>
      <c r="AB35" s="57">
        <v>10</v>
      </c>
      <c r="AC35" s="55">
        <f t="shared" si="7"/>
        <v>7600</v>
      </c>
      <c r="AD35" s="53">
        <v>204</v>
      </c>
      <c r="AE35" s="57">
        <v>25</v>
      </c>
      <c r="AF35" s="55">
        <f t="shared" si="8"/>
        <v>5100</v>
      </c>
      <c r="AG35" s="53">
        <v>498</v>
      </c>
      <c r="AH35" s="57">
        <v>7.5</v>
      </c>
      <c r="AI35" s="55">
        <f t="shared" si="9"/>
        <v>3735</v>
      </c>
      <c r="AJ35" s="53"/>
      <c r="AK35" s="56">
        <v>15</v>
      </c>
      <c r="AL35" s="55">
        <f t="shared" si="10"/>
        <v>0</v>
      </c>
      <c r="AM35" s="53"/>
      <c r="AN35" s="57">
        <v>10</v>
      </c>
      <c r="AO35" s="55">
        <f t="shared" si="11"/>
        <v>0</v>
      </c>
      <c r="AP35" s="53">
        <f t="shared" si="12"/>
        <v>3791</v>
      </c>
      <c r="AQ35" s="53"/>
      <c r="AR35" s="61"/>
      <c r="AS35" s="53"/>
      <c r="AT35" s="53"/>
      <c r="AU35" s="55"/>
      <c r="AV35" s="53"/>
      <c r="AW35" s="53"/>
      <c r="AX35" s="66">
        <v>877</v>
      </c>
      <c r="AY35" s="53"/>
      <c r="AZ35" s="68">
        <f t="shared" si="13"/>
        <v>0.51976744186046508</v>
      </c>
      <c r="BA35" s="68">
        <f t="shared" si="14"/>
        <v>1.1020348837209302</v>
      </c>
      <c r="BB35" s="68">
        <f t="shared" si="15"/>
        <v>0.49049217002237139</v>
      </c>
      <c r="BC35" s="55">
        <f t="shared" si="16"/>
        <v>209676</v>
      </c>
      <c r="BD35" s="55">
        <f t="shared" si="17"/>
        <v>188260</v>
      </c>
      <c r="BE35" s="55">
        <f t="shared" si="18"/>
        <v>209676</v>
      </c>
      <c r="BF35" s="55">
        <f t="shared" si="19"/>
        <v>213411</v>
      </c>
      <c r="BG35" s="62">
        <v>252221</v>
      </c>
      <c r="BH35" s="63">
        <v>167198.12</v>
      </c>
      <c r="BI35" s="69">
        <f t="shared" si="20"/>
        <v>66.290324754877659</v>
      </c>
      <c r="BJ35" s="70">
        <f t="shared" si="21"/>
        <v>16089</v>
      </c>
      <c r="BK35" s="71">
        <f t="shared" si="22"/>
        <v>6.378929589526644E-2</v>
      </c>
      <c r="BL35" s="72">
        <f t="shared" si="45"/>
        <v>2</v>
      </c>
      <c r="BM35" s="61">
        <f t="shared" si="23"/>
        <v>24500</v>
      </c>
      <c r="BN35" s="69">
        <f t="shared" si="24"/>
        <v>3.0308416326530612</v>
      </c>
      <c r="BO35" s="73">
        <f t="shared" si="25"/>
        <v>5061</v>
      </c>
      <c r="BP35" s="69">
        <f t="shared" si="26"/>
        <v>14.672124086148981</v>
      </c>
      <c r="BQ35" s="61">
        <f t="shared" si="27"/>
        <v>12000</v>
      </c>
      <c r="BR35" s="69">
        <f t="shared" si="28"/>
        <v>6.1879683333333331</v>
      </c>
      <c r="BS35" s="64">
        <f t="shared" si="29"/>
        <v>16605.619999999995</v>
      </c>
      <c r="BT35" s="69">
        <f t="shared" si="30"/>
        <v>4.4717162021050711</v>
      </c>
      <c r="BU35" s="65">
        <v>74255.62</v>
      </c>
      <c r="BV35" s="74">
        <f t="shared" si="31"/>
        <v>29.440696849191777</v>
      </c>
      <c r="BW35" s="75">
        <f t="shared" si="32"/>
        <v>10767.260000000009</v>
      </c>
      <c r="BX35" s="69">
        <f t="shared" si="33"/>
        <v>4.2689783959305565</v>
      </c>
      <c r="BY35" s="55">
        <v>3877</v>
      </c>
      <c r="BZ35" s="55">
        <v>6364</v>
      </c>
      <c r="CA35" s="55">
        <v>4768</v>
      </c>
      <c r="CB35" s="55">
        <v>1080</v>
      </c>
      <c r="CC35" s="64">
        <v>24500</v>
      </c>
      <c r="CD35" s="64">
        <v>5061</v>
      </c>
      <c r="CE35" s="64">
        <v>12000</v>
      </c>
      <c r="CF35" s="76">
        <f t="shared" si="34"/>
        <v>1.5371440125921315E-2</v>
      </c>
      <c r="CG35" s="76">
        <f t="shared" si="35"/>
        <v>2.5231840330503803E-2</v>
      </c>
      <c r="CH35" s="76">
        <f t="shared" si="36"/>
        <v>1.890405636326872E-2</v>
      </c>
      <c r="CI35" s="76">
        <f t="shared" si="37"/>
        <v>4.2819590755726125E-3</v>
      </c>
      <c r="CJ35" s="76">
        <f t="shared" si="38"/>
        <v>9.7137034584749093E-2</v>
      </c>
      <c r="CK35" s="63">
        <f t="shared" si="39"/>
        <v>2153.452000000002</v>
      </c>
    </row>
    <row r="36" spans="1:90" ht="18.75" customHeight="1" x14ac:dyDescent="0.35">
      <c r="A36" s="50">
        <f t="shared" si="40"/>
        <v>29</v>
      </c>
      <c r="B36" s="51">
        <v>2</v>
      </c>
      <c r="C36" s="52" t="s">
        <v>220</v>
      </c>
      <c r="D36" s="52"/>
      <c r="E36" s="52"/>
      <c r="F36" s="53"/>
      <c r="G36" s="54">
        <v>40</v>
      </c>
      <c r="H36" s="55">
        <f t="shared" si="0"/>
        <v>0</v>
      </c>
      <c r="I36" s="53">
        <v>4079</v>
      </c>
      <c r="J36" s="56">
        <v>50</v>
      </c>
      <c r="K36" s="55">
        <f t="shared" si="1"/>
        <v>203950</v>
      </c>
      <c r="L36" s="53"/>
      <c r="M36" s="57">
        <v>60</v>
      </c>
      <c r="N36" s="55">
        <f t="shared" si="2"/>
        <v>0</v>
      </c>
      <c r="O36" s="53">
        <v>1480</v>
      </c>
      <c r="P36" s="57">
        <v>12</v>
      </c>
      <c r="Q36" s="55">
        <f t="shared" si="3"/>
        <v>17760</v>
      </c>
      <c r="R36" s="53">
        <v>3350</v>
      </c>
      <c r="S36" s="59">
        <v>12</v>
      </c>
      <c r="T36" s="55">
        <f t="shared" si="43"/>
        <v>40200</v>
      </c>
      <c r="U36" s="53">
        <v>383</v>
      </c>
      <c r="V36" s="57">
        <v>8</v>
      </c>
      <c r="W36" s="55">
        <f t="shared" si="5"/>
        <v>3064</v>
      </c>
      <c r="X36" s="53">
        <v>227</v>
      </c>
      <c r="Y36" s="57">
        <v>12</v>
      </c>
      <c r="Z36" s="55">
        <f t="shared" si="6"/>
        <v>2724</v>
      </c>
      <c r="AA36" s="53">
        <v>470</v>
      </c>
      <c r="AB36" s="57">
        <v>10</v>
      </c>
      <c r="AC36" s="55">
        <f t="shared" si="7"/>
        <v>4700</v>
      </c>
      <c r="AD36" s="53">
        <v>191</v>
      </c>
      <c r="AE36" s="57">
        <v>25</v>
      </c>
      <c r="AF36" s="55">
        <f t="shared" si="8"/>
        <v>4775</v>
      </c>
      <c r="AG36" s="53"/>
      <c r="AH36" s="57">
        <v>7.5</v>
      </c>
      <c r="AI36" s="55">
        <f t="shared" si="9"/>
        <v>0</v>
      </c>
      <c r="AJ36" s="53"/>
      <c r="AK36" s="56">
        <v>15</v>
      </c>
      <c r="AL36" s="55">
        <f t="shared" si="10"/>
        <v>0</v>
      </c>
      <c r="AM36" s="53"/>
      <c r="AN36" s="57">
        <v>10</v>
      </c>
      <c r="AO36" s="55">
        <f t="shared" si="11"/>
        <v>0</v>
      </c>
      <c r="AP36" s="53">
        <f t="shared" si="12"/>
        <v>4621</v>
      </c>
      <c r="AQ36" s="53"/>
      <c r="AR36" s="61"/>
      <c r="AS36" s="53"/>
      <c r="AT36" s="53"/>
      <c r="AU36" s="55"/>
      <c r="AV36" s="53"/>
      <c r="AW36" s="53"/>
      <c r="AX36" s="66">
        <f>588+12</f>
        <v>600</v>
      </c>
      <c r="AY36" s="53"/>
      <c r="AZ36" s="68">
        <f t="shared" si="13"/>
        <v>0.36283402794802649</v>
      </c>
      <c r="BA36" s="68">
        <f t="shared" si="14"/>
        <v>1.1328757048296152</v>
      </c>
      <c r="BB36" s="68">
        <f t="shared" si="15"/>
        <v>0.40540540540540543</v>
      </c>
      <c r="BC36" s="55">
        <f t="shared" si="16"/>
        <v>259413</v>
      </c>
      <c r="BD36" s="55">
        <f t="shared" si="17"/>
        <v>248925</v>
      </c>
      <c r="BE36" s="55">
        <f t="shared" si="18"/>
        <v>259413</v>
      </c>
      <c r="BF36" s="55">
        <f t="shared" si="19"/>
        <v>259413</v>
      </c>
      <c r="BG36" s="62">
        <v>287898</v>
      </c>
      <c r="BH36" s="63">
        <v>190176.33</v>
      </c>
      <c r="BI36" s="69">
        <f t="shared" si="20"/>
        <v>66.056843048579694</v>
      </c>
      <c r="BJ36" s="70">
        <f t="shared" si="21"/>
        <v>23750</v>
      </c>
      <c r="BK36" s="71">
        <f t="shared" si="22"/>
        <v>8.2494494577940794E-2</v>
      </c>
      <c r="BL36" s="72">
        <f t="shared" si="45"/>
        <v>2</v>
      </c>
      <c r="BM36" s="61">
        <f t="shared" si="23"/>
        <v>24750</v>
      </c>
      <c r="BN36" s="69">
        <f t="shared" si="24"/>
        <v>2.8980775757575756</v>
      </c>
      <c r="BO36" s="73">
        <f t="shared" si="25"/>
        <v>0</v>
      </c>
      <c r="BP36" s="69" t="e">
        <f t="shared" si="26"/>
        <v>#DIV/0!</v>
      </c>
      <c r="BQ36" s="61">
        <f t="shared" si="27"/>
        <v>10000</v>
      </c>
      <c r="BR36" s="69">
        <f t="shared" si="28"/>
        <v>7.1727419999999995</v>
      </c>
      <c r="BS36" s="64">
        <f t="shared" si="29"/>
        <v>13227.419999999998</v>
      </c>
      <c r="BT36" s="69">
        <f t="shared" si="30"/>
        <v>5.4226311707044914</v>
      </c>
      <c r="BU36" s="65">
        <v>71727.42</v>
      </c>
      <c r="BV36" s="74">
        <f t="shared" si="31"/>
        <v>24.914177938019716</v>
      </c>
      <c r="BW36" s="75">
        <f t="shared" si="32"/>
        <v>25994.250000000015</v>
      </c>
      <c r="BX36" s="69">
        <f t="shared" si="33"/>
        <v>9.0289790134005852</v>
      </c>
      <c r="BY36" s="55">
        <v>11268</v>
      </c>
      <c r="BZ36" s="55">
        <v>6364</v>
      </c>
      <c r="CA36" s="55">
        <v>4768</v>
      </c>
      <c r="CB36" s="55">
        <v>1350</v>
      </c>
      <c r="CC36" s="64">
        <v>24750</v>
      </c>
      <c r="CD36" s="64"/>
      <c r="CE36" s="64">
        <v>10000</v>
      </c>
      <c r="CF36" s="76">
        <f t="shared" si="34"/>
        <v>3.9138861680178397E-2</v>
      </c>
      <c r="CG36" s="76">
        <f t="shared" si="35"/>
        <v>2.2105051094484851E-2</v>
      </c>
      <c r="CH36" s="76">
        <f t="shared" si="36"/>
        <v>1.6561421058847229E-2</v>
      </c>
      <c r="CI36" s="76">
        <f t="shared" si="37"/>
        <v>4.689160744430319E-3</v>
      </c>
      <c r="CJ36" s="76">
        <f t="shared" si="38"/>
        <v>8.5967946981222509E-2</v>
      </c>
      <c r="CK36" s="63">
        <f t="shared" si="39"/>
        <v>5198.8500000000031</v>
      </c>
    </row>
    <row r="37" spans="1:90" ht="18.75" customHeight="1" x14ac:dyDescent="0.35">
      <c r="A37" s="50">
        <f t="shared" si="40"/>
        <v>30</v>
      </c>
      <c r="B37" s="51">
        <v>5</v>
      </c>
      <c r="C37" s="52" t="s">
        <v>209</v>
      </c>
      <c r="D37" s="52"/>
      <c r="E37" s="52"/>
      <c r="F37" s="53"/>
      <c r="G37" s="54">
        <v>40</v>
      </c>
      <c r="H37" s="55">
        <f t="shared" si="0"/>
        <v>0</v>
      </c>
      <c r="I37" s="53">
        <v>8169</v>
      </c>
      <c r="J37" s="56">
        <v>50</v>
      </c>
      <c r="K37" s="55">
        <f t="shared" si="1"/>
        <v>408450</v>
      </c>
      <c r="L37" s="53"/>
      <c r="M37" s="57">
        <v>60</v>
      </c>
      <c r="N37" s="55">
        <f t="shared" si="2"/>
        <v>0</v>
      </c>
      <c r="O37" s="53">
        <v>7457</v>
      </c>
      <c r="P37" s="57">
        <v>12</v>
      </c>
      <c r="Q37" s="55">
        <f t="shared" si="3"/>
        <v>89484</v>
      </c>
      <c r="R37" s="53">
        <v>7311</v>
      </c>
      <c r="S37" s="59">
        <v>12</v>
      </c>
      <c r="T37" s="55">
        <f t="shared" si="43"/>
        <v>87732</v>
      </c>
      <c r="U37" s="53">
        <v>599</v>
      </c>
      <c r="V37" s="57">
        <v>8</v>
      </c>
      <c r="W37" s="55">
        <f t="shared" si="5"/>
        <v>4792</v>
      </c>
      <c r="X37" s="53">
        <v>269</v>
      </c>
      <c r="Y37" s="57">
        <v>12</v>
      </c>
      <c r="Z37" s="55">
        <f t="shared" si="6"/>
        <v>3228</v>
      </c>
      <c r="AA37" s="53">
        <v>762</v>
      </c>
      <c r="AB37" s="57">
        <v>10</v>
      </c>
      <c r="AC37" s="55">
        <f t="shared" si="7"/>
        <v>7620</v>
      </c>
      <c r="AD37" s="53">
        <v>343</v>
      </c>
      <c r="AE37" s="57">
        <v>25</v>
      </c>
      <c r="AF37" s="55">
        <f t="shared" si="8"/>
        <v>8575</v>
      </c>
      <c r="AG37" s="53">
        <v>692</v>
      </c>
      <c r="AH37" s="57">
        <v>7.5</v>
      </c>
      <c r="AI37" s="55">
        <f t="shared" si="9"/>
        <v>5190</v>
      </c>
      <c r="AJ37" s="53"/>
      <c r="AK37" s="56">
        <v>15</v>
      </c>
      <c r="AL37" s="55">
        <f t="shared" si="10"/>
        <v>0</v>
      </c>
      <c r="AM37" s="53">
        <v>362</v>
      </c>
      <c r="AN37" s="57">
        <v>10</v>
      </c>
      <c r="AO37" s="55">
        <f t="shared" si="11"/>
        <v>3620</v>
      </c>
      <c r="AP37" s="53">
        <f t="shared" si="12"/>
        <v>10338</v>
      </c>
      <c r="AQ37" s="53"/>
      <c r="AR37" s="61"/>
      <c r="AS37" s="53"/>
      <c r="AT37" s="53"/>
      <c r="AU37" s="55"/>
      <c r="AV37" s="53"/>
      <c r="AW37" s="53"/>
      <c r="AX37" s="66">
        <v>2701</v>
      </c>
      <c r="AY37" s="53"/>
      <c r="AZ37" s="68">
        <f t="shared" si="13"/>
        <v>0.91284122903660181</v>
      </c>
      <c r="BA37" s="68">
        <f t="shared" si="14"/>
        <v>1.2655159750275431</v>
      </c>
      <c r="BB37" s="68">
        <f t="shared" si="15"/>
        <v>0.36221000402306558</v>
      </c>
      <c r="BC37" s="55">
        <f t="shared" si="16"/>
        <v>520397</v>
      </c>
      <c r="BD37" s="55">
        <f t="shared" si="17"/>
        <v>504757</v>
      </c>
      <c r="BE37" s="55">
        <f t="shared" si="18"/>
        <v>520397</v>
      </c>
      <c r="BF37" s="55">
        <f t="shared" si="19"/>
        <v>525587</v>
      </c>
      <c r="BG37" s="62">
        <v>668798</v>
      </c>
      <c r="BH37" s="63">
        <v>441940.75</v>
      </c>
      <c r="BI37" s="69">
        <f t="shared" si="20"/>
        <v>66.079855202916278</v>
      </c>
      <c r="BJ37" s="70">
        <f t="shared" si="21"/>
        <v>44235</v>
      </c>
      <c r="BK37" s="71">
        <f t="shared" si="22"/>
        <v>6.6141047072509188E-2</v>
      </c>
      <c r="BL37" s="72">
        <v>5</v>
      </c>
      <c r="BM37" s="61">
        <f t="shared" si="23"/>
        <v>53750</v>
      </c>
      <c r="BN37" s="69">
        <f t="shared" si="24"/>
        <v>3.3538764651162789</v>
      </c>
      <c r="BO37" s="73">
        <f t="shared" si="25"/>
        <v>3000</v>
      </c>
      <c r="BP37" s="69">
        <f t="shared" si="26"/>
        <v>60.090286666666664</v>
      </c>
      <c r="BQ37" s="61">
        <f t="shared" si="27"/>
        <v>44000</v>
      </c>
      <c r="BR37" s="69">
        <f t="shared" si="28"/>
        <v>4.0970649999999997</v>
      </c>
      <c r="BS37" s="64">
        <f t="shared" si="29"/>
        <v>35285.859999999986</v>
      </c>
      <c r="BT37" s="69">
        <f t="shared" si="30"/>
        <v>5.1088696718742312</v>
      </c>
      <c r="BU37" s="65">
        <v>180270.86</v>
      </c>
      <c r="BV37" s="74">
        <f t="shared" si="31"/>
        <v>26.954455605429441</v>
      </c>
      <c r="BW37" s="75">
        <f t="shared" si="32"/>
        <v>46586.390000000014</v>
      </c>
      <c r="BX37" s="69">
        <f t="shared" si="33"/>
        <v>6.9656891916542838</v>
      </c>
      <c r="BY37" s="55">
        <v>15126</v>
      </c>
      <c r="BZ37" s="55">
        <v>12728</v>
      </c>
      <c r="CA37" s="55">
        <v>13141</v>
      </c>
      <c r="CB37" s="55">
        <v>3240</v>
      </c>
      <c r="CC37" s="64">
        <v>53750</v>
      </c>
      <c r="CD37" s="64">
        <v>3000</v>
      </c>
      <c r="CE37" s="64">
        <v>44000</v>
      </c>
      <c r="CF37" s="76">
        <f t="shared" si="34"/>
        <v>2.2616694427913957E-2</v>
      </c>
      <c r="CG37" s="76">
        <f t="shared" si="35"/>
        <v>1.9031157389824731E-2</v>
      </c>
      <c r="CH37" s="76">
        <f t="shared" si="36"/>
        <v>1.9648683159937678E-2</v>
      </c>
      <c r="CI37" s="76">
        <f t="shared" si="37"/>
        <v>4.8445120948328192E-3</v>
      </c>
      <c r="CJ37" s="76">
        <f t="shared" si="38"/>
        <v>8.0368063301624701E-2</v>
      </c>
      <c r="CK37" s="63">
        <f t="shared" si="39"/>
        <v>9317.2780000000039</v>
      </c>
    </row>
    <row r="38" spans="1:90" ht="18.75" customHeight="1" x14ac:dyDescent="0.35">
      <c r="A38" s="50">
        <f t="shared" si="40"/>
        <v>31</v>
      </c>
      <c r="B38" s="51" t="s">
        <v>106</v>
      </c>
      <c r="C38" s="52" t="s">
        <v>107</v>
      </c>
      <c r="D38" s="52"/>
      <c r="E38" s="52"/>
      <c r="F38" s="53"/>
      <c r="G38" s="54">
        <v>40</v>
      </c>
      <c r="H38" s="55">
        <f t="shared" si="0"/>
        <v>0</v>
      </c>
      <c r="I38" s="53">
        <v>22672</v>
      </c>
      <c r="J38" s="56">
        <v>50</v>
      </c>
      <c r="K38" s="55">
        <f t="shared" si="1"/>
        <v>1133600</v>
      </c>
      <c r="L38" s="53"/>
      <c r="M38" s="57">
        <v>60</v>
      </c>
      <c r="N38" s="55">
        <f t="shared" si="2"/>
        <v>0</v>
      </c>
      <c r="O38" s="53">
        <v>11021</v>
      </c>
      <c r="P38" s="57">
        <v>12</v>
      </c>
      <c r="Q38" s="55">
        <f t="shared" si="3"/>
        <v>132252</v>
      </c>
      <c r="R38" s="53"/>
      <c r="S38" s="59">
        <v>12</v>
      </c>
      <c r="T38" s="55">
        <f t="shared" si="43"/>
        <v>0</v>
      </c>
      <c r="U38" s="53">
        <v>992</v>
      </c>
      <c r="V38" s="57">
        <v>8</v>
      </c>
      <c r="W38" s="55">
        <f t="shared" si="5"/>
        <v>7936</v>
      </c>
      <c r="X38" s="53">
        <v>556</v>
      </c>
      <c r="Y38" s="57">
        <v>12</v>
      </c>
      <c r="Z38" s="55">
        <f t="shared" si="6"/>
        <v>6672</v>
      </c>
      <c r="AA38" s="53">
        <v>1086</v>
      </c>
      <c r="AB38" s="57">
        <v>10</v>
      </c>
      <c r="AC38" s="55">
        <f t="shared" si="7"/>
        <v>10860</v>
      </c>
      <c r="AD38" s="53">
        <v>568</v>
      </c>
      <c r="AE38" s="57">
        <v>25</v>
      </c>
      <c r="AF38" s="55">
        <f t="shared" si="8"/>
        <v>14200</v>
      </c>
      <c r="AG38" s="53">
        <v>389</v>
      </c>
      <c r="AH38" s="57">
        <v>7.5</v>
      </c>
      <c r="AI38" s="55">
        <f t="shared" si="9"/>
        <v>2917.5</v>
      </c>
      <c r="AJ38" s="53"/>
      <c r="AK38" s="56">
        <v>15</v>
      </c>
      <c r="AL38" s="55">
        <f t="shared" si="10"/>
        <v>0</v>
      </c>
      <c r="AM38" s="53">
        <v>992</v>
      </c>
      <c r="AN38" s="57">
        <v>10</v>
      </c>
      <c r="AO38" s="55">
        <f>AM38*AX37</f>
        <v>2679392</v>
      </c>
      <c r="AP38" s="53">
        <f t="shared" si="12"/>
        <v>4583</v>
      </c>
      <c r="AQ38" s="53"/>
      <c r="AR38" s="61"/>
      <c r="AS38" s="53"/>
      <c r="AT38" s="53"/>
      <c r="AU38" s="55"/>
      <c r="AV38" s="53"/>
      <c r="AW38" s="53"/>
      <c r="AX38" s="66">
        <v>3121</v>
      </c>
      <c r="AY38" s="53"/>
      <c r="AZ38" s="68">
        <f t="shared" si="13"/>
        <v>0.48610621030345802</v>
      </c>
      <c r="BA38" s="68">
        <f t="shared" si="14"/>
        <v>0.20214361326746647</v>
      </c>
      <c r="BB38" s="68">
        <f t="shared" si="15"/>
        <v>0.28318664368024682</v>
      </c>
      <c r="BC38" s="55">
        <f t="shared" si="16"/>
        <v>1173268</v>
      </c>
      <c r="BD38" s="55">
        <f t="shared" si="17"/>
        <v>1147800</v>
      </c>
      <c r="BE38" s="55">
        <f t="shared" si="18"/>
        <v>1173268</v>
      </c>
      <c r="BF38" s="55">
        <f t="shared" si="19"/>
        <v>1176185.5</v>
      </c>
      <c r="BG38" s="62">
        <v>1370820.5</v>
      </c>
      <c r="BH38" s="63">
        <v>938743.63</v>
      </c>
      <c r="BI38" s="69">
        <f t="shared" si="20"/>
        <v>68.480419573532785</v>
      </c>
      <c r="BJ38" s="70">
        <f t="shared" si="21"/>
        <v>82275</v>
      </c>
      <c r="BK38" s="71">
        <f t="shared" si="22"/>
        <v>6.0018798960184791E-2</v>
      </c>
      <c r="BL38" s="72" t="str">
        <f t="shared" ref="BL38:BL39" si="46">B38</f>
        <v>,9</v>
      </c>
      <c r="BM38" s="61">
        <f t="shared" si="23"/>
        <v>105424.5</v>
      </c>
      <c r="BN38" s="69">
        <f t="shared" si="24"/>
        <v>2.9586603683204564</v>
      </c>
      <c r="BO38" s="73">
        <f t="shared" si="25"/>
        <v>0</v>
      </c>
      <c r="BP38" s="69" t="e">
        <f t="shared" si="26"/>
        <v>#DIV/0!</v>
      </c>
      <c r="BQ38" s="61">
        <f t="shared" si="27"/>
        <v>30500</v>
      </c>
      <c r="BR38" s="69">
        <f t="shared" si="28"/>
        <v>10.226730819672131</v>
      </c>
      <c r="BS38" s="64">
        <f t="shared" si="29"/>
        <v>93715.789999999979</v>
      </c>
      <c r="BT38" s="69">
        <f t="shared" si="30"/>
        <v>3.3283109495208869</v>
      </c>
      <c r="BU38" s="65">
        <v>311915.28999999998</v>
      </c>
      <c r="BV38" s="74">
        <f t="shared" si="31"/>
        <v>22.753911981911561</v>
      </c>
      <c r="BW38" s="75">
        <f t="shared" si="32"/>
        <v>120161.58000000002</v>
      </c>
      <c r="BX38" s="69">
        <f t="shared" si="33"/>
        <v>8.7656684445556525</v>
      </c>
      <c r="BY38" s="55">
        <v>30102</v>
      </c>
      <c r="BZ38" s="55">
        <v>20683</v>
      </c>
      <c r="CA38" s="55">
        <v>24200</v>
      </c>
      <c r="CB38" s="55">
        <v>7290</v>
      </c>
      <c r="CC38" s="64">
        <v>105424.5</v>
      </c>
      <c r="CD38" s="64"/>
      <c r="CE38" s="64">
        <v>30500</v>
      </c>
      <c r="CF38" s="76">
        <f t="shared" si="34"/>
        <v>2.1959111349735431E-2</v>
      </c>
      <c r="CG38" s="76">
        <f t="shared" si="35"/>
        <v>1.5088043985335789E-2</v>
      </c>
      <c r="CH38" s="76">
        <f t="shared" si="36"/>
        <v>1.7653660709042503E-2</v>
      </c>
      <c r="CI38" s="76">
        <f t="shared" si="37"/>
        <v>5.3179829160710686E-3</v>
      </c>
      <c r="CJ38" s="76">
        <f t="shared" si="38"/>
        <v>7.6906130306630224E-2</v>
      </c>
      <c r="CK38" s="63">
        <f t="shared" si="39"/>
        <v>24032.316000000006</v>
      </c>
    </row>
    <row r="39" spans="1:90" ht="18.75" customHeight="1" x14ac:dyDescent="0.35">
      <c r="A39" s="50">
        <f t="shared" si="40"/>
        <v>32</v>
      </c>
      <c r="B39" s="58" t="s">
        <v>221</v>
      </c>
      <c r="C39" s="52" t="s">
        <v>222</v>
      </c>
      <c r="D39" s="52"/>
      <c r="E39" s="52"/>
      <c r="F39" s="53"/>
      <c r="G39" s="54">
        <v>40</v>
      </c>
      <c r="H39" s="55">
        <f t="shared" si="0"/>
        <v>0</v>
      </c>
      <c r="I39" s="53">
        <v>3409</v>
      </c>
      <c r="J39" s="56">
        <v>50</v>
      </c>
      <c r="K39" s="55">
        <f t="shared" si="1"/>
        <v>170450</v>
      </c>
      <c r="L39" s="53"/>
      <c r="M39" s="57">
        <v>60</v>
      </c>
      <c r="N39" s="55">
        <f t="shared" si="2"/>
        <v>0</v>
      </c>
      <c r="O39" s="53">
        <v>2357</v>
      </c>
      <c r="P39" s="57">
        <v>12</v>
      </c>
      <c r="Q39" s="55">
        <f t="shared" si="3"/>
        <v>28284</v>
      </c>
      <c r="R39" s="53">
        <v>740</v>
      </c>
      <c r="S39" s="59">
        <v>12</v>
      </c>
      <c r="T39" s="55">
        <f t="shared" si="43"/>
        <v>8880</v>
      </c>
      <c r="U39" s="53">
        <v>226</v>
      </c>
      <c r="V39" s="57">
        <v>8</v>
      </c>
      <c r="W39" s="55">
        <f t="shared" si="5"/>
        <v>1808</v>
      </c>
      <c r="X39" s="53">
        <v>139</v>
      </c>
      <c r="Y39" s="57">
        <v>12</v>
      </c>
      <c r="Z39" s="55">
        <f t="shared" si="6"/>
        <v>1668</v>
      </c>
      <c r="AA39" s="53">
        <v>369</v>
      </c>
      <c r="AB39" s="57">
        <v>10</v>
      </c>
      <c r="AC39" s="55">
        <f t="shared" si="7"/>
        <v>3690</v>
      </c>
      <c r="AD39" s="53">
        <v>91</v>
      </c>
      <c r="AE39" s="57">
        <v>25</v>
      </c>
      <c r="AF39" s="55">
        <f t="shared" si="8"/>
        <v>2275</v>
      </c>
      <c r="AG39" s="53">
        <v>0</v>
      </c>
      <c r="AH39" s="57">
        <v>7.5</v>
      </c>
      <c r="AI39" s="55">
        <f t="shared" si="9"/>
        <v>0</v>
      </c>
      <c r="AJ39" s="53"/>
      <c r="AK39" s="56">
        <v>15</v>
      </c>
      <c r="AL39" s="55">
        <f t="shared" si="10"/>
        <v>0</v>
      </c>
      <c r="AM39" s="53">
        <v>129</v>
      </c>
      <c r="AN39" s="57">
        <v>10</v>
      </c>
      <c r="AO39" s="55">
        <f t="shared" ref="AO39:AO42" si="47">AM39*AN39</f>
        <v>1290</v>
      </c>
      <c r="AP39" s="53">
        <f t="shared" si="12"/>
        <v>1694</v>
      </c>
      <c r="AQ39" s="53"/>
      <c r="AR39" s="61"/>
      <c r="AS39" s="53"/>
      <c r="AT39" s="53"/>
      <c r="AU39" s="55"/>
      <c r="AV39" s="53"/>
      <c r="AW39" s="53"/>
      <c r="AX39" s="66">
        <f>595+143+108+60</f>
        <v>906</v>
      </c>
      <c r="AY39" s="53"/>
      <c r="AZ39" s="68">
        <f t="shared" si="13"/>
        <v>0.69140510413611034</v>
      </c>
      <c r="BA39" s="68">
        <f t="shared" si="14"/>
        <v>0.49691991786447637</v>
      </c>
      <c r="BB39" s="68">
        <f t="shared" si="15"/>
        <v>0.38438693254136613</v>
      </c>
      <c r="BC39" s="55">
        <f t="shared" si="16"/>
        <v>188771</v>
      </c>
      <c r="BD39" s="55">
        <f t="shared" si="17"/>
        <v>181605</v>
      </c>
      <c r="BE39" s="55">
        <f t="shared" si="18"/>
        <v>188771</v>
      </c>
      <c r="BF39" s="55">
        <f t="shared" si="19"/>
        <v>188771</v>
      </c>
      <c r="BG39" s="62">
        <v>236012</v>
      </c>
      <c r="BH39" s="63">
        <v>159304.67000000001</v>
      </c>
      <c r="BI39" s="69">
        <f t="shared" si="20"/>
        <v>67.498546684066923</v>
      </c>
      <c r="BJ39" s="70">
        <f t="shared" si="21"/>
        <v>18574</v>
      </c>
      <c r="BK39" s="71">
        <f t="shared" si="22"/>
        <v>7.8699388166703396E-2</v>
      </c>
      <c r="BL39" s="72" t="str">
        <f t="shared" si="46"/>
        <v>,2</v>
      </c>
      <c r="BM39" s="61">
        <f t="shared" si="23"/>
        <v>24456.5</v>
      </c>
      <c r="BN39" s="69">
        <f t="shared" si="24"/>
        <v>3.415276511356899</v>
      </c>
      <c r="BO39" s="73">
        <f t="shared" si="25"/>
        <v>0</v>
      </c>
      <c r="BP39" s="69" t="e">
        <f t="shared" si="26"/>
        <v>#DIV/0!</v>
      </c>
      <c r="BQ39" s="61">
        <f t="shared" si="27"/>
        <v>15000</v>
      </c>
      <c r="BR39" s="69">
        <f t="shared" si="28"/>
        <v>5.5683806666666671</v>
      </c>
      <c r="BS39" s="64">
        <f t="shared" si="29"/>
        <v>25495.210000000006</v>
      </c>
      <c r="BT39" s="69">
        <f t="shared" si="30"/>
        <v>3.2761334383988201</v>
      </c>
      <c r="BU39" s="65">
        <v>83525.710000000006</v>
      </c>
      <c r="BV39" s="74">
        <f t="shared" si="31"/>
        <v>35.390450485568536</v>
      </c>
      <c r="BW39" s="75">
        <f t="shared" si="32"/>
        <v>-6818.3800000000192</v>
      </c>
      <c r="BX39" s="69">
        <f t="shared" si="33"/>
        <v>-2.8889971696354504</v>
      </c>
      <c r="BY39" s="55">
        <v>7563</v>
      </c>
      <c r="BZ39" s="55">
        <v>4773</v>
      </c>
      <c r="CA39" s="55">
        <v>4888</v>
      </c>
      <c r="CB39" s="55">
        <v>1350</v>
      </c>
      <c r="CC39" s="64">
        <v>24456.5</v>
      </c>
      <c r="CD39" s="64">
        <v>0</v>
      </c>
      <c r="CE39" s="64">
        <v>15000</v>
      </c>
      <c r="CF39" s="76">
        <f t="shared" si="34"/>
        <v>3.204498076368998E-2</v>
      </c>
      <c r="CG39" s="76">
        <f t="shared" si="35"/>
        <v>2.0223547955188718E-2</v>
      </c>
      <c r="CH39" s="76">
        <f t="shared" si="36"/>
        <v>2.0710811314678914E-2</v>
      </c>
      <c r="CI39" s="76">
        <f t="shared" si="37"/>
        <v>5.7200481331457723E-3</v>
      </c>
      <c r="CJ39" s="76">
        <f t="shared" si="38"/>
        <v>0.10362396827279968</v>
      </c>
      <c r="CK39" s="63">
        <f t="shared" si="39"/>
        <v>-1363.676000000004</v>
      </c>
    </row>
    <row r="40" spans="1:90" ht="18.75" customHeight="1" x14ac:dyDescent="0.35">
      <c r="A40" s="50">
        <f t="shared" si="40"/>
        <v>33</v>
      </c>
      <c r="B40" s="58">
        <v>3</v>
      </c>
      <c r="C40" s="52" t="s">
        <v>212</v>
      </c>
      <c r="D40" s="52"/>
      <c r="E40" s="52"/>
      <c r="F40" s="53"/>
      <c r="G40" s="54">
        <v>40</v>
      </c>
      <c r="H40" s="55">
        <f t="shared" si="0"/>
        <v>0</v>
      </c>
      <c r="I40" s="53">
        <v>9115</v>
      </c>
      <c r="J40" s="56">
        <v>50</v>
      </c>
      <c r="K40" s="55">
        <f t="shared" si="1"/>
        <v>455750</v>
      </c>
      <c r="L40" s="53"/>
      <c r="M40" s="57">
        <v>60</v>
      </c>
      <c r="N40" s="55">
        <f t="shared" si="2"/>
        <v>0</v>
      </c>
      <c r="O40" s="53">
        <v>3108</v>
      </c>
      <c r="P40" s="57">
        <v>12</v>
      </c>
      <c r="Q40" s="55">
        <f t="shared" si="3"/>
        <v>37296</v>
      </c>
      <c r="R40" s="53">
        <v>1920</v>
      </c>
      <c r="S40" s="59">
        <v>12</v>
      </c>
      <c r="T40" s="55">
        <f t="shared" si="43"/>
        <v>23040</v>
      </c>
      <c r="U40" s="53">
        <v>598</v>
      </c>
      <c r="V40" s="57">
        <v>8</v>
      </c>
      <c r="W40" s="55">
        <f t="shared" si="5"/>
        <v>4784</v>
      </c>
      <c r="X40" s="53">
        <v>469</v>
      </c>
      <c r="Y40" s="57">
        <v>12</v>
      </c>
      <c r="Z40" s="55">
        <f t="shared" si="6"/>
        <v>5628</v>
      </c>
      <c r="AA40" s="53">
        <v>826</v>
      </c>
      <c r="AB40" s="57">
        <v>10</v>
      </c>
      <c r="AC40" s="55">
        <f t="shared" si="7"/>
        <v>8260</v>
      </c>
      <c r="AD40" s="53">
        <v>350</v>
      </c>
      <c r="AE40" s="57">
        <v>25</v>
      </c>
      <c r="AF40" s="55">
        <f t="shared" si="8"/>
        <v>8750</v>
      </c>
      <c r="AG40" s="53">
        <v>0</v>
      </c>
      <c r="AH40" s="57">
        <v>7.5</v>
      </c>
      <c r="AI40" s="55">
        <f t="shared" si="9"/>
        <v>0</v>
      </c>
      <c r="AJ40" s="53"/>
      <c r="AK40" s="56">
        <v>15</v>
      </c>
      <c r="AL40" s="55">
        <f t="shared" si="10"/>
        <v>0</v>
      </c>
      <c r="AM40" s="53">
        <v>169</v>
      </c>
      <c r="AN40" s="57">
        <v>10</v>
      </c>
      <c r="AO40" s="55">
        <f t="shared" si="47"/>
        <v>1690</v>
      </c>
      <c r="AP40" s="53">
        <f t="shared" si="12"/>
        <v>4332</v>
      </c>
      <c r="AQ40" s="53"/>
      <c r="AR40" s="61"/>
      <c r="AS40" s="53"/>
      <c r="AT40" s="53"/>
      <c r="AU40" s="55"/>
      <c r="AV40" s="53"/>
      <c r="AW40" s="53"/>
      <c r="AX40" s="66">
        <f>982+152+69</f>
        <v>1203</v>
      </c>
      <c r="AY40" s="53"/>
      <c r="AZ40" s="68">
        <f t="shared" si="13"/>
        <v>0.34097641250685684</v>
      </c>
      <c r="BA40" s="68">
        <f t="shared" si="14"/>
        <v>0.47526055951727919</v>
      </c>
      <c r="BB40" s="68">
        <f t="shared" si="15"/>
        <v>0.38706563706563707</v>
      </c>
      <c r="BC40" s="55">
        <f t="shared" si="16"/>
        <v>506212</v>
      </c>
      <c r="BD40" s="55">
        <f t="shared" si="17"/>
        <v>487540</v>
      </c>
      <c r="BE40" s="55">
        <f t="shared" si="18"/>
        <v>506212</v>
      </c>
      <c r="BF40" s="55">
        <f t="shared" si="19"/>
        <v>506212</v>
      </c>
      <c r="BG40" s="62">
        <v>569147</v>
      </c>
      <c r="BH40" s="63">
        <v>380511.7</v>
      </c>
      <c r="BI40" s="69">
        <f t="shared" si="20"/>
        <v>66.856488745438341</v>
      </c>
      <c r="BJ40" s="70">
        <f t="shared" si="21"/>
        <v>41708</v>
      </c>
      <c r="BK40" s="71">
        <f t="shared" si="22"/>
        <v>7.3281595088790771E-2</v>
      </c>
      <c r="BL40" s="72">
        <v>4</v>
      </c>
      <c r="BM40" s="61">
        <f t="shared" si="23"/>
        <v>39460.480000000003</v>
      </c>
      <c r="BN40" s="69">
        <f t="shared" si="24"/>
        <v>3.3897002773407725</v>
      </c>
      <c r="BO40" s="73">
        <f t="shared" si="25"/>
        <v>1560.48</v>
      </c>
      <c r="BP40" s="69">
        <f t="shared" si="26"/>
        <v>85.7167025530606</v>
      </c>
      <c r="BQ40" s="61">
        <f t="shared" si="27"/>
        <v>16500</v>
      </c>
      <c r="BR40" s="69">
        <f t="shared" si="28"/>
        <v>8.1066181818181828</v>
      </c>
      <c r="BS40" s="64">
        <f t="shared" si="29"/>
        <v>34530.240000000005</v>
      </c>
      <c r="BT40" s="69">
        <f t="shared" si="30"/>
        <v>3.8736828936028243</v>
      </c>
      <c r="BU40" s="65">
        <v>133759.20000000001</v>
      </c>
      <c r="BV40" s="74">
        <f t="shared" si="31"/>
        <v>23.501696398294289</v>
      </c>
      <c r="BW40" s="75">
        <f t="shared" si="32"/>
        <v>54876.099999999977</v>
      </c>
      <c r="BX40" s="69">
        <f t="shared" si="33"/>
        <v>9.6418148562673576</v>
      </c>
      <c r="BY40" s="55">
        <v>15133</v>
      </c>
      <c r="BZ40" s="55">
        <v>11137</v>
      </c>
      <c r="CA40" s="55">
        <v>10848</v>
      </c>
      <c r="CB40" s="55">
        <v>4590</v>
      </c>
      <c r="CC40" s="64">
        <v>39460.480000000003</v>
      </c>
      <c r="CD40" s="64">
        <v>1560.48</v>
      </c>
      <c r="CE40" s="64">
        <v>16500</v>
      </c>
      <c r="CF40" s="76">
        <f t="shared" si="34"/>
        <v>2.6588912881909243E-2</v>
      </c>
      <c r="CG40" s="76">
        <f t="shared" si="35"/>
        <v>1.956787965147844E-2</v>
      </c>
      <c r="CH40" s="76">
        <f t="shared" si="36"/>
        <v>1.9060102223151489E-2</v>
      </c>
      <c r="CI40" s="76">
        <f t="shared" si="37"/>
        <v>8.0647003322515971E-3</v>
      </c>
      <c r="CJ40" s="76">
        <f t="shared" si="38"/>
        <v>6.9332668010197718E-2</v>
      </c>
      <c r="CK40" s="63">
        <f t="shared" si="39"/>
        <v>10975.219999999996</v>
      </c>
    </row>
    <row r="41" spans="1:90" ht="18.75" customHeight="1" x14ac:dyDescent="0.35">
      <c r="A41" s="50">
        <f t="shared" si="40"/>
        <v>34</v>
      </c>
      <c r="B41" s="51">
        <v>2</v>
      </c>
      <c r="C41" s="52" t="s">
        <v>223</v>
      </c>
      <c r="D41" s="52"/>
      <c r="E41" s="52"/>
      <c r="F41" s="53"/>
      <c r="G41" s="54">
        <v>40</v>
      </c>
      <c r="H41" s="55">
        <f t="shared" si="0"/>
        <v>0</v>
      </c>
      <c r="I41" s="53">
        <v>3803</v>
      </c>
      <c r="J41" s="56">
        <v>50</v>
      </c>
      <c r="K41" s="55">
        <f t="shared" si="1"/>
        <v>190150</v>
      </c>
      <c r="L41" s="53"/>
      <c r="M41" s="57">
        <v>60</v>
      </c>
      <c r="N41" s="55">
        <f t="shared" si="2"/>
        <v>0</v>
      </c>
      <c r="O41" s="53">
        <v>3444</v>
      </c>
      <c r="P41" s="57">
        <v>12</v>
      </c>
      <c r="Q41" s="55">
        <f t="shared" si="3"/>
        <v>41328</v>
      </c>
      <c r="R41" s="53">
        <v>2885</v>
      </c>
      <c r="S41" s="59">
        <v>12</v>
      </c>
      <c r="T41" s="55">
        <f t="shared" si="43"/>
        <v>34620</v>
      </c>
      <c r="U41" s="53">
        <v>267</v>
      </c>
      <c r="V41" s="57">
        <v>8</v>
      </c>
      <c r="W41" s="55">
        <f t="shared" si="5"/>
        <v>2136</v>
      </c>
      <c r="X41" s="53">
        <v>110</v>
      </c>
      <c r="Y41" s="57">
        <v>12</v>
      </c>
      <c r="Z41" s="55">
        <f t="shared" si="6"/>
        <v>1320</v>
      </c>
      <c r="AA41" s="53">
        <v>336</v>
      </c>
      <c r="AB41" s="57">
        <v>10</v>
      </c>
      <c r="AC41" s="55">
        <f t="shared" si="7"/>
        <v>3360</v>
      </c>
      <c r="AD41" s="53">
        <v>110</v>
      </c>
      <c r="AE41" s="57">
        <v>25</v>
      </c>
      <c r="AF41" s="55">
        <f t="shared" si="8"/>
        <v>2750</v>
      </c>
      <c r="AG41" s="53">
        <v>128</v>
      </c>
      <c r="AH41" s="57">
        <v>7.5</v>
      </c>
      <c r="AI41" s="55">
        <f t="shared" si="9"/>
        <v>960</v>
      </c>
      <c r="AJ41" s="53"/>
      <c r="AK41" s="56">
        <v>15</v>
      </c>
      <c r="AL41" s="55">
        <f t="shared" si="10"/>
        <v>0</v>
      </c>
      <c r="AM41" s="53">
        <v>159</v>
      </c>
      <c r="AN41" s="57">
        <v>10</v>
      </c>
      <c r="AO41" s="55">
        <f t="shared" si="47"/>
        <v>1590</v>
      </c>
      <c r="AP41" s="53">
        <f t="shared" si="12"/>
        <v>3995</v>
      </c>
      <c r="AQ41" s="53"/>
      <c r="AR41" s="61"/>
      <c r="AS41" s="53"/>
      <c r="AT41" s="53"/>
      <c r="AU41" s="55"/>
      <c r="AV41" s="53"/>
      <c r="AW41" s="53"/>
      <c r="AX41" s="66">
        <f>638+23+30+31</f>
        <v>722</v>
      </c>
      <c r="AY41" s="53"/>
      <c r="AZ41" s="68">
        <f t="shared" si="13"/>
        <v>0.90560084144096764</v>
      </c>
      <c r="BA41" s="68">
        <f t="shared" si="14"/>
        <v>1.0504864580594269</v>
      </c>
      <c r="BB41" s="68">
        <f t="shared" si="15"/>
        <v>0.20963995354239257</v>
      </c>
      <c r="BC41" s="55">
        <f t="shared" si="16"/>
        <v>234336</v>
      </c>
      <c r="BD41" s="55">
        <f t="shared" si="17"/>
        <v>227520</v>
      </c>
      <c r="BE41" s="55">
        <f t="shared" si="18"/>
        <v>234336</v>
      </c>
      <c r="BF41" s="55">
        <f t="shared" si="19"/>
        <v>235296</v>
      </c>
      <c r="BG41" s="62">
        <v>292650</v>
      </c>
      <c r="BH41" s="63">
        <v>98707.55</v>
      </c>
      <c r="BI41" s="69">
        <f t="shared" si="20"/>
        <v>33.72887408166752</v>
      </c>
      <c r="BJ41" s="70">
        <f t="shared" si="21"/>
        <v>21598.5</v>
      </c>
      <c r="BK41" s="71">
        <f t="shared" si="22"/>
        <v>7.3803177857508964E-2</v>
      </c>
      <c r="BL41" s="72">
        <f t="shared" ref="BL41:BL42" si="48">B41</f>
        <v>2</v>
      </c>
      <c r="BM41" s="61">
        <f t="shared" si="23"/>
        <v>29412.5</v>
      </c>
      <c r="BN41" s="69">
        <f t="shared" si="24"/>
        <v>3.3165742456438592</v>
      </c>
      <c r="BO41" s="73">
        <f t="shared" si="25"/>
        <v>1250</v>
      </c>
      <c r="BP41" s="69">
        <f t="shared" si="26"/>
        <v>78.038992000000007</v>
      </c>
      <c r="BQ41" s="61">
        <f t="shared" si="27"/>
        <v>20000</v>
      </c>
      <c r="BR41" s="69">
        <f t="shared" si="28"/>
        <v>4.8774370000000005</v>
      </c>
      <c r="BS41" s="64">
        <f t="shared" si="29"/>
        <v>25287.740000000005</v>
      </c>
      <c r="BT41" s="69">
        <f t="shared" si="30"/>
        <v>3.8575507340711344</v>
      </c>
      <c r="BU41" s="65">
        <v>97548.74</v>
      </c>
      <c r="BV41" s="74">
        <f t="shared" si="31"/>
        <v>33.332902784896639</v>
      </c>
      <c r="BW41" s="75">
        <f t="shared" si="32"/>
        <v>96393.71</v>
      </c>
      <c r="BX41" s="69">
        <f t="shared" si="33"/>
        <v>32.938223133435848</v>
      </c>
      <c r="BY41" s="55">
        <v>11269.5</v>
      </c>
      <c r="BZ41" s="55">
        <v>4773</v>
      </c>
      <c r="CA41" s="55">
        <v>3936</v>
      </c>
      <c r="CB41" s="55">
        <v>1620</v>
      </c>
      <c r="CC41" s="64">
        <v>29412.5</v>
      </c>
      <c r="CD41" s="64">
        <v>1250</v>
      </c>
      <c r="CE41" s="64">
        <v>20000</v>
      </c>
      <c r="CF41" s="76">
        <f t="shared" si="34"/>
        <v>3.8508457201435163E-2</v>
      </c>
      <c r="CG41" s="76">
        <f t="shared" si="35"/>
        <v>1.6309584828293183E-2</v>
      </c>
      <c r="CH41" s="76">
        <f t="shared" si="36"/>
        <v>1.34495130702204E-2</v>
      </c>
      <c r="CI41" s="76">
        <f t="shared" si="37"/>
        <v>5.5356227575602259E-3</v>
      </c>
      <c r="CJ41" s="76">
        <f t="shared" si="38"/>
        <v>0.10050401503502478</v>
      </c>
      <c r="CK41" s="63">
        <f t="shared" si="39"/>
        <v>19278.742000000002</v>
      </c>
    </row>
    <row r="42" spans="1:90" ht="18.75" customHeight="1" x14ac:dyDescent="0.35">
      <c r="A42" s="50">
        <f t="shared" si="40"/>
        <v>35</v>
      </c>
      <c r="B42" s="51">
        <v>6</v>
      </c>
      <c r="C42" s="52" t="s">
        <v>115</v>
      </c>
      <c r="D42" s="52"/>
      <c r="E42" s="52"/>
      <c r="F42" s="53"/>
      <c r="G42" s="54">
        <v>40</v>
      </c>
      <c r="H42" s="55">
        <f t="shared" si="0"/>
        <v>0</v>
      </c>
      <c r="I42" s="53">
        <v>16099</v>
      </c>
      <c r="J42" s="56">
        <v>50</v>
      </c>
      <c r="K42" s="55">
        <f t="shared" si="1"/>
        <v>804950</v>
      </c>
      <c r="L42" s="53"/>
      <c r="M42" s="57">
        <v>60</v>
      </c>
      <c r="N42" s="55">
        <f t="shared" si="2"/>
        <v>0</v>
      </c>
      <c r="O42" s="53">
        <v>6781</v>
      </c>
      <c r="P42" s="57">
        <v>12</v>
      </c>
      <c r="Q42" s="55">
        <f t="shared" si="3"/>
        <v>81372</v>
      </c>
      <c r="R42" s="53">
        <v>0</v>
      </c>
      <c r="S42" s="59">
        <v>12</v>
      </c>
      <c r="T42" s="55">
        <f t="shared" si="43"/>
        <v>0</v>
      </c>
      <c r="U42" s="53">
        <v>780</v>
      </c>
      <c r="V42" s="57">
        <v>8</v>
      </c>
      <c r="W42" s="55">
        <f t="shared" si="5"/>
        <v>6240</v>
      </c>
      <c r="X42" s="53">
        <v>266</v>
      </c>
      <c r="Y42" s="57">
        <v>12</v>
      </c>
      <c r="Z42" s="55">
        <f t="shared" si="6"/>
        <v>3192</v>
      </c>
      <c r="AA42" s="53">
        <v>856</v>
      </c>
      <c r="AB42" s="57">
        <v>10</v>
      </c>
      <c r="AC42" s="55">
        <f t="shared" si="7"/>
        <v>8560</v>
      </c>
      <c r="AD42" s="53">
        <v>327</v>
      </c>
      <c r="AE42" s="57">
        <v>25</v>
      </c>
      <c r="AF42" s="55">
        <f t="shared" si="8"/>
        <v>8175</v>
      </c>
      <c r="AG42" s="53">
        <v>265</v>
      </c>
      <c r="AH42" s="57">
        <v>7.5</v>
      </c>
      <c r="AI42" s="55">
        <f t="shared" si="9"/>
        <v>1987.5</v>
      </c>
      <c r="AJ42" s="53"/>
      <c r="AK42" s="56">
        <v>15</v>
      </c>
      <c r="AL42" s="55">
        <f t="shared" si="10"/>
        <v>0</v>
      </c>
      <c r="AM42" s="53">
        <v>300</v>
      </c>
      <c r="AN42" s="57">
        <v>10</v>
      </c>
      <c r="AO42" s="55">
        <f t="shared" si="47"/>
        <v>3000</v>
      </c>
      <c r="AP42" s="53">
        <f t="shared" si="12"/>
        <v>2794</v>
      </c>
      <c r="AQ42" s="53"/>
      <c r="AR42" s="61"/>
      <c r="AS42" s="53"/>
      <c r="AT42" s="53"/>
      <c r="AU42" s="55"/>
      <c r="AV42" s="53"/>
      <c r="AW42" s="53"/>
      <c r="AX42" s="66">
        <f>1432+299+834+260</f>
        <v>2825</v>
      </c>
      <c r="AY42" s="53"/>
      <c r="AZ42" s="68">
        <f t="shared" si="13"/>
        <v>0.42120628610472699</v>
      </c>
      <c r="BA42" s="68">
        <f t="shared" si="14"/>
        <v>0.17355115224548109</v>
      </c>
      <c r="BB42" s="68">
        <f t="shared" si="15"/>
        <v>0.41660522046895737</v>
      </c>
      <c r="BC42" s="55">
        <f t="shared" si="16"/>
        <v>831117</v>
      </c>
      <c r="BD42" s="55">
        <f t="shared" si="17"/>
        <v>813125</v>
      </c>
      <c r="BE42" s="55">
        <f t="shared" si="18"/>
        <v>831117</v>
      </c>
      <c r="BF42" s="55">
        <f t="shared" si="19"/>
        <v>833104.5</v>
      </c>
      <c r="BG42" s="62">
        <v>967219.5</v>
      </c>
      <c r="BH42" s="63">
        <v>651526.97</v>
      </c>
      <c r="BI42" s="69">
        <f t="shared" si="20"/>
        <v>67.360818304428307</v>
      </c>
      <c r="BJ42" s="70">
        <f t="shared" si="21"/>
        <v>56658</v>
      </c>
      <c r="BK42" s="71">
        <f t="shared" si="22"/>
        <v>5.8578223453931599E-2</v>
      </c>
      <c r="BL42" s="72">
        <f t="shared" si="48"/>
        <v>6</v>
      </c>
      <c r="BM42" s="61">
        <f t="shared" si="23"/>
        <v>68975</v>
      </c>
      <c r="BN42" s="69">
        <f t="shared" si="24"/>
        <v>3.0488352301558534</v>
      </c>
      <c r="BO42" s="73">
        <f t="shared" si="25"/>
        <v>0</v>
      </c>
      <c r="BP42" s="69" t="e">
        <f t="shared" si="26"/>
        <v>#DIV/0!</v>
      </c>
      <c r="BQ42" s="61">
        <f t="shared" si="27"/>
        <v>10000</v>
      </c>
      <c r="BR42" s="69">
        <f t="shared" si="28"/>
        <v>21.029340999999999</v>
      </c>
      <c r="BS42" s="64">
        <f t="shared" si="29"/>
        <v>74660.41</v>
      </c>
      <c r="BT42" s="69">
        <f t="shared" si="30"/>
        <v>2.8166656197039366</v>
      </c>
      <c r="BU42" s="65">
        <v>210293.41</v>
      </c>
      <c r="BV42" s="74">
        <f t="shared" si="31"/>
        <v>21.742056482525427</v>
      </c>
      <c r="BW42" s="75">
        <f t="shared" si="32"/>
        <v>105399.12000000002</v>
      </c>
      <c r="BX42" s="69">
        <f t="shared" si="33"/>
        <v>10.897125213046266</v>
      </c>
      <c r="BY42" s="55">
        <v>15126</v>
      </c>
      <c r="BZ42" s="55">
        <v>19092</v>
      </c>
      <c r="CA42" s="55">
        <v>18120</v>
      </c>
      <c r="CB42" s="55">
        <v>4320</v>
      </c>
      <c r="CC42" s="64">
        <v>68975</v>
      </c>
      <c r="CD42" s="64">
        <v>0</v>
      </c>
      <c r="CE42" s="64">
        <v>10000</v>
      </c>
      <c r="CF42" s="76">
        <f t="shared" si="34"/>
        <v>1.563864252116505E-2</v>
      </c>
      <c r="CG42" s="76">
        <f t="shared" si="35"/>
        <v>1.9739056129451486E-2</v>
      </c>
      <c r="CH42" s="76">
        <f t="shared" si="36"/>
        <v>1.8734113611233023E-2</v>
      </c>
      <c r="CI42" s="76">
        <f t="shared" si="37"/>
        <v>4.4664111920820456E-3</v>
      </c>
      <c r="CJ42" s="76">
        <f t="shared" si="38"/>
        <v>7.1312664808763679E-2</v>
      </c>
      <c r="CK42" s="63">
        <f t="shared" si="39"/>
        <v>21079.824000000008</v>
      </c>
    </row>
    <row r="43" spans="1:90" ht="18.75" customHeight="1" x14ac:dyDescent="0.3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9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80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81"/>
      <c r="BW43" s="78"/>
      <c r="BX43" s="78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78"/>
    </row>
    <row r="44" spans="1:90" ht="18.75" customHeight="1" x14ac:dyDescent="0.35">
      <c r="A44" s="383" t="s">
        <v>224</v>
      </c>
      <c r="B44" s="384"/>
      <c r="C44" s="387" t="s">
        <v>225</v>
      </c>
      <c r="D44" s="83"/>
      <c r="E44" s="83"/>
      <c r="F44" s="388" t="s">
        <v>226</v>
      </c>
      <c r="G44" s="389"/>
      <c r="H44" s="389"/>
      <c r="I44" s="389"/>
      <c r="J44" s="389"/>
      <c r="K44" s="389"/>
      <c r="L44" s="389"/>
      <c r="M44" s="389"/>
      <c r="N44" s="389"/>
      <c r="O44" s="389"/>
      <c r="P44" s="38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  <c r="AM44" s="389"/>
      <c r="AN44" s="389"/>
      <c r="AO44" s="389"/>
      <c r="AP44" s="389"/>
      <c r="AQ44" s="389"/>
      <c r="AR44" s="389"/>
      <c r="AS44" s="389"/>
      <c r="AT44" s="389"/>
      <c r="AU44" s="389"/>
      <c r="AV44" s="389"/>
      <c r="AW44" s="389"/>
      <c r="AX44" s="390"/>
      <c r="AY44" s="84"/>
      <c r="AZ44" s="391"/>
      <c r="BA44" s="391"/>
      <c r="BB44" s="391"/>
      <c r="BC44" s="392" t="s">
        <v>227</v>
      </c>
      <c r="BD44" s="392" t="s">
        <v>228</v>
      </c>
      <c r="BE44" s="392" t="s">
        <v>229</v>
      </c>
      <c r="BF44" s="392" t="s">
        <v>230</v>
      </c>
      <c r="BG44" s="398" t="s">
        <v>231</v>
      </c>
      <c r="BH44" s="400" t="s">
        <v>232</v>
      </c>
      <c r="BI44" s="85"/>
      <c r="BJ44" s="86"/>
      <c r="BK44" s="86"/>
      <c r="BL44" s="86"/>
      <c r="BM44" s="86"/>
      <c r="BN44" s="86"/>
      <c r="BO44" s="86"/>
      <c r="BP44" s="86"/>
      <c r="BQ44" s="86"/>
      <c r="BR44" s="86"/>
      <c r="BS44" s="402"/>
      <c r="BT44" s="87"/>
      <c r="BU44" s="403" t="s">
        <v>64</v>
      </c>
      <c r="BV44" s="88"/>
      <c r="BW44" s="395" t="s">
        <v>233</v>
      </c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396" t="s">
        <v>68</v>
      </c>
      <c r="CL44" s="89"/>
    </row>
    <row r="45" spans="1:90" ht="26.25" customHeight="1" x14ac:dyDescent="0.35">
      <c r="A45" s="385"/>
      <c r="B45" s="386"/>
      <c r="C45" s="377"/>
      <c r="D45" s="90"/>
      <c r="E45" s="90"/>
      <c r="F45" s="91" t="s">
        <v>234</v>
      </c>
      <c r="G45" s="92" t="s">
        <v>70</v>
      </c>
      <c r="H45" s="93" t="s">
        <v>71</v>
      </c>
      <c r="I45" s="91" t="s">
        <v>235</v>
      </c>
      <c r="J45" s="94" t="s">
        <v>70</v>
      </c>
      <c r="K45" s="95" t="s">
        <v>71</v>
      </c>
      <c r="L45" s="91" t="s">
        <v>73</v>
      </c>
      <c r="M45" s="94" t="s">
        <v>70</v>
      </c>
      <c r="N45" s="95" t="s">
        <v>71</v>
      </c>
      <c r="O45" s="96" t="s">
        <v>236</v>
      </c>
      <c r="P45" s="92" t="s">
        <v>70</v>
      </c>
      <c r="Q45" s="93" t="s">
        <v>71</v>
      </c>
      <c r="R45" s="96" t="s">
        <v>31</v>
      </c>
      <c r="S45" s="92" t="s">
        <v>70</v>
      </c>
      <c r="T45" s="93" t="s">
        <v>71</v>
      </c>
      <c r="U45" s="91" t="s">
        <v>237</v>
      </c>
      <c r="V45" s="92" t="s">
        <v>70</v>
      </c>
      <c r="W45" s="93" t="s">
        <v>71</v>
      </c>
      <c r="X45" s="91" t="s">
        <v>238</v>
      </c>
      <c r="Y45" s="92" t="s">
        <v>70</v>
      </c>
      <c r="Z45" s="93" t="s">
        <v>71</v>
      </c>
      <c r="AA45" s="91" t="s">
        <v>239</v>
      </c>
      <c r="AB45" s="92" t="s">
        <v>70</v>
      </c>
      <c r="AC45" s="93" t="s">
        <v>71</v>
      </c>
      <c r="AD45" s="91" t="s">
        <v>240</v>
      </c>
      <c r="AE45" s="92" t="s">
        <v>70</v>
      </c>
      <c r="AF45" s="93" t="s">
        <v>71</v>
      </c>
      <c r="AG45" s="97" t="s">
        <v>241</v>
      </c>
      <c r="AH45" s="92" t="s">
        <v>70</v>
      </c>
      <c r="AI45" s="98" t="s">
        <v>71</v>
      </c>
      <c r="AJ45" s="97" t="s">
        <v>82</v>
      </c>
      <c r="AK45" s="99" t="s">
        <v>70</v>
      </c>
      <c r="AL45" s="98" t="s">
        <v>71</v>
      </c>
      <c r="AM45" s="97" t="s">
        <v>83</v>
      </c>
      <c r="AN45" s="99" t="s">
        <v>70</v>
      </c>
      <c r="AO45" s="98" t="s">
        <v>71</v>
      </c>
      <c r="AP45" s="91" t="s">
        <v>242</v>
      </c>
      <c r="AQ45" s="91" t="s">
        <v>84</v>
      </c>
      <c r="AR45" s="94" t="s">
        <v>85</v>
      </c>
      <c r="AS45" s="95" t="s">
        <v>86</v>
      </c>
      <c r="AT45" s="91" t="s">
        <v>87</v>
      </c>
      <c r="AU45" s="94" t="s">
        <v>243</v>
      </c>
      <c r="AV45" s="95" t="s">
        <v>86</v>
      </c>
      <c r="AW45" s="95" t="s">
        <v>41</v>
      </c>
      <c r="AX45" s="91" t="s">
        <v>42</v>
      </c>
      <c r="AY45" s="100" t="s">
        <v>89</v>
      </c>
      <c r="AZ45" s="377"/>
      <c r="BA45" s="377"/>
      <c r="BB45" s="377"/>
      <c r="BC45" s="377"/>
      <c r="BD45" s="377"/>
      <c r="BE45" s="377"/>
      <c r="BF45" s="377"/>
      <c r="BG45" s="399"/>
      <c r="BH45" s="401"/>
      <c r="BI45" s="101"/>
      <c r="BJ45" s="90"/>
      <c r="BK45" s="90"/>
      <c r="BL45" s="90" t="s">
        <v>244</v>
      </c>
      <c r="BM45" s="90"/>
      <c r="BN45" s="90"/>
      <c r="BO45" s="90"/>
      <c r="BP45" s="90"/>
      <c r="BQ45" s="90"/>
      <c r="BR45" s="90"/>
      <c r="BS45" s="401"/>
      <c r="BT45" s="102"/>
      <c r="BU45" s="399"/>
      <c r="BV45" s="103"/>
      <c r="BW45" s="377"/>
      <c r="BX45" s="90"/>
      <c r="BY45" s="90"/>
      <c r="BZ45" s="90"/>
      <c r="CA45" s="90"/>
      <c r="CB45" s="90"/>
      <c r="CC45" s="90"/>
      <c r="CD45" s="90"/>
      <c r="CE45" s="90"/>
      <c r="CF45" s="90"/>
      <c r="CG45" s="90"/>
      <c r="CH45" s="90"/>
      <c r="CI45" s="90"/>
      <c r="CJ45" s="90"/>
      <c r="CK45" s="397"/>
      <c r="CL45" s="104"/>
    </row>
    <row r="46" spans="1:90" ht="18.75" customHeight="1" x14ac:dyDescent="0.35">
      <c r="A46" s="393">
        <f>SUM(B8:B42)</f>
        <v>148</v>
      </c>
      <c r="B46" s="394"/>
      <c r="C46" s="105"/>
      <c r="D46" s="106"/>
      <c r="E46" s="106"/>
      <c r="F46" s="107">
        <f>SUM(F8:F42)</f>
        <v>0</v>
      </c>
      <c r="G46" s="108">
        <v>40</v>
      </c>
      <c r="H46" s="107">
        <f>F46*G46</f>
        <v>0</v>
      </c>
      <c r="I46" s="107">
        <f>SUM(I8:I42)</f>
        <v>349303</v>
      </c>
      <c r="J46" s="109">
        <v>50</v>
      </c>
      <c r="K46" s="107">
        <f>J46*I46</f>
        <v>17465150</v>
      </c>
      <c r="L46" s="107">
        <f>SUM(L8:L42)</f>
        <v>0</v>
      </c>
      <c r="M46" s="108">
        <v>60</v>
      </c>
      <c r="N46" s="107">
        <f>M46*L46</f>
        <v>0</v>
      </c>
      <c r="O46" s="110">
        <f>SUM(O8:O42)</f>
        <v>181371</v>
      </c>
      <c r="P46" s="111">
        <v>12</v>
      </c>
      <c r="Q46" s="110">
        <f>O46*P46</f>
        <v>2176452</v>
      </c>
      <c r="R46" s="110">
        <f>SUM(R8:R42)</f>
        <v>61724</v>
      </c>
      <c r="S46" s="112">
        <v>12</v>
      </c>
      <c r="T46" s="110">
        <f>R46*S46</f>
        <v>740688</v>
      </c>
      <c r="U46" s="113">
        <f>SUM(U8:U42)</f>
        <v>28168</v>
      </c>
      <c r="V46" s="111">
        <v>8</v>
      </c>
      <c r="W46" s="110">
        <f>U46*V46</f>
        <v>225344</v>
      </c>
      <c r="X46" s="110">
        <f>SUM(X8:X42)</f>
        <v>16110</v>
      </c>
      <c r="Y46" s="111">
        <v>12</v>
      </c>
      <c r="Z46" s="110">
        <f>X46*Y46</f>
        <v>193320</v>
      </c>
      <c r="AA46" s="110">
        <f>SUM(AA8:AA42)</f>
        <v>32364</v>
      </c>
      <c r="AB46" s="111">
        <v>10</v>
      </c>
      <c r="AC46" s="110">
        <f>AA46*AB46</f>
        <v>323640</v>
      </c>
      <c r="AD46" s="110">
        <f>SUM(AD8:AD42)</f>
        <v>9608</v>
      </c>
      <c r="AE46" s="111">
        <v>25</v>
      </c>
      <c r="AF46" s="110">
        <f>AD46*AE46</f>
        <v>240200</v>
      </c>
      <c r="AG46" s="110">
        <f>SUM(AG8:AG42)</f>
        <v>11556</v>
      </c>
      <c r="AH46" s="111">
        <v>7.5</v>
      </c>
      <c r="AI46" s="110">
        <f>AG46*AH46</f>
        <v>86670</v>
      </c>
      <c r="AJ46" s="110">
        <f>SUM(AJ8:AJ42)</f>
        <v>0</v>
      </c>
      <c r="AK46" s="114">
        <v>15</v>
      </c>
      <c r="AL46" s="110">
        <f>AJ46*AK46</f>
        <v>0</v>
      </c>
      <c r="AM46" s="110">
        <f>SUM(AM8:AM42)</f>
        <v>7765</v>
      </c>
      <c r="AN46" s="111">
        <v>12</v>
      </c>
      <c r="AO46" s="110">
        <f>AM46*AN46</f>
        <v>93180</v>
      </c>
      <c r="AP46" s="110">
        <f>SUM(AM46,AG46,AD46,AA46,X46,U46,R46)</f>
        <v>167295</v>
      </c>
      <c r="AQ46" s="110">
        <f>SUM(AQ8:AQ42)</f>
        <v>0</v>
      </c>
      <c r="AR46" s="115">
        <v>4</v>
      </c>
      <c r="AS46" s="110">
        <f>SUM(AQ46*AR46)</f>
        <v>0</v>
      </c>
      <c r="AT46" s="110">
        <f>SUM(AT8:AT42)</f>
        <v>0</v>
      </c>
      <c r="AU46" s="116">
        <v>6</v>
      </c>
      <c r="AV46" s="110">
        <f>SUM(AT46*AU46)</f>
        <v>0</v>
      </c>
      <c r="AW46" s="110">
        <f>SUM(AW8:AW42)</f>
        <v>0</v>
      </c>
      <c r="AX46" s="110">
        <f>SUM(AS46+AV46+AW46)</f>
        <v>0</v>
      </c>
      <c r="AY46" s="107">
        <f>SUM(AY8:AY42)</f>
        <v>0</v>
      </c>
      <c r="AZ46" s="107"/>
      <c r="BA46" s="107"/>
      <c r="BB46" s="107"/>
      <c r="BC46" s="107">
        <f t="shared" ref="BC46:BH46" si="49">SUM(BC8:BC42)</f>
        <v>19188342</v>
      </c>
      <c r="BD46" s="107">
        <f t="shared" si="49"/>
        <v>18446038</v>
      </c>
      <c r="BE46" s="107">
        <f t="shared" si="49"/>
        <v>19188342</v>
      </c>
      <c r="BF46" s="107">
        <f t="shared" si="49"/>
        <v>19275012</v>
      </c>
      <c r="BG46" s="117">
        <f t="shared" si="49"/>
        <v>22764699</v>
      </c>
      <c r="BH46" s="118">
        <f t="shared" si="49"/>
        <v>15218057.740000002</v>
      </c>
      <c r="BI46" s="119"/>
      <c r="BJ46" s="120"/>
      <c r="BK46" s="120"/>
      <c r="BL46" s="136">
        <f>SUM(BL8:BL42)</f>
        <v>149</v>
      </c>
      <c r="BM46" s="120"/>
      <c r="BN46" s="120"/>
      <c r="BO46" s="120"/>
      <c r="BP46" s="120"/>
      <c r="BQ46" s="120"/>
      <c r="BR46" s="120"/>
      <c r="BS46" s="120"/>
      <c r="BT46" s="121"/>
      <c r="BU46" s="123">
        <f>SUM(BU8:BU45)</f>
        <v>5723242.6200000001</v>
      </c>
      <c r="BV46" s="124"/>
      <c r="BW46" s="125">
        <f>SUM(BW8:BW45)</f>
        <v>1823398.6399999997</v>
      </c>
      <c r="BX46" s="126"/>
      <c r="BY46" s="120"/>
      <c r="BZ46" s="120"/>
      <c r="CA46" s="120"/>
      <c r="CB46" s="120"/>
      <c r="CC46" s="120"/>
      <c r="CD46" s="120"/>
      <c r="CE46" s="120"/>
      <c r="CF46" s="120"/>
      <c r="CG46" s="120"/>
      <c r="CH46" s="120"/>
      <c r="CI46" s="120"/>
      <c r="CJ46" s="120"/>
      <c r="CK46" s="127">
        <f>SUM(CK8:CK42)</f>
        <v>364679.728</v>
      </c>
      <c r="CL46" s="89"/>
    </row>
    <row r="47" spans="1:90" ht="15" customHeight="1" x14ac:dyDescent="0.35">
      <c r="A47" s="128"/>
      <c r="B47" s="128"/>
      <c r="C47" s="128"/>
      <c r="D47" s="128"/>
      <c r="E47" s="128"/>
      <c r="F47" s="129"/>
      <c r="G47" s="130"/>
      <c r="H47" s="129"/>
      <c r="I47" s="129"/>
      <c r="J47" s="129"/>
      <c r="K47" s="129"/>
      <c r="L47" s="129"/>
      <c r="M47" s="129"/>
      <c r="N47" s="129"/>
      <c r="O47" s="129"/>
      <c r="P47" s="130"/>
      <c r="Q47" s="129"/>
      <c r="R47" s="129"/>
      <c r="S47" s="131"/>
      <c r="T47" s="129"/>
      <c r="U47" s="132"/>
      <c r="V47" s="130"/>
      <c r="W47" s="129"/>
      <c r="X47" s="129"/>
      <c r="Y47" s="130"/>
      <c r="Z47" s="129"/>
      <c r="AA47" s="129"/>
      <c r="AB47" s="130"/>
      <c r="AC47" s="129"/>
      <c r="AD47" s="129"/>
      <c r="AE47" s="130"/>
      <c r="AF47" s="129"/>
      <c r="AG47" s="129"/>
      <c r="AH47" s="130"/>
      <c r="AI47" s="129"/>
      <c r="AJ47" s="129"/>
      <c r="AK47" s="133"/>
      <c r="AL47" s="129"/>
      <c r="AM47" s="129"/>
      <c r="AN47" s="130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/>
      <c r="BE47" s="129"/>
      <c r="BF47" s="129"/>
      <c r="BG47" s="129"/>
      <c r="BH47" s="129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  <c r="BS47" s="134"/>
      <c r="BT47" s="134"/>
      <c r="BU47" s="134"/>
      <c r="BV47" s="135"/>
      <c r="BW47" s="137">
        <f>BW46*20%</f>
        <v>364679.72799999994</v>
      </c>
      <c r="BX47" s="138">
        <v>0.2</v>
      </c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78"/>
    </row>
    <row r="48" spans="1:90" ht="15" customHeight="1" x14ac:dyDescent="0.35">
      <c r="BV48" s="140"/>
      <c r="BY48" s="141"/>
      <c r="BZ48" s="141"/>
      <c r="CA48" s="141"/>
      <c r="CB48" s="141"/>
      <c r="CC48" s="141"/>
      <c r="CD48" s="141"/>
      <c r="CE48" s="141"/>
      <c r="CF48" s="141"/>
      <c r="CG48" s="141"/>
      <c r="CH48" s="141"/>
      <c r="CI48" s="141"/>
      <c r="CJ48" s="141"/>
      <c r="CK48" s="141"/>
    </row>
    <row r="49" spans="74:89" ht="15" customHeight="1" x14ac:dyDescent="0.35">
      <c r="BV49" s="140"/>
      <c r="BY49" s="141"/>
      <c r="BZ49" s="141"/>
      <c r="CA49" s="141"/>
      <c r="CB49" s="141"/>
      <c r="CC49" s="141"/>
      <c r="CD49" s="141"/>
      <c r="CE49" s="141"/>
      <c r="CF49" s="141"/>
      <c r="CG49" s="141"/>
      <c r="CH49" s="141"/>
      <c r="CI49" s="141"/>
      <c r="CJ49" s="141"/>
      <c r="CK49" s="141"/>
    </row>
    <row r="50" spans="74:89" ht="15" customHeight="1" x14ac:dyDescent="0.35">
      <c r="BV50" s="140"/>
      <c r="BY50" s="141"/>
      <c r="BZ50" s="141"/>
      <c r="CA50" s="141"/>
      <c r="CB50" s="141"/>
      <c r="CC50" s="141"/>
      <c r="CD50" s="141"/>
      <c r="CE50" s="141"/>
      <c r="CF50" s="141"/>
      <c r="CG50" s="141"/>
      <c r="CH50" s="141"/>
      <c r="CI50" s="141"/>
      <c r="CJ50" s="141"/>
      <c r="CK50" s="141"/>
    </row>
    <row r="51" spans="74:89" ht="15" customHeight="1" x14ac:dyDescent="0.35">
      <c r="BV51" s="140"/>
      <c r="BY51" s="141"/>
      <c r="BZ51" s="141"/>
      <c r="CA51" s="141"/>
      <c r="CB51" s="141"/>
      <c r="CC51" s="141"/>
      <c r="CD51" s="141"/>
      <c r="CE51" s="141"/>
      <c r="CF51" s="141"/>
      <c r="CG51" s="141"/>
      <c r="CH51" s="141"/>
      <c r="CI51" s="141"/>
      <c r="CJ51" s="141"/>
      <c r="CK51" s="141"/>
    </row>
    <row r="52" spans="74:89" ht="15" customHeight="1" x14ac:dyDescent="0.35">
      <c r="BV52" s="140"/>
      <c r="BY52" s="141"/>
      <c r="BZ52" s="141"/>
      <c r="CA52" s="141"/>
      <c r="CB52" s="141"/>
      <c r="CC52" s="141"/>
      <c r="CD52" s="141"/>
      <c r="CE52" s="141"/>
      <c r="CF52" s="141"/>
      <c r="CG52" s="141"/>
      <c r="CH52" s="141"/>
      <c r="CI52" s="141"/>
      <c r="CJ52" s="141"/>
      <c r="CK52" s="141"/>
    </row>
    <row r="53" spans="74:89" ht="15" customHeight="1" x14ac:dyDescent="0.35">
      <c r="BV53" s="140"/>
      <c r="BY53" s="141"/>
      <c r="BZ53" s="141"/>
      <c r="CA53" s="141"/>
      <c r="CB53" s="141"/>
      <c r="CC53" s="141"/>
      <c r="CD53" s="141"/>
      <c r="CE53" s="141"/>
      <c r="CF53" s="141"/>
      <c r="CG53" s="141"/>
      <c r="CH53" s="141"/>
      <c r="CI53" s="141"/>
      <c r="CJ53" s="141"/>
      <c r="CK53" s="141"/>
    </row>
    <row r="54" spans="74:89" ht="15" customHeight="1" x14ac:dyDescent="0.35">
      <c r="BV54" s="140"/>
      <c r="BY54" s="141"/>
      <c r="BZ54" s="141"/>
      <c r="CA54" s="141"/>
      <c r="CB54" s="141"/>
      <c r="CC54" s="141"/>
      <c r="CD54" s="141"/>
      <c r="CE54" s="141"/>
      <c r="CF54" s="141"/>
      <c r="CG54" s="141"/>
      <c r="CH54" s="141"/>
      <c r="CI54" s="141"/>
      <c r="CJ54" s="141"/>
      <c r="CK54" s="141"/>
    </row>
    <row r="55" spans="74:89" ht="15" customHeight="1" x14ac:dyDescent="0.35">
      <c r="BV55" s="140"/>
      <c r="BY55" s="141"/>
      <c r="BZ55" s="141"/>
      <c r="CA55" s="141"/>
      <c r="CB55" s="141"/>
      <c r="CC55" s="141"/>
      <c r="CD55" s="141"/>
      <c r="CE55" s="141"/>
      <c r="CF55" s="141"/>
      <c r="CG55" s="141"/>
      <c r="CH55" s="141"/>
      <c r="CI55" s="141"/>
      <c r="CJ55" s="141"/>
      <c r="CK55" s="141"/>
    </row>
    <row r="56" spans="74:89" ht="15" customHeight="1" x14ac:dyDescent="0.35">
      <c r="BV56" s="140"/>
      <c r="BY56" s="141"/>
      <c r="BZ56" s="141"/>
      <c r="CA56" s="141"/>
      <c r="CB56" s="141"/>
      <c r="CC56" s="141"/>
      <c r="CD56" s="141"/>
      <c r="CE56" s="141"/>
      <c r="CF56" s="141"/>
      <c r="CG56" s="141"/>
      <c r="CH56" s="141"/>
      <c r="CI56" s="141"/>
      <c r="CJ56" s="141"/>
      <c r="CK56" s="141"/>
    </row>
    <row r="57" spans="74:89" ht="15" customHeight="1" x14ac:dyDescent="0.35">
      <c r="BV57" s="140"/>
      <c r="BY57" s="141"/>
      <c r="BZ57" s="141"/>
      <c r="CA57" s="141"/>
      <c r="CB57" s="141"/>
      <c r="CC57" s="141"/>
      <c r="CD57" s="141"/>
      <c r="CE57" s="141"/>
      <c r="CF57" s="141"/>
      <c r="CG57" s="141"/>
      <c r="CH57" s="141"/>
      <c r="CI57" s="141"/>
      <c r="CJ57" s="141"/>
      <c r="CK57" s="141"/>
    </row>
    <row r="58" spans="74:89" ht="15" customHeight="1" x14ac:dyDescent="0.35">
      <c r="BV58" s="140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</row>
    <row r="59" spans="74:89" ht="15" customHeight="1" x14ac:dyDescent="0.35">
      <c r="BV59" s="140"/>
      <c r="BY59" s="141"/>
      <c r="BZ59" s="141"/>
      <c r="CA59" s="141"/>
      <c r="CB59" s="141"/>
      <c r="CC59" s="141"/>
      <c r="CD59" s="141"/>
      <c r="CE59" s="141"/>
      <c r="CF59" s="141"/>
      <c r="CG59" s="141"/>
      <c r="CH59" s="141"/>
      <c r="CI59" s="141"/>
      <c r="CJ59" s="141"/>
      <c r="CK59" s="141"/>
    </row>
    <row r="60" spans="74:89" ht="15" customHeight="1" x14ac:dyDescent="0.35">
      <c r="BV60" s="140"/>
      <c r="BY60" s="141"/>
      <c r="BZ60" s="141"/>
      <c r="CA60" s="141"/>
      <c r="CB60" s="141"/>
      <c r="CC60" s="141"/>
      <c r="CD60" s="141"/>
      <c r="CE60" s="141"/>
      <c r="CF60" s="141"/>
      <c r="CG60" s="141"/>
      <c r="CH60" s="141"/>
      <c r="CI60" s="141"/>
      <c r="CJ60" s="141"/>
      <c r="CK60" s="141"/>
    </row>
    <row r="61" spans="74:89" ht="15" customHeight="1" x14ac:dyDescent="0.35">
      <c r="BV61" s="140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</row>
    <row r="62" spans="74:89" ht="15" customHeight="1" x14ac:dyDescent="0.35">
      <c r="BV62" s="140"/>
      <c r="BY62" s="141"/>
      <c r="BZ62" s="141"/>
      <c r="CA62" s="141"/>
      <c r="CB62" s="141"/>
      <c r="CC62" s="141"/>
      <c r="CD62" s="141"/>
      <c r="CE62" s="141"/>
      <c r="CF62" s="141"/>
      <c r="CG62" s="141"/>
      <c r="CH62" s="141"/>
      <c r="CI62" s="141"/>
      <c r="CJ62" s="141"/>
      <c r="CK62" s="141"/>
    </row>
    <row r="63" spans="74:89" ht="15" customHeight="1" x14ac:dyDescent="0.35">
      <c r="BV63" s="140"/>
      <c r="BY63" s="141"/>
      <c r="BZ63" s="141"/>
      <c r="CA63" s="141"/>
      <c r="CB63" s="141"/>
      <c r="CC63" s="141"/>
      <c r="CD63" s="141"/>
      <c r="CE63" s="141"/>
      <c r="CF63" s="141"/>
      <c r="CG63" s="141"/>
      <c r="CH63" s="141"/>
      <c r="CI63" s="141"/>
      <c r="CJ63" s="141"/>
      <c r="CK63" s="141"/>
    </row>
    <row r="64" spans="74:89" ht="15" customHeight="1" x14ac:dyDescent="0.35">
      <c r="BV64" s="140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</row>
    <row r="65" spans="74:89" ht="15" customHeight="1" x14ac:dyDescent="0.35">
      <c r="BV65" s="140"/>
      <c r="BY65" s="141"/>
      <c r="BZ65" s="141"/>
      <c r="CA65" s="141"/>
      <c r="CB65" s="141"/>
      <c r="CC65" s="141"/>
      <c r="CD65" s="141"/>
      <c r="CE65" s="141"/>
      <c r="CF65" s="141"/>
      <c r="CG65" s="141"/>
      <c r="CH65" s="141"/>
      <c r="CI65" s="141"/>
      <c r="CJ65" s="141"/>
      <c r="CK65" s="141"/>
    </row>
    <row r="66" spans="74:89" ht="15" customHeight="1" x14ac:dyDescent="0.35">
      <c r="BV66" s="140"/>
      <c r="BY66" s="141"/>
      <c r="BZ66" s="141"/>
      <c r="CA66" s="141"/>
      <c r="CB66" s="141"/>
      <c r="CC66" s="141"/>
      <c r="CD66" s="141"/>
      <c r="CE66" s="141"/>
      <c r="CF66" s="141"/>
      <c r="CG66" s="141"/>
      <c r="CH66" s="141"/>
      <c r="CI66" s="141"/>
      <c r="CJ66" s="141"/>
      <c r="CK66" s="141"/>
    </row>
    <row r="67" spans="74:89" ht="15" customHeight="1" x14ac:dyDescent="0.35">
      <c r="BV67" s="140"/>
      <c r="BY67" s="141"/>
      <c r="BZ67" s="141"/>
      <c r="CA67" s="141"/>
      <c r="CB67" s="141"/>
      <c r="CC67" s="141"/>
      <c r="CD67" s="141"/>
      <c r="CE67" s="141"/>
      <c r="CF67" s="141"/>
      <c r="CG67" s="141"/>
      <c r="CH67" s="141"/>
      <c r="CI67" s="141"/>
      <c r="CJ67" s="141"/>
      <c r="CK67" s="141"/>
    </row>
    <row r="68" spans="74:89" ht="15" customHeight="1" x14ac:dyDescent="0.35">
      <c r="BV68" s="140"/>
      <c r="BY68" s="141"/>
      <c r="BZ68" s="141"/>
      <c r="CA68" s="141"/>
      <c r="CB68" s="141"/>
      <c r="CC68" s="141"/>
      <c r="CD68" s="141"/>
      <c r="CE68" s="141"/>
      <c r="CF68" s="141"/>
      <c r="CG68" s="141"/>
      <c r="CH68" s="141"/>
      <c r="CI68" s="141"/>
      <c r="CJ68" s="141"/>
      <c r="CK68" s="141"/>
    </row>
    <row r="69" spans="74:89" ht="15" customHeight="1" x14ac:dyDescent="0.35">
      <c r="BV69" s="140"/>
      <c r="BY69" s="141"/>
      <c r="BZ69" s="141"/>
      <c r="CA69" s="141"/>
      <c r="CB69" s="141"/>
      <c r="CC69" s="141"/>
      <c r="CD69" s="141"/>
      <c r="CE69" s="141"/>
      <c r="CF69" s="141"/>
      <c r="CG69" s="141"/>
      <c r="CH69" s="141"/>
      <c r="CI69" s="141"/>
      <c r="CJ69" s="141"/>
      <c r="CK69" s="141"/>
    </row>
    <row r="70" spans="74:89" ht="15" customHeight="1" x14ac:dyDescent="0.35">
      <c r="BV70" s="140"/>
      <c r="BY70" s="141"/>
      <c r="BZ70" s="141"/>
      <c r="CA70" s="141"/>
      <c r="CB70" s="141"/>
      <c r="CC70" s="141"/>
      <c r="CD70" s="141"/>
      <c r="CE70" s="141"/>
      <c r="CF70" s="141"/>
      <c r="CG70" s="141"/>
      <c r="CH70" s="141"/>
      <c r="CI70" s="141"/>
      <c r="CJ70" s="141"/>
      <c r="CK70" s="141"/>
    </row>
    <row r="71" spans="74:89" ht="15" customHeight="1" x14ac:dyDescent="0.35">
      <c r="BV71" s="140"/>
      <c r="BY71" s="141"/>
      <c r="BZ71" s="141"/>
      <c r="CA71" s="141"/>
      <c r="CB71" s="141"/>
      <c r="CC71" s="141"/>
      <c r="CD71" s="141"/>
      <c r="CE71" s="141"/>
      <c r="CF71" s="141"/>
      <c r="CG71" s="141"/>
      <c r="CH71" s="141"/>
      <c r="CI71" s="141"/>
      <c r="CJ71" s="141"/>
      <c r="CK71" s="141"/>
    </row>
    <row r="72" spans="74:89" ht="15" customHeight="1" x14ac:dyDescent="0.35">
      <c r="BV72" s="140"/>
      <c r="BY72" s="141"/>
      <c r="BZ72" s="141"/>
      <c r="CA72" s="141"/>
      <c r="CB72" s="141"/>
      <c r="CC72" s="141"/>
      <c r="CD72" s="141"/>
      <c r="CE72" s="141"/>
      <c r="CF72" s="141"/>
      <c r="CG72" s="141"/>
      <c r="CH72" s="141"/>
      <c r="CI72" s="141"/>
      <c r="CJ72" s="141"/>
      <c r="CK72" s="141"/>
    </row>
    <row r="73" spans="74:89" ht="15" customHeight="1" x14ac:dyDescent="0.35">
      <c r="BV73" s="140"/>
      <c r="BY73" s="141"/>
      <c r="BZ73" s="141"/>
      <c r="CA73" s="141"/>
      <c r="CB73" s="141"/>
      <c r="CC73" s="141"/>
      <c r="CD73" s="141"/>
      <c r="CE73" s="141"/>
      <c r="CF73" s="141"/>
      <c r="CG73" s="141"/>
      <c r="CH73" s="141"/>
      <c r="CI73" s="141"/>
      <c r="CJ73" s="141"/>
      <c r="CK73" s="141"/>
    </row>
    <row r="74" spans="74:89" ht="15" customHeight="1" x14ac:dyDescent="0.35">
      <c r="BV74" s="140"/>
      <c r="BY74" s="141"/>
      <c r="BZ74" s="141"/>
      <c r="CA74" s="141"/>
      <c r="CB74" s="141"/>
      <c r="CC74" s="141"/>
      <c r="CD74" s="141"/>
      <c r="CE74" s="141"/>
      <c r="CF74" s="141"/>
      <c r="CG74" s="141"/>
      <c r="CH74" s="141"/>
      <c r="CI74" s="141"/>
      <c r="CJ74" s="141"/>
      <c r="CK74" s="141"/>
    </row>
    <row r="75" spans="74:89" ht="15" customHeight="1" x14ac:dyDescent="0.35">
      <c r="BV75" s="140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/>
      <c r="CK75" s="141"/>
    </row>
    <row r="76" spans="74:89" ht="15" customHeight="1" x14ac:dyDescent="0.35">
      <c r="BV76" s="140"/>
      <c r="BY76" s="141"/>
      <c r="BZ76" s="141"/>
      <c r="CA76" s="141"/>
      <c r="CB76" s="141"/>
      <c r="CC76" s="141"/>
      <c r="CD76" s="141"/>
      <c r="CE76" s="141"/>
      <c r="CF76" s="141"/>
      <c r="CG76" s="141"/>
      <c r="CH76" s="141"/>
      <c r="CI76" s="141"/>
      <c r="CJ76" s="141"/>
      <c r="CK76" s="141"/>
    </row>
    <row r="77" spans="74:89" ht="15" customHeight="1" x14ac:dyDescent="0.35">
      <c r="BV77" s="140"/>
      <c r="BY77" s="141"/>
      <c r="BZ77" s="141"/>
      <c r="CA77" s="141"/>
      <c r="CB77" s="141"/>
      <c r="CC77" s="141"/>
      <c r="CD77" s="141"/>
      <c r="CE77" s="141"/>
      <c r="CF77" s="141"/>
      <c r="CG77" s="141"/>
      <c r="CH77" s="141"/>
      <c r="CI77" s="141"/>
      <c r="CJ77" s="141"/>
      <c r="CK77" s="141"/>
    </row>
    <row r="78" spans="74:89" ht="15" customHeight="1" x14ac:dyDescent="0.35">
      <c r="BV78" s="140"/>
      <c r="BY78" s="141"/>
      <c r="BZ78" s="141"/>
      <c r="CA78" s="141"/>
      <c r="CB78" s="141"/>
      <c r="CC78" s="141"/>
      <c r="CD78" s="141"/>
      <c r="CE78" s="141"/>
      <c r="CF78" s="141"/>
      <c r="CG78" s="141"/>
      <c r="CH78" s="141"/>
      <c r="CI78" s="141"/>
      <c r="CJ78" s="141"/>
      <c r="CK78" s="141"/>
    </row>
    <row r="79" spans="74:89" ht="15" customHeight="1" x14ac:dyDescent="0.35">
      <c r="BV79" s="140"/>
      <c r="BY79" s="141"/>
      <c r="BZ79" s="141"/>
      <c r="CA79" s="141"/>
      <c r="CB79" s="141"/>
      <c r="CC79" s="141"/>
      <c r="CD79" s="141"/>
      <c r="CE79" s="141"/>
      <c r="CF79" s="141"/>
      <c r="CG79" s="141"/>
      <c r="CH79" s="141"/>
      <c r="CI79" s="141"/>
      <c r="CJ79" s="141"/>
      <c r="CK79" s="141"/>
    </row>
    <row r="80" spans="74:89" ht="15" customHeight="1" x14ac:dyDescent="0.35">
      <c r="BV80" s="140"/>
      <c r="BY80" s="141"/>
      <c r="BZ80" s="141"/>
      <c r="CA80" s="141"/>
      <c r="CB80" s="141"/>
      <c r="CC80" s="141"/>
      <c r="CD80" s="141"/>
      <c r="CE80" s="141"/>
      <c r="CF80" s="141"/>
      <c r="CG80" s="141"/>
      <c r="CH80" s="141"/>
      <c r="CI80" s="141"/>
      <c r="CJ80" s="141"/>
      <c r="CK80" s="141"/>
    </row>
    <row r="81" spans="74:89" ht="15" customHeight="1" x14ac:dyDescent="0.35">
      <c r="BV81" s="140"/>
      <c r="BY81" s="141"/>
      <c r="BZ81" s="141"/>
      <c r="CA81" s="141"/>
      <c r="CB81" s="141"/>
      <c r="CC81" s="141"/>
      <c r="CD81" s="141"/>
      <c r="CE81" s="141"/>
      <c r="CF81" s="141"/>
      <c r="CG81" s="141"/>
      <c r="CH81" s="141"/>
      <c r="CI81" s="141"/>
      <c r="CJ81" s="141"/>
      <c r="CK81" s="141"/>
    </row>
    <row r="82" spans="74:89" ht="15" customHeight="1" x14ac:dyDescent="0.35">
      <c r="BV82" s="140"/>
      <c r="BY82" s="141"/>
      <c r="BZ82" s="141"/>
      <c r="CA82" s="141"/>
      <c r="CB82" s="141"/>
      <c r="CC82" s="141"/>
      <c r="CD82" s="141"/>
      <c r="CE82" s="141"/>
      <c r="CF82" s="141"/>
      <c r="CG82" s="141"/>
      <c r="CH82" s="141"/>
      <c r="CI82" s="141"/>
      <c r="CJ82" s="141"/>
      <c r="CK82" s="141"/>
    </row>
    <row r="83" spans="74:89" ht="15" customHeight="1" x14ac:dyDescent="0.35">
      <c r="BV83" s="140"/>
      <c r="BY83" s="141"/>
      <c r="BZ83" s="141"/>
      <c r="CA83" s="141"/>
      <c r="CB83" s="141"/>
      <c r="CC83" s="141"/>
      <c r="CD83" s="141"/>
      <c r="CE83" s="141"/>
      <c r="CF83" s="141"/>
      <c r="CG83" s="141"/>
      <c r="CH83" s="141"/>
      <c r="CI83" s="141"/>
      <c r="CJ83" s="141"/>
      <c r="CK83" s="141"/>
    </row>
    <row r="84" spans="74:89" ht="15" customHeight="1" x14ac:dyDescent="0.35">
      <c r="BV84" s="140"/>
      <c r="BY84" s="141"/>
      <c r="BZ84" s="141"/>
      <c r="CA84" s="141"/>
      <c r="CB84" s="141"/>
      <c r="CC84" s="141"/>
      <c r="CD84" s="141"/>
      <c r="CE84" s="141"/>
      <c r="CF84" s="141"/>
      <c r="CG84" s="141"/>
      <c r="CH84" s="141"/>
      <c r="CI84" s="141"/>
      <c r="CJ84" s="141"/>
      <c r="CK84" s="141"/>
    </row>
    <row r="85" spans="74:89" ht="15" customHeight="1" x14ac:dyDescent="0.35">
      <c r="BV85" s="140"/>
      <c r="BY85" s="141"/>
      <c r="BZ85" s="141"/>
      <c r="CA85" s="141"/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</row>
    <row r="86" spans="74:89" ht="15" customHeight="1" x14ac:dyDescent="0.35">
      <c r="BV86" s="140"/>
      <c r="BY86" s="141"/>
      <c r="BZ86" s="141"/>
      <c r="CA86" s="141"/>
      <c r="CB86" s="141"/>
      <c r="CC86" s="141"/>
      <c r="CD86" s="141"/>
      <c r="CE86" s="141"/>
      <c r="CF86" s="141"/>
      <c r="CG86" s="141"/>
      <c r="CH86" s="141"/>
      <c r="CI86" s="141"/>
      <c r="CJ86" s="141"/>
      <c r="CK86" s="141"/>
    </row>
    <row r="87" spans="74:89" ht="15" customHeight="1" x14ac:dyDescent="0.35">
      <c r="BV87" s="140"/>
      <c r="BY87" s="141"/>
      <c r="BZ87" s="141"/>
      <c r="CA87" s="141"/>
      <c r="CB87" s="141"/>
      <c r="CC87" s="141"/>
      <c r="CD87" s="141"/>
      <c r="CE87" s="141"/>
      <c r="CF87" s="141"/>
      <c r="CG87" s="141"/>
      <c r="CH87" s="141"/>
      <c r="CI87" s="141"/>
      <c r="CJ87" s="141"/>
      <c r="CK87" s="141"/>
    </row>
    <row r="88" spans="74:89" ht="15" customHeight="1" x14ac:dyDescent="0.35">
      <c r="BV88" s="140"/>
      <c r="BY88" s="141"/>
      <c r="BZ88" s="141"/>
      <c r="CA88" s="141"/>
      <c r="CB88" s="141"/>
      <c r="CC88" s="141"/>
      <c r="CD88" s="141"/>
      <c r="CE88" s="141"/>
      <c r="CF88" s="141"/>
      <c r="CG88" s="141"/>
      <c r="CH88" s="141"/>
      <c r="CI88" s="141"/>
      <c r="CJ88" s="141"/>
      <c r="CK88" s="141"/>
    </row>
    <row r="89" spans="74:89" ht="15" customHeight="1" x14ac:dyDescent="0.35">
      <c r="BV89" s="140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</row>
    <row r="90" spans="74:89" ht="15" customHeight="1" x14ac:dyDescent="0.35">
      <c r="BV90" s="140"/>
      <c r="BY90" s="141"/>
      <c r="BZ90" s="141"/>
      <c r="CA90" s="141"/>
      <c r="CB90" s="141"/>
      <c r="CC90" s="141"/>
      <c r="CD90" s="141"/>
      <c r="CE90" s="141"/>
      <c r="CF90" s="141"/>
      <c r="CG90" s="141"/>
      <c r="CH90" s="141"/>
      <c r="CI90" s="141"/>
      <c r="CJ90" s="141"/>
      <c r="CK90" s="141"/>
    </row>
    <row r="91" spans="74:89" ht="15" customHeight="1" x14ac:dyDescent="0.35">
      <c r="BV91" s="140"/>
      <c r="BY91" s="141"/>
      <c r="BZ91" s="141"/>
      <c r="CA91" s="141"/>
      <c r="CB91" s="141"/>
      <c r="CC91" s="141"/>
      <c r="CD91" s="141"/>
      <c r="CE91" s="141"/>
      <c r="CF91" s="141"/>
      <c r="CG91" s="141"/>
      <c r="CH91" s="141"/>
      <c r="CI91" s="141"/>
      <c r="CJ91" s="141"/>
      <c r="CK91" s="141"/>
    </row>
    <row r="92" spans="74:89" ht="15" customHeight="1" x14ac:dyDescent="0.35">
      <c r="BV92" s="140"/>
      <c r="BY92" s="141"/>
      <c r="BZ92" s="141"/>
      <c r="CA92" s="141"/>
      <c r="CB92" s="141"/>
      <c r="CC92" s="141"/>
      <c r="CD92" s="141"/>
      <c r="CE92" s="141"/>
      <c r="CF92" s="141"/>
      <c r="CG92" s="141"/>
      <c r="CH92" s="141"/>
      <c r="CI92" s="141"/>
      <c r="CJ92" s="141"/>
      <c r="CK92" s="141"/>
    </row>
    <row r="93" spans="74:89" ht="15" customHeight="1" x14ac:dyDescent="0.35">
      <c r="BV93" s="140"/>
      <c r="BY93" s="141"/>
      <c r="BZ93" s="141"/>
      <c r="CA93" s="141"/>
      <c r="CB93" s="141"/>
      <c r="CC93" s="141"/>
      <c r="CD93" s="141"/>
      <c r="CE93" s="141"/>
      <c r="CF93" s="141"/>
      <c r="CG93" s="141"/>
      <c r="CH93" s="141"/>
      <c r="CI93" s="141"/>
      <c r="CJ93" s="141"/>
      <c r="CK93" s="141"/>
    </row>
    <row r="94" spans="74:89" ht="15" customHeight="1" x14ac:dyDescent="0.35">
      <c r="BV94" s="140"/>
      <c r="BY94" s="141"/>
      <c r="BZ94" s="141"/>
      <c r="CA94" s="141"/>
      <c r="CB94" s="141"/>
      <c r="CC94" s="141"/>
      <c r="CD94" s="141"/>
      <c r="CE94" s="141"/>
      <c r="CF94" s="141"/>
      <c r="CG94" s="141"/>
      <c r="CH94" s="141"/>
      <c r="CI94" s="141"/>
      <c r="CJ94" s="141"/>
      <c r="CK94" s="141"/>
    </row>
    <row r="95" spans="74:89" ht="15" customHeight="1" x14ac:dyDescent="0.35">
      <c r="BV95" s="140"/>
      <c r="BY95" s="141"/>
      <c r="BZ95" s="141"/>
      <c r="CA95" s="141"/>
      <c r="CB95" s="141"/>
      <c r="CC95" s="141"/>
      <c r="CD95" s="141"/>
      <c r="CE95" s="141"/>
      <c r="CF95" s="141"/>
      <c r="CG95" s="141"/>
      <c r="CH95" s="141"/>
      <c r="CI95" s="141"/>
      <c r="CJ95" s="141"/>
      <c r="CK95" s="141"/>
    </row>
    <row r="96" spans="74:89" ht="15" customHeight="1" x14ac:dyDescent="0.35">
      <c r="BV96" s="140"/>
      <c r="BY96" s="141"/>
      <c r="BZ96" s="141"/>
      <c r="CA96" s="141"/>
      <c r="CB96" s="141"/>
      <c r="CC96" s="141"/>
      <c r="CD96" s="141"/>
      <c r="CE96" s="141"/>
      <c r="CF96" s="141"/>
      <c r="CG96" s="141"/>
      <c r="CH96" s="141"/>
      <c r="CI96" s="141"/>
      <c r="CJ96" s="141"/>
      <c r="CK96" s="141"/>
    </row>
    <row r="97" spans="74:89" ht="15" customHeight="1" x14ac:dyDescent="0.35">
      <c r="BV97" s="140"/>
      <c r="BY97" s="141"/>
      <c r="BZ97" s="141"/>
      <c r="CA97" s="141"/>
      <c r="CB97" s="141"/>
      <c r="CC97" s="141"/>
      <c r="CD97" s="141"/>
      <c r="CE97" s="141"/>
      <c r="CF97" s="141"/>
      <c r="CG97" s="141"/>
      <c r="CH97" s="141"/>
      <c r="CI97" s="141"/>
      <c r="CJ97" s="141"/>
      <c r="CK97" s="141"/>
    </row>
    <row r="98" spans="74:89" ht="15" customHeight="1" x14ac:dyDescent="0.35">
      <c r="BV98" s="140"/>
      <c r="BY98" s="141"/>
      <c r="BZ98" s="141"/>
      <c r="CA98" s="141"/>
      <c r="CB98" s="141"/>
      <c r="CC98" s="141"/>
      <c r="CD98" s="141"/>
      <c r="CE98" s="141"/>
      <c r="CF98" s="141"/>
      <c r="CG98" s="141"/>
      <c r="CH98" s="141"/>
      <c r="CI98" s="141"/>
      <c r="CJ98" s="141"/>
      <c r="CK98" s="141"/>
    </row>
    <row r="99" spans="74:89" ht="15" customHeight="1" x14ac:dyDescent="0.35">
      <c r="BV99" s="140"/>
      <c r="BY99" s="141"/>
      <c r="BZ99" s="141"/>
      <c r="CA99" s="141"/>
      <c r="CB99" s="141"/>
      <c r="CC99" s="141"/>
      <c r="CD99" s="141"/>
      <c r="CE99" s="141"/>
      <c r="CF99" s="141"/>
      <c r="CG99" s="141"/>
      <c r="CH99" s="141"/>
      <c r="CI99" s="141"/>
      <c r="CJ99" s="141"/>
      <c r="CK99" s="141"/>
    </row>
    <row r="100" spans="74:89" ht="15" customHeight="1" x14ac:dyDescent="0.35">
      <c r="BV100" s="140"/>
      <c r="BY100" s="141"/>
      <c r="BZ100" s="141"/>
      <c r="CA100" s="141"/>
      <c r="CB100" s="141"/>
      <c r="CC100" s="141"/>
      <c r="CD100" s="141"/>
      <c r="CE100" s="141"/>
      <c r="CF100" s="141"/>
      <c r="CG100" s="141"/>
      <c r="CH100" s="141"/>
      <c r="CI100" s="141"/>
      <c r="CJ100" s="141"/>
      <c r="CK100" s="141"/>
    </row>
    <row r="101" spans="74:89" ht="15" customHeight="1" x14ac:dyDescent="0.35">
      <c r="BV101" s="140"/>
      <c r="BY101" s="141"/>
      <c r="BZ101" s="141"/>
      <c r="CA101" s="141"/>
      <c r="CB101" s="141"/>
      <c r="CC101" s="141"/>
      <c r="CD101" s="141"/>
      <c r="CE101" s="141"/>
      <c r="CF101" s="141"/>
      <c r="CG101" s="141"/>
      <c r="CH101" s="141"/>
      <c r="CI101" s="141"/>
      <c r="CJ101" s="141"/>
      <c r="CK101" s="141"/>
    </row>
    <row r="102" spans="74:89" ht="15" customHeight="1" x14ac:dyDescent="0.35">
      <c r="BV102" s="140"/>
      <c r="BY102" s="141"/>
      <c r="BZ102" s="141"/>
      <c r="CA102" s="141"/>
      <c r="CB102" s="141"/>
      <c r="CC102" s="141"/>
      <c r="CD102" s="141"/>
      <c r="CE102" s="141"/>
      <c r="CF102" s="141"/>
      <c r="CG102" s="141"/>
      <c r="CH102" s="141"/>
      <c r="CI102" s="141"/>
      <c r="CJ102" s="141"/>
      <c r="CK102" s="141"/>
    </row>
    <row r="103" spans="74:89" ht="15" customHeight="1" x14ac:dyDescent="0.35">
      <c r="BV103" s="140"/>
      <c r="BY103" s="141"/>
      <c r="BZ103" s="141"/>
      <c r="CA103" s="141"/>
      <c r="CB103" s="141"/>
      <c r="CC103" s="141"/>
      <c r="CD103" s="141"/>
      <c r="CE103" s="141"/>
      <c r="CF103" s="141"/>
      <c r="CG103" s="141"/>
      <c r="CH103" s="141"/>
      <c r="CI103" s="141"/>
      <c r="CJ103" s="141"/>
      <c r="CK103" s="141"/>
    </row>
    <row r="104" spans="74:89" ht="15" customHeight="1" x14ac:dyDescent="0.35">
      <c r="BV104" s="140"/>
      <c r="BY104" s="141"/>
      <c r="BZ104" s="141"/>
      <c r="CA104" s="141"/>
      <c r="CB104" s="141"/>
      <c r="CC104" s="141"/>
      <c r="CD104" s="141"/>
      <c r="CE104" s="141"/>
      <c r="CF104" s="141"/>
      <c r="CG104" s="141"/>
      <c r="CH104" s="141"/>
      <c r="CI104" s="141"/>
      <c r="CJ104" s="141"/>
      <c r="CK104" s="141"/>
    </row>
    <row r="105" spans="74:89" ht="15" customHeight="1" x14ac:dyDescent="0.35">
      <c r="BV105" s="140"/>
      <c r="BY105" s="141"/>
      <c r="BZ105" s="141"/>
      <c r="CA105" s="141"/>
      <c r="CB105" s="141"/>
      <c r="CC105" s="141"/>
      <c r="CD105" s="141"/>
      <c r="CE105" s="141"/>
      <c r="CF105" s="141"/>
      <c r="CG105" s="141"/>
      <c r="CH105" s="141"/>
      <c r="CI105" s="141"/>
      <c r="CJ105" s="141"/>
      <c r="CK105" s="141"/>
    </row>
    <row r="106" spans="74:89" ht="15" customHeight="1" x14ac:dyDescent="0.35">
      <c r="BV106" s="140"/>
      <c r="BY106" s="141"/>
      <c r="BZ106" s="141"/>
      <c r="CA106" s="141"/>
      <c r="CB106" s="141"/>
      <c r="CC106" s="141"/>
      <c r="CD106" s="141"/>
      <c r="CE106" s="141"/>
      <c r="CF106" s="141"/>
      <c r="CG106" s="141"/>
      <c r="CH106" s="141"/>
      <c r="CI106" s="141"/>
      <c r="CJ106" s="141"/>
      <c r="CK106" s="141"/>
    </row>
    <row r="107" spans="74:89" ht="15" customHeight="1" x14ac:dyDescent="0.35">
      <c r="BV107" s="140"/>
      <c r="BY107" s="141"/>
      <c r="BZ107" s="141"/>
      <c r="CA107" s="141"/>
      <c r="CB107" s="141"/>
      <c r="CC107" s="141"/>
      <c r="CD107" s="141"/>
      <c r="CE107" s="141"/>
      <c r="CF107" s="141"/>
      <c r="CG107" s="141"/>
      <c r="CH107" s="141"/>
      <c r="CI107" s="141"/>
      <c r="CJ107" s="141"/>
      <c r="CK107" s="141"/>
    </row>
    <row r="108" spans="74:89" ht="15" customHeight="1" x14ac:dyDescent="0.35">
      <c r="BV108" s="140"/>
      <c r="BY108" s="141"/>
      <c r="BZ108" s="141"/>
      <c r="CA108" s="141"/>
      <c r="CB108" s="141"/>
      <c r="CC108" s="141"/>
      <c r="CD108" s="141"/>
      <c r="CE108" s="141"/>
      <c r="CF108" s="141"/>
      <c r="CG108" s="141"/>
      <c r="CH108" s="141"/>
      <c r="CI108" s="141"/>
      <c r="CJ108" s="141"/>
      <c r="CK108" s="141"/>
    </row>
    <row r="109" spans="74:89" ht="15" customHeight="1" x14ac:dyDescent="0.35">
      <c r="BV109" s="140"/>
      <c r="BY109" s="141"/>
      <c r="BZ109" s="141"/>
      <c r="CA109" s="141"/>
      <c r="CB109" s="141"/>
      <c r="CC109" s="141"/>
      <c r="CD109" s="141"/>
      <c r="CE109" s="141"/>
      <c r="CF109" s="141"/>
      <c r="CG109" s="141"/>
      <c r="CH109" s="141"/>
      <c r="CI109" s="141"/>
      <c r="CJ109" s="141"/>
      <c r="CK109" s="141"/>
    </row>
    <row r="110" spans="74:89" ht="15" customHeight="1" x14ac:dyDescent="0.35">
      <c r="BV110" s="140"/>
      <c r="BY110" s="141"/>
      <c r="BZ110" s="141"/>
      <c r="CA110" s="141"/>
      <c r="CB110" s="141"/>
      <c r="CC110" s="141"/>
      <c r="CD110" s="141"/>
      <c r="CE110" s="141"/>
      <c r="CF110" s="141"/>
      <c r="CG110" s="141"/>
      <c r="CH110" s="141"/>
      <c r="CI110" s="141"/>
      <c r="CJ110" s="141"/>
      <c r="CK110" s="141"/>
    </row>
    <row r="111" spans="74:89" ht="15" customHeight="1" x14ac:dyDescent="0.35">
      <c r="BV111" s="140"/>
      <c r="BY111" s="141"/>
      <c r="BZ111" s="141"/>
      <c r="CA111" s="141"/>
      <c r="CB111" s="141"/>
      <c r="CC111" s="141"/>
      <c r="CD111" s="141"/>
      <c r="CE111" s="141"/>
      <c r="CF111" s="141"/>
      <c r="CG111" s="141"/>
      <c r="CH111" s="141"/>
      <c r="CI111" s="141"/>
      <c r="CJ111" s="141"/>
      <c r="CK111" s="141"/>
    </row>
    <row r="112" spans="74:89" ht="15" customHeight="1" x14ac:dyDescent="0.35">
      <c r="BV112" s="140"/>
      <c r="BY112" s="141"/>
      <c r="BZ112" s="141"/>
      <c r="CA112" s="141"/>
      <c r="CB112" s="141"/>
      <c r="CC112" s="141"/>
      <c r="CD112" s="141"/>
      <c r="CE112" s="141"/>
      <c r="CF112" s="141"/>
      <c r="CG112" s="141"/>
      <c r="CH112" s="141"/>
      <c r="CI112" s="141"/>
      <c r="CJ112" s="141"/>
      <c r="CK112" s="141"/>
    </row>
    <row r="113" spans="74:89" ht="15" customHeight="1" x14ac:dyDescent="0.35">
      <c r="BV113" s="140"/>
      <c r="BY113" s="141"/>
      <c r="BZ113" s="141"/>
      <c r="CA113" s="141"/>
      <c r="CB113" s="141"/>
      <c r="CC113" s="141"/>
      <c r="CD113" s="141"/>
      <c r="CE113" s="141"/>
      <c r="CF113" s="141"/>
      <c r="CG113" s="141"/>
      <c r="CH113" s="141"/>
      <c r="CI113" s="141"/>
      <c r="CJ113" s="141"/>
      <c r="CK113" s="141"/>
    </row>
    <row r="114" spans="74:89" ht="15" customHeight="1" x14ac:dyDescent="0.35">
      <c r="BV114" s="140"/>
      <c r="BY114" s="141"/>
      <c r="BZ114" s="141"/>
      <c r="CA114" s="141"/>
      <c r="CB114" s="141"/>
      <c r="CC114" s="141"/>
      <c r="CD114" s="141"/>
      <c r="CE114" s="141"/>
      <c r="CF114" s="141"/>
      <c r="CG114" s="141"/>
      <c r="CH114" s="141"/>
      <c r="CI114" s="141"/>
      <c r="CJ114" s="141"/>
      <c r="CK114" s="141"/>
    </row>
    <row r="115" spans="74:89" ht="15" customHeight="1" x14ac:dyDescent="0.35">
      <c r="BV115" s="140"/>
      <c r="BY115" s="141"/>
      <c r="BZ115" s="141"/>
      <c r="CA115" s="141"/>
      <c r="CB115" s="141"/>
      <c r="CC115" s="141"/>
      <c r="CD115" s="141"/>
      <c r="CE115" s="141"/>
      <c r="CF115" s="141"/>
      <c r="CG115" s="141"/>
      <c r="CH115" s="141"/>
      <c r="CI115" s="141"/>
      <c r="CJ115" s="141"/>
      <c r="CK115" s="141"/>
    </row>
    <row r="116" spans="74:89" ht="15" customHeight="1" x14ac:dyDescent="0.35">
      <c r="BV116" s="140"/>
      <c r="BY116" s="141"/>
      <c r="BZ116" s="141"/>
      <c r="CA116" s="141"/>
      <c r="CB116" s="141"/>
      <c r="CC116" s="141"/>
      <c r="CD116" s="141"/>
      <c r="CE116" s="141"/>
      <c r="CF116" s="141"/>
      <c r="CG116" s="141"/>
      <c r="CH116" s="141"/>
      <c r="CI116" s="141"/>
      <c r="CJ116" s="141"/>
      <c r="CK116" s="141"/>
    </row>
    <row r="117" spans="74:89" ht="15" customHeight="1" x14ac:dyDescent="0.35">
      <c r="BV117" s="140"/>
      <c r="BY117" s="141"/>
      <c r="BZ117" s="141"/>
      <c r="CA117" s="141"/>
      <c r="CB117" s="141"/>
      <c r="CC117" s="141"/>
      <c r="CD117" s="141"/>
      <c r="CE117" s="141"/>
      <c r="CF117" s="141"/>
      <c r="CG117" s="141"/>
      <c r="CH117" s="141"/>
      <c r="CI117" s="141"/>
      <c r="CJ117" s="141"/>
      <c r="CK117" s="141"/>
    </row>
    <row r="118" spans="74:89" ht="15" customHeight="1" x14ac:dyDescent="0.35">
      <c r="BV118" s="140"/>
      <c r="BY118" s="141"/>
      <c r="BZ118" s="141"/>
      <c r="CA118" s="141"/>
      <c r="CB118" s="141"/>
      <c r="CC118" s="141"/>
      <c r="CD118" s="141"/>
      <c r="CE118" s="141"/>
      <c r="CF118" s="141"/>
      <c r="CG118" s="141"/>
      <c r="CH118" s="141"/>
      <c r="CI118" s="141"/>
      <c r="CJ118" s="141"/>
      <c r="CK118" s="141"/>
    </row>
    <row r="119" spans="74:89" ht="15" customHeight="1" x14ac:dyDescent="0.35">
      <c r="BV119" s="140"/>
      <c r="BY119" s="141"/>
      <c r="BZ119" s="141"/>
      <c r="CA119" s="141"/>
      <c r="CB119" s="141"/>
      <c r="CC119" s="141"/>
      <c r="CD119" s="141"/>
      <c r="CE119" s="141"/>
      <c r="CF119" s="141"/>
      <c r="CG119" s="141"/>
      <c r="CH119" s="141"/>
      <c r="CI119" s="141"/>
      <c r="CJ119" s="141"/>
      <c r="CK119" s="141"/>
    </row>
    <row r="120" spans="74:89" ht="15" customHeight="1" x14ac:dyDescent="0.35">
      <c r="BV120" s="140"/>
      <c r="BY120" s="141"/>
      <c r="BZ120" s="141"/>
      <c r="CA120" s="141"/>
      <c r="CB120" s="141"/>
      <c r="CC120" s="141"/>
      <c r="CD120" s="141"/>
      <c r="CE120" s="141"/>
      <c r="CF120" s="141"/>
      <c r="CG120" s="141"/>
      <c r="CH120" s="141"/>
      <c r="CI120" s="141"/>
      <c r="CJ120" s="141"/>
      <c r="CK120" s="141"/>
    </row>
    <row r="121" spans="74:89" ht="15" customHeight="1" x14ac:dyDescent="0.35">
      <c r="BV121" s="140"/>
      <c r="BY121" s="141"/>
      <c r="BZ121" s="141"/>
      <c r="CA121" s="141"/>
      <c r="CB121" s="141"/>
      <c r="CC121" s="141"/>
      <c r="CD121" s="141"/>
      <c r="CE121" s="141"/>
      <c r="CF121" s="141"/>
      <c r="CG121" s="141"/>
      <c r="CH121" s="141"/>
      <c r="CI121" s="141"/>
      <c r="CJ121" s="141"/>
      <c r="CK121" s="141"/>
    </row>
    <row r="122" spans="74:89" ht="15" customHeight="1" x14ac:dyDescent="0.35">
      <c r="BV122" s="140"/>
      <c r="BY122" s="141"/>
      <c r="BZ122" s="141"/>
      <c r="CA122" s="141"/>
      <c r="CB122" s="141"/>
      <c r="CC122" s="141"/>
      <c r="CD122" s="141"/>
      <c r="CE122" s="141"/>
      <c r="CF122" s="141"/>
      <c r="CG122" s="141"/>
      <c r="CH122" s="141"/>
      <c r="CI122" s="141"/>
      <c r="CJ122" s="141"/>
      <c r="CK122" s="141"/>
    </row>
    <row r="123" spans="74:89" ht="15" customHeight="1" x14ac:dyDescent="0.35">
      <c r="BV123" s="140"/>
      <c r="BY123" s="141"/>
      <c r="BZ123" s="141"/>
      <c r="CA123" s="141"/>
      <c r="CB123" s="141"/>
      <c r="CC123" s="141"/>
      <c r="CD123" s="141"/>
      <c r="CE123" s="141"/>
      <c r="CF123" s="141"/>
      <c r="CG123" s="141"/>
      <c r="CH123" s="141"/>
      <c r="CI123" s="141"/>
      <c r="CJ123" s="141"/>
      <c r="CK123" s="141"/>
    </row>
    <row r="124" spans="74:89" ht="15" customHeight="1" x14ac:dyDescent="0.35">
      <c r="BV124" s="140"/>
      <c r="BY124" s="141"/>
      <c r="BZ124" s="141"/>
      <c r="CA124" s="141"/>
      <c r="CB124" s="141"/>
      <c r="CC124" s="141"/>
      <c r="CD124" s="141"/>
      <c r="CE124" s="141"/>
      <c r="CF124" s="141"/>
      <c r="CG124" s="141"/>
      <c r="CH124" s="141"/>
      <c r="CI124" s="141"/>
      <c r="CJ124" s="141"/>
      <c r="CK124" s="141"/>
    </row>
    <row r="125" spans="74:89" ht="15" customHeight="1" x14ac:dyDescent="0.35">
      <c r="BV125" s="140"/>
      <c r="BY125" s="141"/>
      <c r="BZ125" s="141"/>
      <c r="CA125" s="141"/>
      <c r="CB125" s="141"/>
      <c r="CC125" s="141"/>
      <c r="CD125" s="141"/>
      <c r="CE125" s="141"/>
      <c r="CF125" s="141"/>
      <c r="CG125" s="141"/>
      <c r="CH125" s="141"/>
      <c r="CI125" s="141"/>
      <c r="CJ125" s="141"/>
      <c r="CK125" s="141"/>
    </row>
    <row r="126" spans="74:89" ht="15" customHeight="1" x14ac:dyDescent="0.35">
      <c r="BV126" s="140"/>
      <c r="BY126" s="141"/>
      <c r="BZ126" s="141"/>
      <c r="CA126" s="141"/>
      <c r="CB126" s="141"/>
      <c r="CC126" s="141"/>
      <c r="CD126" s="141"/>
      <c r="CE126" s="141"/>
      <c r="CF126" s="141"/>
      <c r="CG126" s="141"/>
      <c r="CH126" s="141"/>
      <c r="CI126" s="141"/>
      <c r="CJ126" s="141"/>
      <c r="CK126" s="141"/>
    </row>
    <row r="127" spans="74:89" ht="15" customHeight="1" x14ac:dyDescent="0.35">
      <c r="BV127" s="140"/>
      <c r="BY127" s="141"/>
      <c r="BZ127" s="141"/>
      <c r="CA127" s="141"/>
      <c r="CB127" s="141"/>
      <c r="CC127" s="141"/>
      <c r="CD127" s="141"/>
      <c r="CE127" s="141"/>
      <c r="CF127" s="141"/>
      <c r="CG127" s="141"/>
      <c r="CH127" s="141"/>
      <c r="CI127" s="141"/>
      <c r="CJ127" s="141"/>
      <c r="CK127" s="141"/>
    </row>
    <row r="128" spans="74:89" ht="15" customHeight="1" x14ac:dyDescent="0.35">
      <c r="BV128" s="140"/>
      <c r="BY128" s="141"/>
      <c r="BZ128" s="141"/>
      <c r="CA128" s="141"/>
      <c r="CB128" s="141"/>
      <c r="CC128" s="141"/>
      <c r="CD128" s="141"/>
      <c r="CE128" s="141"/>
      <c r="CF128" s="141"/>
      <c r="CG128" s="141"/>
      <c r="CH128" s="141"/>
      <c r="CI128" s="141"/>
      <c r="CJ128" s="141"/>
      <c r="CK128" s="141"/>
    </row>
    <row r="129" spans="74:89" ht="15" customHeight="1" x14ac:dyDescent="0.35">
      <c r="BV129" s="140"/>
      <c r="BY129" s="141"/>
      <c r="BZ129" s="141"/>
      <c r="CA129" s="141"/>
      <c r="CB129" s="141"/>
      <c r="CC129" s="141"/>
      <c r="CD129" s="141"/>
      <c r="CE129" s="141"/>
      <c r="CF129" s="141"/>
      <c r="CG129" s="141"/>
      <c r="CH129" s="141"/>
      <c r="CI129" s="141"/>
      <c r="CJ129" s="141"/>
      <c r="CK129" s="141"/>
    </row>
    <row r="130" spans="74:89" ht="15" customHeight="1" x14ac:dyDescent="0.35">
      <c r="BV130" s="140"/>
      <c r="BY130" s="141"/>
      <c r="BZ130" s="141"/>
      <c r="CA130" s="141"/>
      <c r="CB130" s="141"/>
      <c r="CC130" s="141"/>
      <c r="CD130" s="141"/>
      <c r="CE130" s="141"/>
      <c r="CF130" s="141"/>
      <c r="CG130" s="141"/>
      <c r="CH130" s="141"/>
      <c r="CI130" s="141"/>
      <c r="CJ130" s="141"/>
      <c r="CK130" s="141"/>
    </row>
    <row r="131" spans="74:89" ht="15" customHeight="1" x14ac:dyDescent="0.35">
      <c r="BV131" s="140"/>
      <c r="BY131" s="141"/>
      <c r="BZ131" s="141"/>
      <c r="CA131" s="141"/>
      <c r="CB131" s="141"/>
      <c r="CC131" s="141"/>
      <c r="CD131" s="141"/>
      <c r="CE131" s="141"/>
      <c r="CF131" s="141"/>
      <c r="CG131" s="141"/>
      <c r="CH131" s="141"/>
      <c r="CI131" s="141"/>
      <c r="CJ131" s="141"/>
      <c r="CK131" s="141"/>
    </row>
    <row r="132" spans="74:89" ht="15" customHeight="1" x14ac:dyDescent="0.35">
      <c r="BV132" s="140"/>
      <c r="BY132" s="141"/>
      <c r="BZ132" s="141"/>
      <c r="CA132" s="141"/>
      <c r="CB132" s="141"/>
      <c r="CC132" s="141"/>
      <c r="CD132" s="141"/>
      <c r="CE132" s="141"/>
      <c r="CF132" s="141"/>
      <c r="CG132" s="141"/>
      <c r="CH132" s="141"/>
      <c r="CI132" s="141"/>
      <c r="CJ132" s="141"/>
      <c r="CK132" s="141"/>
    </row>
    <row r="133" spans="74:89" ht="15" customHeight="1" x14ac:dyDescent="0.35">
      <c r="BV133" s="140"/>
      <c r="BY133" s="141"/>
      <c r="BZ133" s="141"/>
      <c r="CA133" s="141"/>
      <c r="CB133" s="141"/>
      <c r="CC133" s="141"/>
      <c r="CD133" s="141"/>
      <c r="CE133" s="141"/>
      <c r="CF133" s="141"/>
      <c r="CG133" s="141"/>
      <c r="CH133" s="141"/>
      <c r="CI133" s="141"/>
      <c r="CJ133" s="141"/>
      <c r="CK133" s="141"/>
    </row>
    <row r="134" spans="74:89" ht="15" customHeight="1" x14ac:dyDescent="0.35">
      <c r="BV134" s="140"/>
      <c r="BY134" s="141"/>
      <c r="BZ134" s="141"/>
      <c r="CA134" s="141"/>
      <c r="CB134" s="141"/>
      <c r="CC134" s="141"/>
      <c r="CD134" s="141"/>
      <c r="CE134" s="141"/>
      <c r="CF134" s="141"/>
      <c r="CG134" s="141"/>
      <c r="CH134" s="141"/>
      <c r="CI134" s="141"/>
      <c r="CJ134" s="141"/>
      <c r="CK134" s="141"/>
    </row>
    <row r="135" spans="74:89" ht="15" customHeight="1" x14ac:dyDescent="0.35">
      <c r="BV135" s="140"/>
      <c r="BY135" s="141"/>
      <c r="BZ135" s="141"/>
      <c r="CA135" s="141"/>
      <c r="CB135" s="141"/>
      <c r="CC135" s="141"/>
      <c r="CD135" s="141"/>
      <c r="CE135" s="141"/>
      <c r="CF135" s="141"/>
      <c r="CG135" s="141"/>
      <c r="CH135" s="141"/>
      <c r="CI135" s="141"/>
      <c r="CJ135" s="141"/>
      <c r="CK135" s="141"/>
    </row>
    <row r="136" spans="74:89" ht="15" customHeight="1" x14ac:dyDescent="0.35">
      <c r="BV136" s="140"/>
      <c r="BY136" s="141"/>
      <c r="BZ136" s="141"/>
      <c r="CA136" s="141"/>
      <c r="CB136" s="141"/>
      <c r="CC136" s="141"/>
      <c r="CD136" s="141"/>
      <c r="CE136" s="141"/>
      <c r="CF136" s="141"/>
      <c r="CG136" s="141"/>
      <c r="CH136" s="141"/>
      <c r="CI136" s="141"/>
      <c r="CJ136" s="141"/>
      <c r="CK136" s="141"/>
    </row>
    <row r="137" spans="74:89" ht="15" customHeight="1" x14ac:dyDescent="0.35">
      <c r="BV137" s="140"/>
      <c r="BY137" s="141"/>
      <c r="BZ137" s="141"/>
      <c r="CA137" s="141"/>
      <c r="CB137" s="141"/>
      <c r="CC137" s="141"/>
      <c r="CD137" s="141"/>
      <c r="CE137" s="141"/>
      <c r="CF137" s="141"/>
      <c r="CG137" s="141"/>
      <c r="CH137" s="141"/>
      <c r="CI137" s="141"/>
      <c r="CJ137" s="141"/>
      <c r="CK137" s="141"/>
    </row>
    <row r="138" spans="74:89" ht="15" customHeight="1" x14ac:dyDescent="0.35">
      <c r="BV138" s="140"/>
      <c r="BY138" s="141"/>
      <c r="BZ138" s="141"/>
      <c r="CA138" s="141"/>
      <c r="CB138" s="141"/>
      <c r="CC138" s="141"/>
      <c r="CD138" s="141"/>
      <c r="CE138" s="141"/>
      <c r="CF138" s="141"/>
      <c r="CG138" s="141"/>
      <c r="CH138" s="141"/>
      <c r="CI138" s="141"/>
      <c r="CJ138" s="141"/>
      <c r="CK138" s="141"/>
    </row>
    <row r="139" spans="74:89" ht="15" customHeight="1" x14ac:dyDescent="0.35">
      <c r="BV139" s="140"/>
      <c r="BY139" s="141"/>
      <c r="BZ139" s="141"/>
      <c r="CA139" s="141"/>
      <c r="CB139" s="141"/>
      <c r="CC139" s="141"/>
      <c r="CD139" s="141"/>
      <c r="CE139" s="141"/>
      <c r="CF139" s="141"/>
      <c r="CG139" s="141"/>
      <c r="CH139" s="141"/>
      <c r="CI139" s="141"/>
      <c r="CJ139" s="141"/>
      <c r="CK139" s="141"/>
    </row>
    <row r="140" spans="74:89" ht="15" customHeight="1" x14ac:dyDescent="0.35">
      <c r="BV140" s="140"/>
      <c r="BY140" s="141"/>
      <c r="BZ140" s="141"/>
      <c r="CA140" s="141"/>
      <c r="CB140" s="141"/>
      <c r="CC140" s="141"/>
      <c r="CD140" s="141"/>
      <c r="CE140" s="141"/>
      <c r="CF140" s="141"/>
      <c r="CG140" s="141"/>
      <c r="CH140" s="141"/>
      <c r="CI140" s="141"/>
      <c r="CJ140" s="141"/>
      <c r="CK140" s="141"/>
    </row>
    <row r="141" spans="74:89" ht="15" customHeight="1" x14ac:dyDescent="0.35">
      <c r="BV141" s="140"/>
      <c r="BY141" s="141"/>
      <c r="BZ141" s="141"/>
      <c r="CA141" s="141"/>
      <c r="CB141" s="141"/>
      <c r="CC141" s="141"/>
      <c r="CD141" s="141"/>
      <c r="CE141" s="141"/>
      <c r="CF141" s="141"/>
      <c r="CG141" s="141"/>
      <c r="CH141" s="141"/>
      <c r="CI141" s="141"/>
      <c r="CJ141" s="141"/>
      <c r="CK141" s="141"/>
    </row>
    <row r="142" spans="74:89" ht="15" customHeight="1" x14ac:dyDescent="0.35">
      <c r="BV142" s="140"/>
      <c r="BY142" s="141"/>
      <c r="BZ142" s="141"/>
      <c r="CA142" s="141"/>
      <c r="CB142" s="141"/>
      <c r="CC142" s="141"/>
      <c r="CD142" s="141"/>
      <c r="CE142" s="141"/>
      <c r="CF142" s="141"/>
      <c r="CG142" s="141"/>
      <c r="CH142" s="141"/>
      <c r="CI142" s="141"/>
      <c r="CJ142" s="141"/>
      <c r="CK142" s="141"/>
    </row>
    <row r="143" spans="74:89" ht="15" customHeight="1" x14ac:dyDescent="0.35">
      <c r="BV143" s="140"/>
      <c r="BY143" s="141"/>
      <c r="BZ143" s="141"/>
      <c r="CA143" s="141"/>
      <c r="CB143" s="141"/>
      <c r="CC143" s="141"/>
      <c r="CD143" s="141"/>
      <c r="CE143" s="141"/>
      <c r="CF143" s="141"/>
      <c r="CG143" s="141"/>
      <c r="CH143" s="141"/>
      <c r="CI143" s="141"/>
      <c r="CJ143" s="141"/>
      <c r="CK143" s="141"/>
    </row>
    <row r="144" spans="74:89" ht="15" customHeight="1" x14ac:dyDescent="0.35">
      <c r="BV144" s="140"/>
      <c r="BY144" s="141"/>
      <c r="BZ144" s="141"/>
      <c r="CA144" s="141"/>
      <c r="CB144" s="141"/>
      <c r="CC144" s="141"/>
      <c r="CD144" s="141"/>
      <c r="CE144" s="141"/>
      <c r="CF144" s="141"/>
      <c r="CG144" s="141"/>
      <c r="CH144" s="141"/>
      <c r="CI144" s="141"/>
      <c r="CJ144" s="141"/>
      <c r="CK144" s="141"/>
    </row>
    <row r="145" spans="74:89" ht="15" customHeight="1" x14ac:dyDescent="0.35">
      <c r="BV145" s="140"/>
      <c r="BY145" s="141"/>
      <c r="BZ145" s="141"/>
      <c r="CA145" s="141"/>
      <c r="CB145" s="141"/>
      <c r="CC145" s="141"/>
      <c r="CD145" s="141"/>
      <c r="CE145" s="141"/>
      <c r="CF145" s="141"/>
      <c r="CG145" s="141"/>
      <c r="CH145" s="141"/>
      <c r="CI145" s="141"/>
      <c r="CJ145" s="141"/>
      <c r="CK145" s="141"/>
    </row>
    <row r="146" spans="74:89" ht="15" customHeight="1" x14ac:dyDescent="0.35">
      <c r="BV146" s="140"/>
      <c r="BY146" s="141"/>
      <c r="BZ146" s="141"/>
      <c r="CA146" s="141"/>
      <c r="CB146" s="141"/>
      <c r="CC146" s="141"/>
      <c r="CD146" s="141"/>
      <c r="CE146" s="141"/>
      <c r="CF146" s="141"/>
      <c r="CG146" s="141"/>
      <c r="CH146" s="141"/>
      <c r="CI146" s="141"/>
      <c r="CJ146" s="141"/>
      <c r="CK146" s="141"/>
    </row>
    <row r="147" spans="74:89" ht="15" customHeight="1" x14ac:dyDescent="0.35">
      <c r="BV147" s="140"/>
      <c r="BY147" s="141"/>
      <c r="BZ147" s="141"/>
      <c r="CA147" s="141"/>
      <c r="CB147" s="141"/>
      <c r="CC147" s="141"/>
      <c r="CD147" s="141"/>
      <c r="CE147" s="141"/>
      <c r="CF147" s="141"/>
      <c r="CG147" s="141"/>
      <c r="CH147" s="141"/>
      <c r="CI147" s="141"/>
      <c r="CJ147" s="141"/>
      <c r="CK147" s="141"/>
    </row>
    <row r="148" spans="74:89" ht="15" customHeight="1" x14ac:dyDescent="0.35">
      <c r="BV148" s="140"/>
      <c r="BY148" s="141"/>
      <c r="BZ148" s="141"/>
      <c r="CA148" s="141"/>
      <c r="CB148" s="141"/>
      <c r="CC148" s="141"/>
      <c r="CD148" s="141"/>
      <c r="CE148" s="141"/>
      <c r="CF148" s="141"/>
      <c r="CG148" s="141"/>
      <c r="CH148" s="141"/>
      <c r="CI148" s="141"/>
      <c r="CJ148" s="141"/>
      <c r="CK148" s="141"/>
    </row>
    <row r="149" spans="74:89" ht="15" customHeight="1" x14ac:dyDescent="0.35">
      <c r="BV149" s="140"/>
      <c r="BY149" s="141"/>
      <c r="BZ149" s="141"/>
      <c r="CA149" s="141"/>
      <c r="CB149" s="141"/>
      <c r="CC149" s="141"/>
      <c r="CD149" s="141"/>
      <c r="CE149" s="141"/>
      <c r="CF149" s="141"/>
      <c r="CG149" s="141"/>
      <c r="CH149" s="141"/>
      <c r="CI149" s="141"/>
      <c r="CJ149" s="141"/>
      <c r="CK149" s="141"/>
    </row>
    <row r="150" spans="74:89" ht="15" customHeight="1" x14ac:dyDescent="0.35">
      <c r="BV150" s="140"/>
      <c r="BY150" s="141"/>
      <c r="BZ150" s="141"/>
      <c r="CA150" s="141"/>
      <c r="CB150" s="141"/>
      <c r="CC150" s="141"/>
      <c r="CD150" s="141"/>
      <c r="CE150" s="141"/>
      <c r="CF150" s="141"/>
      <c r="CG150" s="141"/>
      <c r="CH150" s="141"/>
      <c r="CI150" s="141"/>
      <c r="CJ150" s="141"/>
      <c r="CK150" s="141"/>
    </row>
    <row r="151" spans="74:89" ht="15" customHeight="1" x14ac:dyDescent="0.35">
      <c r="BV151" s="140"/>
      <c r="BY151" s="141"/>
      <c r="BZ151" s="141"/>
      <c r="CA151" s="141"/>
      <c r="CB151" s="141"/>
      <c r="CC151" s="141"/>
      <c r="CD151" s="141"/>
      <c r="CE151" s="141"/>
      <c r="CF151" s="141"/>
      <c r="CG151" s="141"/>
      <c r="CH151" s="141"/>
      <c r="CI151" s="141"/>
      <c r="CJ151" s="141"/>
      <c r="CK151" s="141"/>
    </row>
    <row r="152" spans="74:89" ht="15" customHeight="1" x14ac:dyDescent="0.35">
      <c r="BV152" s="140"/>
      <c r="BY152" s="141"/>
      <c r="BZ152" s="141"/>
      <c r="CA152" s="141"/>
      <c r="CB152" s="141"/>
      <c r="CC152" s="141"/>
      <c r="CD152" s="141"/>
      <c r="CE152" s="141"/>
      <c r="CF152" s="141"/>
      <c r="CG152" s="141"/>
      <c r="CH152" s="141"/>
      <c r="CI152" s="141"/>
      <c r="CJ152" s="141"/>
      <c r="CK152" s="141"/>
    </row>
    <row r="153" spans="74:89" ht="15" customHeight="1" x14ac:dyDescent="0.35">
      <c r="BV153" s="140"/>
      <c r="BY153" s="141"/>
      <c r="BZ153" s="141"/>
      <c r="CA153" s="141"/>
      <c r="CB153" s="141"/>
      <c r="CC153" s="141"/>
      <c r="CD153" s="141"/>
      <c r="CE153" s="141"/>
      <c r="CF153" s="141"/>
      <c r="CG153" s="141"/>
      <c r="CH153" s="141"/>
      <c r="CI153" s="141"/>
      <c r="CJ153" s="141"/>
      <c r="CK153" s="141"/>
    </row>
    <row r="154" spans="74:89" ht="15" customHeight="1" x14ac:dyDescent="0.35">
      <c r="BV154" s="140"/>
      <c r="BY154" s="141"/>
      <c r="BZ154" s="141"/>
      <c r="CA154" s="141"/>
      <c r="CB154" s="141"/>
      <c r="CC154" s="141"/>
      <c r="CD154" s="141"/>
      <c r="CE154" s="141"/>
      <c r="CF154" s="141"/>
      <c r="CG154" s="141"/>
      <c r="CH154" s="141"/>
      <c r="CI154" s="141"/>
      <c r="CJ154" s="141"/>
      <c r="CK154" s="141"/>
    </row>
    <row r="155" spans="74:89" ht="15" customHeight="1" x14ac:dyDescent="0.35">
      <c r="BV155" s="140"/>
      <c r="BY155" s="141"/>
      <c r="BZ155" s="141"/>
      <c r="CA155" s="141"/>
      <c r="CB155" s="141"/>
      <c r="CC155" s="141"/>
      <c r="CD155" s="141"/>
      <c r="CE155" s="141"/>
      <c r="CF155" s="141"/>
      <c r="CG155" s="141"/>
      <c r="CH155" s="141"/>
      <c r="CI155" s="141"/>
      <c r="CJ155" s="141"/>
      <c r="CK155" s="141"/>
    </row>
    <row r="156" spans="74:89" ht="15" customHeight="1" x14ac:dyDescent="0.35">
      <c r="BV156" s="140"/>
      <c r="BY156" s="141"/>
      <c r="BZ156" s="141"/>
      <c r="CA156" s="141"/>
      <c r="CB156" s="141"/>
      <c r="CC156" s="141"/>
      <c r="CD156" s="141"/>
      <c r="CE156" s="141"/>
      <c r="CF156" s="141"/>
      <c r="CG156" s="141"/>
      <c r="CH156" s="141"/>
      <c r="CI156" s="141"/>
      <c r="CJ156" s="141"/>
      <c r="CK156" s="141"/>
    </row>
    <row r="157" spans="74:89" ht="15" customHeight="1" x14ac:dyDescent="0.35">
      <c r="BV157" s="140"/>
      <c r="BY157" s="141"/>
      <c r="BZ157" s="141"/>
      <c r="CA157" s="141"/>
      <c r="CB157" s="141"/>
      <c r="CC157" s="141"/>
      <c r="CD157" s="141"/>
      <c r="CE157" s="141"/>
      <c r="CF157" s="141"/>
      <c r="CG157" s="141"/>
      <c r="CH157" s="141"/>
      <c r="CI157" s="141"/>
      <c r="CJ157" s="141"/>
      <c r="CK157" s="141"/>
    </row>
    <row r="158" spans="74:89" ht="15" customHeight="1" x14ac:dyDescent="0.35">
      <c r="BV158" s="140"/>
      <c r="BY158" s="141"/>
      <c r="BZ158" s="141"/>
      <c r="CA158" s="141"/>
      <c r="CB158" s="141"/>
      <c r="CC158" s="141"/>
      <c r="CD158" s="141"/>
      <c r="CE158" s="141"/>
      <c r="CF158" s="141"/>
      <c r="CG158" s="141"/>
      <c r="CH158" s="141"/>
      <c r="CI158" s="141"/>
      <c r="CJ158" s="141"/>
      <c r="CK158" s="141"/>
    </row>
    <row r="159" spans="74:89" ht="15" customHeight="1" x14ac:dyDescent="0.35">
      <c r="BV159" s="140"/>
      <c r="BY159" s="141"/>
      <c r="BZ159" s="141"/>
      <c r="CA159" s="141"/>
      <c r="CB159" s="141"/>
      <c r="CC159" s="141"/>
      <c r="CD159" s="141"/>
      <c r="CE159" s="141"/>
      <c r="CF159" s="141"/>
      <c r="CG159" s="141"/>
      <c r="CH159" s="141"/>
      <c r="CI159" s="141"/>
      <c r="CJ159" s="141"/>
      <c r="CK159" s="141"/>
    </row>
    <row r="160" spans="74:89" ht="15" customHeight="1" x14ac:dyDescent="0.35">
      <c r="BV160" s="140"/>
      <c r="BY160" s="141"/>
      <c r="BZ160" s="141"/>
      <c r="CA160" s="141"/>
      <c r="CB160" s="141"/>
      <c r="CC160" s="141"/>
      <c r="CD160" s="141"/>
      <c r="CE160" s="141"/>
      <c r="CF160" s="141"/>
      <c r="CG160" s="141"/>
      <c r="CH160" s="141"/>
      <c r="CI160" s="141"/>
      <c r="CJ160" s="141"/>
      <c r="CK160" s="141"/>
    </row>
    <row r="161" spans="74:89" ht="15" customHeight="1" x14ac:dyDescent="0.35">
      <c r="BV161" s="140"/>
      <c r="BY161" s="141"/>
      <c r="BZ161" s="141"/>
      <c r="CA161" s="141"/>
      <c r="CB161" s="141"/>
      <c r="CC161" s="141"/>
      <c r="CD161" s="141"/>
      <c r="CE161" s="141"/>
      <c r="CF161" s="141"/>
      <c r="CG161" s="141"/>
      <c r="CH161" s="141"/>
      <c r="CI161" s="141"/>
      <c r="CJ161" s="141"/>
      <c r="CK161" s="141"/>
    </row>
    <row r="162" spans="74:89" ht="15" customHeight="1" x14ac:dyDescent="0.35">
      <c r="BV162" s="140"/>
      <c r="BY162" s="141"/>
      <c r="BZ162" s="141"/>
      <c r="CA162" s="141"/>
      <c r="CB162" s="141"/>
      <c r="CC162" s="141"/>
      <c r="CD162" s="141"/>
      <c r="CE162" s="141"/>
      <c r="CF162" s="141"/>
      <c r="CG162" s="141"/>
      <c r="CH162" s="141"/>
      <c r="CI162" s="141"/>
      <c r="CJ162" s="141"/>
      <c r="CK162" s="141"/>
    </row>
    <row r="163" spans="74:89" ht="15" customHeight="1" x14ac:dyDescent="0.35">
      <c r="BV163" s="140"/>
      <c r="BY163" s="141"/>
      <c r="BZ163" s="141"/>
      <c r="CA163" s="141"/>
      <c r="CB163" s="141"/>
      <c r="CC163" s="141"/>
      <c r="CD163" s="141"/>
      <c r="CE163" s="141"/>
      <c r="CF163" s="141"/>
      <c r="CG163" s="141"/>
      <c r="CH163" s="141"/>
      <c r="CI163" s="141"/>
      <c r="CJ163" s="141"/>
      <c r="CK163" s="141"/>
    </row>
    <row r="164" spans="74:89" ht="15" customHeight="1" x14ac:dyDescent="0.35">
      <c r="BV164" s="140"/>
      <c r="BY164" s="141"/>
      <c r="BZ164" s="141"/>
      <c r="CA164" s="141"/>
      <c r="CB164" s="141"/>
      <c r="CC164" s="141"/>
      <c r="CD164" s="141"/>
      <c r="CE164" s="141"/>
      <c r="CF164" s="141"/>
      <c r="CG164" s="141"/>
      <c r="CH164" s="141"/>
      <c r="CI164" s="141"/>
      <c r="CJ164" s="141"/>
      <c r="CK164" s="141"/>
    </row>
    <row r="165" spans="74:89" ht="15" customHeight="1" x14ac:dyDescent="0.35">
      <c r="BV165" s="140"/>
      <c r="BY165" s="141"/>
      <c r="BZ165" s="141"/>
      <c r="CA165" s="141"/>
      <c r="CB165" s="141"/>
      <c r="CC165" s="141"/>
      <c r="CD165" s="141"/>
      <c r="CE165" s="141"/>
      <c r="CF165" s="141"/>
      <c r="CG165" s="141"/>
      <c r="CH165" s="141"/>
      <c r="CI165" s="141"/>
      <c r="CJ165" s="141"/>
      <c r="CK165" s="141"/>
    </row>
    <row r="166" spans="74:89" ht="15" customHeight="1" x14ac:dyDescent="0.35">
      <c r="BV166" s="140"/>
      <c r="BY166" s="141"/>
      <c r="BZ166" s="141"/>
      <c r="CA166" s="141"/>
      <c r="CB166" s="141"/>
      <c r="CC166" s="141"/>
      <c r="CD166" s="141"/>
      <c r="CE166" s="141"/>
      <c r="CF166" s="141"/>
      <c r="CG166" s="141"/>
      <c r="CH166" s="141"/>
      <c r="CI166" s="141"/>
      <c r="CJ166" s="141"/>
      <c r="CK166" s="141"/>
    </row>
    <row r="167" spans="74:89" ht="15" customHeight="1" x14ac:dyDescent="0.35">
      <c r="BV167" s="140"/>
      <c r="BY167" s="141"/>
      <c r="BZ167" s="141"/>
      <c r="CA167" s="141"/>
      <c r="CB167" s="141"/>
      <c r="CC167" s="141"/>
      <c r="CD167" s="141"/>
      <c r="CE167" s="141"/>
      <c r="CF167" s="141"/>
      <c r="CG167" s="141"/>
      <c r="CH167" s="141"/>
      <c r="CI167" s="141"/>
      <c r="CJ167" s="141"/>
      <c r="CK167" s="141"/>
    </row>
    <row r="168" spans="74:89" ht="15" customHeight="1" x14ac:dyDescent="0.35">
      <c r="BV168" s="140"/>
      <c r="BY168" s="141"/>
      <c r="BZ168" s="141"/>
      <c r="CA168" s="141"/>
      <c r="CB168" s="141"/>
      <c r="CC168" s="141"/>
      <c r="CD168" s="141"/>
      <c r="CE168" s="141"/>
      <c r="CF168" s="141"/>
      <c r="CG168" s="141"/>
      <c r="CH168" s="141"/>
      <c r="CI168" s="141"/>
      <c r="CJ168" s="141"/>
      <c r="CK168" s="141"/>
    </row>
    <row r="169" spans="74:89" ht="15" customHeight="1" x14ac:dyDescent="0.35">
      <c r="BV169" s="140"/>
      <c r="BY169" s="141"/>
      <c r="BZ169" s="141"/>
      <c r="CA169" s="141"/>
      <c r="CB169" s="141"/>
      <c r="CC169" s="141"/>
      <c r="CD169" s="141"/>
      <c r="CE169" s="141"/>
      <c r="CF169" s="141"/>
      <c r="CG169" s="141"/>
      <c r="CH169" s="141"/>
      <c r="CI169" s="141"/>
      <c r="CJ169" s="141"/>
      <c r="CK169" s="141"/>
    </row>
    <row r="170" spans="74:89" ht="15" customHeight="1" x14ac:dyDescent="0.35">
      <c r="BV170" s="140"/>
      <c r="BY170" s="141"/>
      <c r="BZ170" s="141"/>
      <c r="CA170" s="141"/>
      <c r="CB170" s="141"/>
      <c r="CC170" s="141"/>
      <c r="CD170" s="141"/>
      <c r="CE170" s="141"/>
      <c r="CF170" s="141"/>
      <c r="CG170" s="141"/>
      <c r="CH170" s="141"/>
      <c r="CI170" s="141"/>
      <c r="CJ170" s="141"/>
      <c r="CK170" s="141"/>
    </row>
    <row r="171" spans="74:89" ht="15" customHeight="1" x14ac:dyDescent="0.35">
      <c r="BV171" s="140"/>
      <c r="BY171" s="141"/>
      <c r="BZ171" s="141"/>
      <c r="CA171" s="141"/>
      <c r="CB171" s="141"/>
      <c r="CC171" s="141"/>
      <c r="CD171" s="141"/>
      <c r="CE171" s="141"/>
      <c r="CF171" s="141"/>
      <c r="CG171" s="141"/>
      <c r="CH171" s="141"/>
      <c r="CI171" s="141"/>
      <c r="CJ171" s="141"/>
      <c r="CK171" s="141"/>
    </row>
    <row r="172" spans="74:89" ht="15" customHeight="1" x14ac:dyDescent="0.35">
      <c r="BV172" s="140"/>
      <c r="BY172" s="141"/>
      <c r="BZ172" s="141"/>
      <c r="CA172" s="141"/>
      <c r="CB172" s="141"/>
      <c r="CC172" s="141"/>
      <c r="CD172" s="141"/>
      <c r="CE172" s="141"/>
      <c r="CF172" s="141"/>
      <c r="CG172" s="141"/>
      <c r="CH172" s="141"/>
      <c r="CI172" s="141"/>
      <c r="CJ172" s="141"/>
      <c r="CK172" s="141"/>
    </row>
    <row r="173" spans="74:89" ht="15" customHeight="1" x14ac:dyDescent="0.35">
      <c r="BV173" s="140"/>
      <c r="BY173" s="141"/>
      <c r="BZ173" s="141"/>
      <c r="CA173" s="141"/>
      <c r="CB173" s="141"/>
      <c r="CC173" s="141"/>
      <c r="CD173" s="141"/>
      <c r="CE173" s="141"/>
      <c r="CF173" s="141"/>
      <c r="CG173" s="141"/>
      <c r="CH173" s="141"/>
      <c r="CI173" s="141"/>
      <c r="CJ173" s="141"/>
      <c r="CK173" s="141"/>
    </row>
    <row r="174" spans="74:89" ht="15" customHeight="1" x14ac:dyDescent="0.35">
      <c r="BV174" s="140"/>
      <c r="BY174" s="141"/>
      <c r="BZ174" s="141"/>
      <c r="CA174" s="141"/>
      <c r="CB174" s="141"/>
      <c r="CC174" s="141"/>
      <c r="CD174" s="141"/>
      <c r="CE174" s="141"/>
      <c r="CF174" s="141"/>
      <c r="CG174" s="141"/>
      <c r="CH174" s="141"/>
      <c r="CI174" s="141"/>
      <c r="CJ174" s="141"/>
      <c r="CK174" s="141"/>
    </row>
    <row r="175" spans="74:89" ht="15" customHeight="1" x14ac:dyDescent="0.35">
      <c r="BV175" s="140"/>
      <c r="BY175" s="141"/>
      <c r="BZ175" s="141"/>
      <c r="CA175" s="141"/>
      <c r="CB175" s="141"/>
      <c r="CC175" s="141"/>
      <c r="CD175" s="141"/>
      <c r="CE175" s="141"/>
      <c r="CF175" s="141"/>
      <c r="CG175" s="141"/>
      <c r="CH175" s="141"/>
      <c r="CI175" s="141"/>
      <c r="CJ175" s="141"/>
      <c r="CK175" s="141"/>
    </row>
    <row r="176" spans="74:89" ht="15" customHeight="1" x14ac:dyDescent="0.35">
      <c r="BV176" s="140"/>
      <c r="BY176" s="141"/>
      <c r="BZ176" s="141"/>
      <c r="CA176" s="141"/>
      <c r="CB176" s="141"/>
      <c r="CC176" s="141"/>
      <c r="CD176" s="141"/>
      <c r="CE176" s="141"/>
      <c r="CF176" s="141"/>
      <c r="CG176" s="141"/>
      <c r="CH176" s="141"/>
      <c r="CI176" s="141"/>
      <c r="CJ176" s="141"/>
      <c r="CK176" s="141"/>
    </row>
    <row r="177" spans="74:89" ht="15" customHeight="1" x14ac:dyDescent="0.35">
      <c r="BV177" s="140"/>
      <c r="BY177" s="141"/>
      <c r="BZ177" s="141"/>
      <c r="CA177" s="141"/>
      <c r="CB177" s="141"/>
      <c r="CC177" s="141"/>
      <c r="CD177" s="141"/>
      <c r="CE177" s="141"/>
      <c r="CF177" s="141"/>
      <c r="CG177" s="141"/>
      <c r="CH177" s="141"/>
      <c r="CI177" s="141"/>
      <c r="CJ177" s="141"/>
      <c r="CK177" s="141"/>
    </row>
    <row r="178" spans="74:89" ht="15" customHeight="1" x14ac:dyDescent="0.35">
      <c r="BV178" s="140"/>
      <c r="BY178" s="141"/>
      <c r="BZ178" s="141"/>
      <c r="CA178" s="141"/>
      <c r="CB178" s="141"/>
      <c r="CC178" s="141"/>
      <c r="CD178" s="141"/>
      <c r="CE178" s="141"/>
      <c r="CF178" s="141"/>
      <c r="CG178" s="141"/>
      <c r="CH178" s="141"/>
      <c r="CI178" s="141"/>
      <c r="CJ178" s="141"/>
      <c r="CK178" s="141"/>
    </row>
    <row r="179" spans="74:89" ht="15" customHeight="1" x14ac:dyDescent="0.35">
      <c r="BV179" s="140"/>
      <c r="BY179" s="141"/>
      <c r="BZ179" s="141"/>
      <c r="CA179" s="141"/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</row>
    <row r="180" spans="74:89" ht="15" customHeight="1" x14ac:dyDescent="0.35">
      <c r="BV180" s="140"/>
      <c r="BY180" s="141"/>
      <c r="BZ180" s="141"/>
      <c r="CA180" s="141"/>
      <c r="CB180" s="141"/>
      <c r="CC180" s="141"/>
      <c r="CD180" s="141"/>
      <c r="CE180" s="141"/>
      <c r="CF180" s="141"/>
      <c r="CG180" s="141"/>
      <c r="CH180" s="141"/>
      <c r="CI180" s="141"/>
      <c r="CJ180" s="141"/>
      <c r="CK180" s="141"/>
    </row>
    <row r="181" spans="74:89" ht="15" customHeight="1" x14ac:dyDescent="0.35">
      <c r="BV181" s="140"/>
      <c r="BY181" s="141"/>
      <c r="BZ181" s="141"/>
      <c r="CA181" s="141"/>
      <c r="CB181" s="141"/>
      <c r="CC181" s="141"/>
      <c r="CD181" s="141"/>
      <c r="CE181" s="141"/>
      <c r="CF181" s="141"/>
      <c r="CG181" s="141"/>
      <c r="CH181" s="141"/>
      <c r="CI181" s="141"/>
      <c r="CJ181" s="141"/>
      <c r="CK181" s="141"/>
    </row>
    <row r="182" spans="74:89" ht="15" customHeight="1" x14ac:dyDescent="0.35">
      <c r="BV182" s="140"/>
      <c r="BY182" s="141"/>
      <c r="BZ182" s="141"/>
      <c r="CA182" s="141"/>
      <c r="CB182" s="141"/>
      <c r="CC182" s="141"/>
      <c r="CD182" s="141"/>
      <c r="CE182" s="141"/>
      <c r="CF182" s="141"/>
      <c r="CG182" s="141"/>
      <c r="CH182" s="141"/>
      <c r="CI182" s="141"/>
      <c r="CJ182" s="141"/>
      <c r="CK182" s="141"/>
    </row>
    <row r="183" spans="74:89" ht="15" customHeight="1" x14ac:dyDescent="0.35">
      <c r="BV183" s="140"/>
      <c r="BY183" s="141"/>
      <c r="BZ183" s="141"/>
      <c r="CA183" s="141"/>
      <c r="CB183" s="141"/>
      <c r="CC183" s="141"/>
      <c r="CD183" s="141"/>
      <c r="CE183" s="141"/>
      <c r="CF183" s="141"/>
      <c r="CG183" s="141"/>
      <c r="CH183" s="141"/>
      <c r="CI183" s="141"/>
      <c r="CJ183" s="141"/>
      <c r="CK183" s="141"/>
    </row>
    <row r="184" spans="74:89" ht="15" customHeight="1" x14ac:dyDescent="0.35">
      <c r="BV184" s="140"/>
      <c r="BY184" s="141"/>
      <c r="BZ184" s="141"/>
      <c r="CA184" s="141"/>
      <c r="CB184" s="141"/>
      <c r="CC184" s="141"/>
      <c r="CD184" s="141"/>
      <c r="CE184" s="141"/>
      <c r="CF184" s="141"/>
      <c r="CG184" s="141"/>
      <c r="CH184" s="141"/>
      <c r="CI184" s="141"/>
      <c r="CJ184" s="141"/>
      <c r="CK184" s="141"/>
    </row>
    <row r="185" spans="74:89" ht="15" customHeight="1" x14ac:dyDescent="0.35">
      <c r="BV185" s="140"/>
      <c r="BY185" s="141"/>
      <c r="BZ185" s="141"/>
      <c r="CA185" s="141"/>
      <c r="CB185" s="141"/>
      <c r="CC185" s="141"/>
      <c r="CD185" s="141"/>
      <c r="CE185" s="141"/>
      <c r="CF185" s="141"/>
      <c r="CG185" s="141"/>
      <c r="CH185" s="141"/>
      <c r="CI185" s="141"/>
      <c r="CJ185" s="141"/>
      <c r="CK185" s="141"/>
    </row>
    <row r="186" spans="74:89" ht="15" customHeight="1" x14ac:dyDescent="0.35">
      <c r="BV186" s="140"/>
      <c r="BY186" s="141"/>
      <c r="BZ186" s="141"/>
      <c r="CA186" s="141"/>
      <c r="CB186" s="141"/>
      <c r="CC186" s="141"/>
      <c r="CD186" s="141"/>
      <c r="CE186" s="141"/>
      <c r="CF186" s="141"/>
      <c r="CG186" s="141"/>
      <c r="CH186" s="141"/>
      <c r="CI186" s="141"/>
      <c r="CJ186" s="141"/>
      <c r="CK186" s="141"/>
    </row>
    <row r="187" spans="74:89" ht="15" customHeight="1" x14ac:dyDescent="0.35">
      <c r="BV187" s="140"/>
      <c r="BY187" s="141"/>
      <c r="BZ187" s="141"/>
      <c r="CA187" s="141"/>
      <c r="CB187" s="141"/>
      <c r="CC187" s="141"/>
      <c r="CD187" s="141"/>
      <c r="CE187" s="141"/>
      <c r="CF187" s="141"/>
      <c r="CG187" s="141"/>
      <c r="CH187" s="141"/>
      <c r="CI187" s="141"/>
      <c r="CJ187" s="141"/>
      <c r="CK187" s="141"/>
    </row>
    <row r="188" spans="74:89" ht="15" customHeight="1" x14ac:dyDescent="0.35">
      <c r="BV188" s="140"/>
      <c r="BY188" s="141"/>
      <c r="BZ188" s="141"/>
      <c r="CA188" s="141"/>
      <c r="CB188" s="141"/>
      <c r="CC188" s="141"/>
      <c r="CD188" s="141"/>
      <c r="CE188" s="141"/>
      <c r="CF188" s="141"/>
      <c r="CG188" s="141"/>
      <c r="CH188" s="141"/>
      <c r="CI188" s="141"/>
      <c r="CJ188" s="141"/>
      <c r="CK188" s="141"/>
    </row>
    <row r="189" spans="74:89" ht="15" customHeight="1" x14ac:dyDescent="0.35">
      <c r="BV189" s="140"/>
      <c r="BY189" s="141"/>
      <c r="BZ189" s="141"/>
      <c r="CA189" s="141"/>
      <c r="CB189" s="141"/>
      <c r="CC189" s="141"/>
      <c r="CD189" s="141"/>
      <c r="CE189" s="141"/>
      <c r="CF189" s="141"/>
      <c r="CG189" s="141"/>
      <c r="CH189" s="141"/>
      <c r="CI189" s="141"/>
      <c r="CJ189" s="141"/>
      <c r="CK189" s="141"/>
    </row>
    <row r="190" spans="74:89" ht="15" customHeight="1" x14ac:dyDescent="0.35">
      <c r="BV190" s="140"/>
      <c r="BY190" s="141"/>
      <c r="BZ190" s="141"/>
      <c r="CA190" s="141"/>
      <c r="CB190" s="141"/>
      <c r="CC190" s="141"/>
      <c r="CD190" s="141"/>
      <c r="CE190" s="141"/>
      <c r="CF190" s="141"/>
      <c r="CG190" s="141"/>
      <c r="CH190" s="141"/>
      <c r="CI190" s="141"/>
      <c r="CJ190" s="141"/>
      <c r="CK190" s="141"/>
    </row>
    <row r="191" spans="74:89" ht="15" customHeight="1" x14ac:dyDescent="0.35">
      <c r="BV191" s="140"/>
      <c r="BY191" s="141"/>
      <c r="BZ191" s="141"/>
      <c r="CA191" s="141"/>
      <c r="CB191" s="141"/>
      <c r="CC191" s="141"/>
      <c r="CD191" s="141"/>
      <c r="CE191" s="141"/>
      <c r="CF191" s="141"/>
      <c r="CG191" s="141"/>
      <c r="CH191" s="141"/>
      <c r="CI191" s="141"/>
      <c r="CJ191" s="141"/>
      <c r="CK191" s="141"/>
    </row>
    <row r="192" spans="74:89" ht="15" customHeight="1" x14ac:dyDescent="0.35">
      <c r="BV192" s="140"/>
      <c r="BY192" s="141"/>
      <c r="BZ192" s="141"/>
      <c r="CA192" s="141"/>
      <c r="CB192" s="141"/>
      <c r="CC192" s="141"/>
      <c r="CD192" s="141"/>
      <c r="CE192" s="141"/>
      <c r="CF192" s="141"/>
      <c r="CG192" s="141"/>
      <c r="CH192" s="141"/>
      <c r="CI192" s="141"/>
      <c r="CJ192" s="141"/>
      <c r="CK192" s="141"/>
    </row>
    <row r="193" spans="74:89" ht="15" customHeight="1" x14ac:dyDescent="0.35">
      <c r="BV193" s="140"/>
      <c r="BY193" s="141"/>
      <c r="BZ193" s="141"/>
      <c r="CA193" s="141"/>
      <c r="CB193" s="141"/>
      <c r="CC193" s="141"/>
      <c r="CD193" s="141"/>
      <c r="CE193" s="141"/>
      <c r="CF193" s="141"/>
      <c r="CG193" s="141"/>
      <c r="CH193" s="141"/>
      <c r="CI193" s="141"/>
      <c r="CJ193" s="141"/>
      <c r="CK193" s="141"/>
    </row>
    <row r="194" spans="74:89" ht="15" customHeight="1" x14ac:dyDescent="0.35">
      <c r="BV194" s="140"/>
      <c r="BY194" s="141"/>
      <c r="BZ194" s="141"/>
      <c r="CA194" s="141"/>
      <c r="CB194" s="141"/>
      <c r="CC194" s="141"/>
      <c r="CD194" s="141"/>
      <c r="CE194" s="141"/>
      <c r="CF194" s="141"/>
      <c r="CG194" s="141"/>
      <c r="CH194" s="141"/>
      <c r="CI194" s="141"/>
      <c r="CJ194" s="141"/>
      <c r="CK194" s="141"/>
    </row>
    <row r="195" spans="74:89" ht="15" customHeight="1" x14ac:dyDescent="0.35">
      <c r="BV195" s="140"/>
      <c r="BY195" s="141"/>
      <c r="BZ195" s="141"/>
      <c r="CA195" s="141"/>
      <c r="CB195" s="141"/>
      <c r="CC195" s="141"/>
      <c r="CD195" s="141"/>
      <c r="CE195" s="141"/>
      <c r="CF195" s="141"/>
      <c r="CG195" s="141"/>
      <c r="CH195" s="141"/>
      <c r="CI195" s="141"/>
      <c r="CJ195" s="141"/>
      <c r="CK195" s="141"/>
    </row>
    <row r="196" spans="74:89" ht="15" customHeight="1" x14ac:dyDescent="0.35">
      <c r="BV196" s="140"/>
      <c r="BY196" s="141"/>
      <c r="BZ196" s="141"/>
      <c r="CA196" s="141"/>
      <c r="CB196" s="141"/>
      <c r="CC196" s="141"/>
      <c r="CD196" s="141"/>
      <c r="CE196" s="141"/>
      <c r="CF196" s="141"/>
      <c r="CG196" s="141"/>
      <c r="CH196" s="141"/>
      <c r="CI196" s="141"/>
      <c r="CJ196" s="141"/>
      <c r="CK196" s="141"/>
    </row>
    <row r="197" spans="74:89" ht="15" customHeight="1" x14ac:dyDescent="0.35">
      <c r="BV197" s="140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</row>
    <row r="198" spans="74:89" ht="15" customHeight="1" x14ac:dyDescent="0.35">
      <c r="BV198" s="140"/>
      <c r="BY198" s="141"/>
      <c r="BZ198" s="141"/>
      <c r="CA198" s="141"/>
      <c r="CB198" s="141"/>
      <c r="CC198" s="141"/>
      <c r="CD198" s="141"/>
      <c r="CE198" s="141"/>
      <c r="CF198" s="141"/>
      <c r="CG198" s="141"/>
      <c r="CH198" s="141"/>
      <c r="CI198" s="141"/>
      <c r="CJ198" s="141"/>
      <c r="CK198" s="141"/>
    </row>
    <row r="199" spans="74:89" ht="15" customHeight="1" x14ac:dyDescent="0.35">
      <c r="BV199" s="140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</row>
    <row r="200" spans="74:89" ht="15" customHeight="1" x14ac:dyDescent="0.35">
      <c r="BV200" s="140"/>
      <c r="BY200" s="141"/>
      <c r="BZ200" s="141"/>
      <c r="CA200" s="141"/>
      <c r="CB200" s="141"/>
      <c r="CC200" s="141"/>
      <c r="CD200" s="141"/>
      <c r="CE200" s="141"/>
      <c r="CF200" s="141"/>
      <c r="CG200" s="141"/>
      <c r="CH200" s="141"/>
      <c r="CI200" s="141"/>
      <c r="CJ200" s="141"/>
      <c r="CK200" s="141"/>
    </row>
    <row r="201" spans="74:89" ht="15" customHeight="1" x14ac:dyDescent="0.35">
      <c r="BV201" s="140"/>
      <c r="BY201" s="141"/>
      <c r="BZ201" s="141"/>
      <c r="CA201" s="141"/>
      <c r="CB201" s="141"/>
      <c r="CC201" s="141"/>
      <c r="CD201" s="141"/>
      <c r="CE201" s="141"/>
      <c r="CF201" s="141"/>
      <c r="CG201" s="141"/>
      <c r="CH201" s="141"/>
      <c r="CI201" s="141"/>
      <c r="CJ201" s="141"/>
      <c r="CK201" s="141"/>
    </row>
    <row r="202" spans="74:89" ht="15" customHeight="1" x14ac:dyDescent="0.35">
      <c r="BV202" s="140"/>
      <c r="BY202" s="141"/>
      <c r="BZ202" s="141"/>
      <c r="CA202" s="141"/>
      <c r="CB202" s="141"/>
      <c r="CC202" s="141"/>
      <c r="CD202" s="141"/>
      <c r="CE202" s="141"/>
      <c r="CF202" s="141"/>
      <c r="CG202" s="141"/>
      <c r="CH202" s="141"/>
      <c r="CI202" s="141"/>
      <c r="CJ202" s="141"/>
      <c r="CK202" s="141"/>
    </row>
    <row r="203" spans="74:89" ht="15" customHeight="1" x14ac:dyDescent="0.35">
      <c r="BV203" s="140"/>
      <c r="BY203" s="141"/>
      <c r="BZ203" s="141"/>
      <c r="CA203" s="141"/>
      <c r="CB203" s="141"/>
      <c r="CC203" s="141"/>
      <c r="CD203" s="141"/>
      <c r="CE203" s="141"/>
      <c r="CF203" s="141"/>
      <c r="CG203" s="141"/>
      <c r="CH203" s="141"/>
      <c r="CI203" s="141"/>
      <c r="CJ203" s="141"/>
      <c r="CK203" s="141"/>
    </row>
    <row r="204" spans="74:89" ht="15" customHeight="1" x14ac:dyDescent="0.35">
      <c r="BV204" s="140"/>
      <c r="BY204" s="141"/>
      <c r="BZ204" s="141"/>
      <c r="CA204" s="141"/>
      <c r="CB204" s="141"/>
      <c r="CC204" s="141"/>
      <c r="CD204" s="141"/>
      <c r="CE204" s="141"/>
      <c r="CF204" s="141"/>
      <c r="CG204" s="141"/>
      <c r="CH204" s="141"/>
      <c r="CI204" s="141"/>
      <c r="CJ204" s="141"/>
      <c r="CK204" s="141"/>
    </row>
    <row r="205" spans="74:89" ht="15" customHeight="1" x14ac:dyDescent="0.35">
      <c r="BV205" s="140"/>
      <c r="BY205" s="141"/>
      <c r="BZ205" s="141"/>
      <c r="CA205" s="141"/>
      <c r="CB205" s="141"/>
      <c r="CC205" s="141"/>
      <c r="CD205" s="141"/>
      <c r="CE205" s="141"/>
      <c r="CF205" s="141"/>
      <c r="CG205" s="141"/>
      <c r="CH205" s="141"/>
      <c r="CI205" s="141"/>
      <c r="CJ205" s="141"/>
      <c r="CK205" s="141"/>
    </row>
    <row r="206" spans="74:89" ht="15" customHeight="1" x14ac:dyDescent="0.35">
      <c r="BV206" s="140"/>
      <c r="BY206" s="141"/>
      <c r="BZ206" s="141"/>
      <c r="CA206" s="141"/>
      <c r="CB206" s="141"/>
      <c r="CC206" s="141"/>
      <c r="CD206" s="141"/>
      <c r="CE206" s="141"/>
      <c r="CF206" s="141"/>
      <c r="CG206" s="141"/>
      <c r="CH206" s="141"/>
      <c r="CI206" s="141"/>
      <c r="CJ206" s="141"/>
      <c r="CK206" s="141"/>
    </row>
    <row r="207" spans="74:89" ht="15" customHeight="1" x14ac:dyDescent="0.35">
      <c r="BV207" s="140"/>
      <c r="BY207" s="141"/>
      <c r="BZ207" s="141"/>
      <c r="CA207" s="141"/>
      <c r="CB207" s="141"/>
      <c r="CC207" s="141"/>
      <c r="CD207" s="141"/>
      <c r="CE207" s="141"/>
      <c r="CF207" s="141"/>
      <c r="CG207" s="141"/>
      <c r="CH207" s="141"/>
      <c r="CI207" s="141"/>
      <c r="CJ207" s="141"/>
      <c r="CK207" s="141"/>
    </row>
    <row r="208" spans="74:89" ht="15" customHeight="1" x14ac:dyDescent="0.35">
      <c r="BV208" s="140"/>
      <c r="BY208" s="141"/>
      <c r="BZ208" s="141"/>
      <c r="CA208" s="141"/>
      <c r="CB208" s="141"/>
      <c r="CC208" s="141"/>
      <c r="CD208" s="141"/>
      <c r="CE208" s="141"/>
      <c r="CF208" s="141"/>
      <c r="CG208" s="141"/>
      <c r="CH208" s="141"/>
      <c r="CI208" s="141"/>
      <c r="CJ208" s="141"/>
      <c r="CK208" s="141"/>
    </row>
    <row r="209" spans="74:89" ht="15" customHeight="1" x14ac:dyDescent="0.35">
      <c r="BV209" s="140"/>
      <c r="BY209" s="141"/>
      <c r="BZ209" s="141"/>
      <c r="CA209" s="141"/>
      <c r="CB209" s="141"/>
      <c r="CC209" s="141"/>
      <c r="CD209" s="141"/>
      <c r="CE209" s="141"/>
      <c r="CF209" s="141"/>
      <c r="CG209" s="141"/>
      <c r="CH209" s="141"/>
      <c r="CI209" s="141"/>
      <c r="CJ209" s="141"/>
      <c r="CK209" s="141"/>
    </row>
    <row r="210" spans="74:89" ht="15" customHeight="1" x14ac:dyDescent="0.35">
      <c r="BV210" s="140"/>
      <c r="BY210" s="141"/>
      <c r="BZ210" s="141"/>
      <c r="CA210" s="141"/>
      <c r="CB210" s="141"/>
      <c r="CC210" s="141"/>
      <c r="CD210" s="141"/>
      <c r="CE210" s="141"/>
      <c r="CF210" s="141"/>
      <c r="CG210" s="141"/>
      <c r="CH210" s="141"/>
      <c r="CI210" s="141"/>
      <c r="CJ210" s="141"/>
      <c r="CK210" s="141"/>
    </row>
    <row r="211" spans="74:89" ht="15" customHeight="1" x14ac:dyDescent="0.35">
      <c r="BV211" s="140"/>
      <c r="BY211" s="141"/>
      <c r="BZ211" s="141"/>
      <c r="CA211" s="141"/>
      <c r="CB211" s="141"/>
      <c r="CC211" s="141"/>
      <c r="CD211" s="141"/>
      <c r="CE211" s="141"/>
      <c r="CF211" s="141"/>
      <c r="CG211" s="141"/>
      <c r="CH211" s="141"/>
      <c r="CI211" s="141"/>
      <c r="CJ211" s="141"/>
      <c r="CK211" s="141"/>
    </row>
    <row r="212" spans="74:89" ht="15" customHeight="1" x14ac:dyDescent="0.35">
      <c r="BV212" s="140"/>
      <c r="BY212" s="141"/>
      <c r="BZ212" s="141"/>
      <c r="CA212" s="141"/>
      <c r="CB212" s="141"/>
      <c r="CC212" s="141"/>
      <c r="CD212" s="141"/>
      <c r="CE212" s="141"/>
      <c r="CF212" s="141"/>
      <c r="CG212" s="141"/>
      <c r="CH212" s="141"/>
      <c r="CI212" s="141"/>
      <c r="CJ212" s="141"/>
      <c r="CK212" s="141"/>
    </row>
    <row r="213" spans="74:89" ht="15" customHeight="1" x14ac:dyDescent="0.35">
      <c r="BV213" s="140"/>
      <c r="BY213" s="141"/>
      <c r="BZ213" s="141"/>
      <c r="CA213" s="141"/>
      <c r="CB213" s="141"/>
      <c r="CC213" s="141"/>
      <c r="CD213" s="141"/>
      <c r="CE213" s="141"/>
      <c r="CF213" s="141"/>
      <c r="CG213" s="141"/>
      <c r="CH213" s="141"/>
      <c r="CI213" s="141"/>
      <c r="CJ213" s="141"/>
      <c r="CK213" s="141"/>
    </row>
    <row r="214" spans="74:89" ht="15" customHeight="1" x14ac:dyDescent="0.35">
      <c r="BV214" s="140"/>
      <c r="BY214" s="141"/>
      <c r="BZ214" s="141"/>
      <c r="CA214" s="141"/>
      <c r="CB214" s="141"/>
      <c r="CC214" s="141"/>
      <c r="CD214" s="141"/>
      <c r="CE214" s="141"/>
      <c r="CF214" s="141"/>
      <c r="CG214" s="141"/>
      <c r="CH214" s="141"/>
      <c r="CI214" s="141"/>
      <c r="CJ214" s="141"/>
      <c r="CK214" s="141"/>
    </row>
    <row r="215" spans="74:89" ht="15" customHeight="1" x14ac:dyDescent="0.35">
      <c r="BV215" s="140"/>
      <c r="BY215" s="141"/>
      <c r="BZ215" s="141"/>
      <c r="CA215" s="141"/>
      <c r="CB215" s="141"/>
      <c r="CC215" s="141"/>
      <c r="CD215" s="141"/>
      <c r="CE215" s="141"/>
      <c r="CF215" s="141"/>
      <c r="CG215" s="141"/>
      <c r="CH215" s="141"/>
      <c r="CI215" s="141"/>
      <c r="CJ215" s="141"/>
      <c r="CK215" s="141"/>
    </row>
    <row r="216" spans="74:89" ht="15" customHeight="1" x14ac:dyDescent="0.35">
      <c r="BV216" s="140"/>
      <c r="BY216" s="141"/>
      <c r="BZ216" s="141"/>
      <c r="CA216" s="141"/>
      <c r="CB216" s="141"/>
      <c r="CC216" s="141"/>
      <c r="CD216" s="141"/>
      <c r="CE216" s="141"/>
      <c r="CF216" s="141"/>
      <c r="CG216" s="141"/>
      <c r="CH216" s="141"/>
      <c r="CI216" s="141"/>
      <c r="CJ216" s="141"/>
      <c r="CK216" s="141"/>
    </row>
    <row r="217" spans="74:89" ht="15" customHeight="1" x14ac:dyDescent="0.35">
      <c r="BV217" s="140"/>
      <c r="BY217" s="141"/>
      <c r="BZ217" s="141"/>
      <c r="CA217" s="141"/>
      <c r="CB217" s="141"/>
      <c r="CC217" s="141"/>
      <c r="CD217" s="141"/>
      <c r="CE217" s="141"/>
      <c r="CF217" s="141"/>
      <c r="CG217" s="141"/>
      <c r="CH217" s="141"/>
      <c r="CI217" s="141"/>
      <c r="CJ217" s="141"/>
      <c r="CK217" s="141"/>
    </row>
    <row r="218" spans="74:89" ht="15" customHeight="1" x14ac:dyDescent="0.35">
      <c r="BV218" s="140"/>
      <c r="BY218" s="141"/>
      <c r="BZ218" s="141"/>
      <c r="CA218" s="141"/>
      <c r="CB218" s="141"/>
      <c r="CC218" s="141"/>
      <c r="CD218" s="141"/>
      <c r="CE218" s="141"/>
      <c r="CF218" s="141"/>
      <c r="CG218" s="141"/>
      <c r="CH218" s="141"/>
      <c r="CI218" s="141"/>
      <c r="CJ218" s="141"/>
      <c r="CK218" s="141"/>
    </row>
    <row r="219" spans="74:89" ht="15" customHeight="1" x14ac:dyDescent="0.35">
      <c r="BV219" s="140"/>
      <c r="BY219" s="141"/>
      <c r="BZ219" s="141"/>
      <c r="CA219" s="141"/>
      <c r="CB219" s="141"/>
      <c r="CC219" s="141"/>
      <c r="CD219" s="141"/>
      <c r="CE219" s="141"/>
      <c r="CF219" s="141"/>
      <c r="CG219" s="141"/>
      <c r="CH219" s="141"/>
      <c r="CI219" s="141"/>
      <c r="CJ219" s="141"/>
      <c r="CK219" s="141"/>
    </row>
    <row r="220" spans="74:89" ht="15" customHeight="1" x14ac:dyDescent="0.35">
      <c r="BV220" s="140"/>
      <c r="BY220" s="141"/>
      <c r="BZ220" s="141"/>
      <c r="CA220" s="141"/>
      <c r="CB220" s="141"/>
      <c r="CC220" s="141"/>
      <c r="CD220" s="141"/>
      <c r="CE220" s="141"/>
      <c r="CF220" s="141"/>
      <c r="CG220" s="141"/>
      <c r="CH220" s="141"/>
      <c r="CI220" s="141"/>
      <c r="CJ220" s="141"/>
      <c r="CK220" s="141"/>
    </row>
    <row r="221" spans="74:89" ht="15" customHeight="1" x14ac:dyDescent="0.35">
      <c r="BV221" s="140"/>
      <c r="BY221" s="141"/>
      <c r="BZ221" s="141"/>
      <c r="CA221" s="141"/>
      <c r="CB221" s="141"/>
      <c r="CC221" s="141"/>
      <c r="CD221" s="141"/>
      <c r="CE221" s="141"/>
      <c r="CF221" s="141"/>
      <c r="CG221" s="141"/>
      <c r="CH221" s="141"/>
      <c r="CI221" s="141"/>
      <c r="CJ221" s="141"/>
      <c r="CK221" s="141"/>
    </row>
    <row r="222" spans="74:89" ht="15" customHeight="1" x14ac:dyDescent="0.35">
      <c r="BV222" s="140"/>
      <c r="BY222" s="141"/>
      <c r="BZ222" s="141"/>
      <c r="CA222" s="141"/>
      <c r="CB222" s="141"/>
      <c r="CC222" s="141"/>
      <c r="CD222" s="141"/>
      <c r="CE222" s="141"/>
      <c r="CF222" s="141"/>
      <c r="CG222" s="141"/>
      <c r="CH222" s="141"/>
      <c r="CI222" s="141"/>
      <c r="CJ222" s="141"/>
      <c r="CK222" s="141"/>
    </row>
    <row r="223" spans="74:89" ht="15" customHeight="1" x14ac:dyDescent="0.35">
      <c r="BV223" s="140"/>
      <c r="BY223" s="141"/>
      <c r="BZ223" s="141"/>
      <c r="CA223" s="141"/>
      <c r="CB223" s="141"/>
      <c r="CC223" s="141"/>
      <c r="CD223" s="141"/>
      <c r="CE223" s="141"/>
      <c r="CF223" s="141"/>
      <c r="CG223" s="141"/>
      <c r="CH223" s="141"/>
      <c r="CI223" s="141"/>
      <c r="CJ223" s="141"/>
      <c r="CK223" s="141"/>
    </row>
    <row r="224" spans="74:89" ht="15" customHeight="1" x14ac:dyDescent="0.35">
      <c r="BV224" s="140"/>
      <c r="BY224" s="141"/>
      <c r="BZ224" s="141"/>
      <c r="CA224" s="141"/>
      <c r="CB224" s="141"/>
      <c r="CC224" s="141"/>
      <c r="CD224" s="141"/>
      <c r="CE224" s="141"/>
      <c r="CF224" s="141"/>
      <c r="CG224" s="141"/>
      <c r="CH224" s="141"/>
      <c r="CI224" s="141"/>
      <c r="CJ224" s="141"/>
      <c r="CK224" s="141"/>
    </row>
    <row r="225" spans="74:89" ht="15" customHeight="1" x14ac:dyDescent="0.35">
      <c r="BV225" s="140"/>
      <c r="BY225" s="141"/>
      <c r="BZ225" s="141"/>
      <c r="CA225" s="141"/>
      <c r="CB225" s="141"/>
      <c r="CC225" s="141"/>
      <c r="CD225" s="141"/>
      <c r="CE225" s="141"/>
      <c r="CF225" s="141"/>
      <c r="CG225" s="141"/>
      <c r="CH225" s="141"/>
      <c r="CI225" s="141"/>
      <c r="CJ225" s="141"/>
      <c r="CK225" s="141"/>
    </row>
    <row r="226" spans="74:89" ht="15" customHeight="1" x14ac:dyDescent="0.35">
      <c r="BV226" s="140"/>
      <c r="BY226" s="141"/>
      <c r="BZ226" s="141"/>
      <c r="CA226" s="141"/>
      <c r="CB226" s="141"/>
      <c r="CC226" s="141"/>
      <c r="CD226" s="141"/>
      <c r="CE226" s="141"/>
      <c r="CF226" s="141"/>
      <c r="CG226" s="141"/>
      <c r="CH226" s="141"/>
      <c r="CI226" s="141"/>
      <c r="CJ226" s="141"/>
      <c r="CK226" s="141"/>
    </row>
    <row r="227" spans="74:89" ht="15" customHeight="1" x14ac:dyDescent="0.35">
      <c r="BV227" s="140"/>
      <c r="BY227" s="141"/>
      <c r="BZ227" s="141"/>
      <c r="CA227" s="141"/>
      <c r="CB227" s="141"/>
      <c r="CC227" s="141"/>
      <c r="CD227" s="141"/>
      <c r="CE227" s="141"/>
      <c r="CF227" s="141"/>
      <c r="CG227" s="141"/>
      <c r="CH227" s="141"/>
      <c r="CI227" s="141"/>
      <c r="CJ227" s="141"/>
      <c r="CK227" s="141"/>
    </row>
    <row r="228" spans="74:89" ht="15" customHeight="1" x14ac:dyDescent="0.35">
      <c r="BV228" s="140"/>
      <c r="BY228" s="141"/>
      <c r="BZ228" s="141"/>
      <c r="CA228" s="141"/>
      <c r="CB228" s="141"/>
      <c r="CC228" s="141"/>
      <c r="CD228" s="141"/>
      <c r="CE228" s="141"/>
      <c r="CF228" s="141"/>
      <c r="CG228" s="141"/>
      <c r="CH228" s="141"/>
      <c r="CI228" s="141"/>
      <c r="CJ228" s="141"/>
      <c r="CK228" s="141"/>
    </row>
    <row r="229" spans="74:89" ht="15" customHeight="1" x14ac:dyDescent="0.35">
      <c r="BV229" s="140"/>
      <c r="BY229" s="141"/>
      <c r="BZ229" s="141"/>
      <c r="CA229" s="141"/>
      <c r="CB229" s="141"/>
      <c r="CC229" s="141"/>
      <c r="CD229" s="141"/>
      <c r="CE229" s="141"/>
      <c r="CF229" s="141"/>
      <c r="CG229" s="141"/>
      <c r="CH229" s="141"/>
      <c r="CI229" s="141"/>
      <c r="CJ229" s="141"/>
      <c r="CK229" s="141"/>
    </row>
    <row r="230" spans="74:89" ht="15" customHeight="1" x14ac:dyDescent="0.35">
      <c r="BV230" s="140"/>
      <c r="BY230" s="141"/>
      <c r="BZ230" s="141"/>
      <c r="CA230" s="141"/>
      <c r="CB230" s="141"/>
      <c r="CC230" s="141"/>
      <c r="CD230" s="141"/>
      <c r="CE230" s="141"/>
      <c r="CF230" s="141"/>
      <c r="CG230" s="141"/>
      <c r="CH230" s="141"/>
      <c r="CI230" s="141"/>
      <c r="CJ230" s="141"/>
      <c r="CK230" s="141"/>
    </row>
    <row r="231" spans="74:89" ht="15" customHeight="1" x14ac:dyDescent="0.35">
      <c r="BV231" s="140"/>
      <c r="BY231" s="141"/>
      <c r="BZ231" s="141"/>
      <c r="CA231" s="141"/>
      <c r="CB231" s="141"/>
      <c r="CC231" s="141"/>
      <c r="CD231" s="141"/>
      <c r="CE231" s="141"/>
      <c r="CF231" s="141"/>
      <c r="CG231" s="141"/>
      <c r="CH231" s="141"/>
      <c r="CI231" s="141"/>
      <c r="CJ231" s="141"/>
      <c r="CK231" s="141"/>
    </row>
    <row r="232" spans="74:89" ht="15" customHeight="1" x14ac:dyDescent="0.35">
      <c r="BV232" s="140"/>
      <c r="BY232" s="141"/>
      <c r="BZ232" s="141"/>
      <c r="CA232" s="141"/>
      <c r="CB232" s="141"/>
      <c r="CC232" s="141"/>
      <c r="CD232" s="141"/>
      <c r="CE232" s="141"/>
      <c r="CF232" s="141"/>
      <c r="CG232" s="141"/>
      <c r="CH232" s="141"/>
      <c r="CI232" s="141"/>
      <c r="CJ232" s="141"/>
      <c r="CK232" s="141"/>
    </row>
    <row r="233" spans="74:89" ht="15" customHeight="1" x14ac:dyDescent="0.35">
      <c r="BV233" s="140"/>
      <c r="BY233" s="141"/>
      <c r="BZ233" s="141"/>
      <c r="CA233" s="141"/>
      <c r="CB233" s="141"/>
      <c r="CC233" s="141"/>
      <c r="CD233" s="141"/>
      <c r="CE233" s="141"/>
      <c r="CF233" s="141"/>
      <c r="CG233" s="141"/>
      <c r="CH233" s="141"/>
      <c r="CI233" s="141"/>
      <c r="CJ233" s="141"/>
      <c r="CK233" s="141"/>
    </row>
    <row r="234" spans="74:89" ht="15" customHeight="1" x14ac:dyDescent="0.35">
      <c r="BV234" s="140"/>
      <c r="BY234" s="141"/>
      <c r="BZ234" s="141"/>
      <c r="CA234" s="141"/>
      <c r="CB234" s="141"/>
      <c r="CC234" s="141"/>
      <c r="CD234" s="141"/>
      <c r="CE234" s="141"/>
      <c r="CF234" s="141"/>
      <c r="CG234" s="141"/>
      <c r="CH234" s="141"/>
      <c r="CI234" s="141"/>
      <c r="CJ234" s="141"/>
      <c r="CK234" s="141"/>
    </row>
    <row r="235" spans="74:89" ht="15" customHeight="1" x14ac:dyDescent="0.35">
      <c r="BV235" s="140"/>
      <c r="BY235" s="141"/>
      <c r="BZ235" s="141"/>
      <c r="CA235" s="141"/>
      <c r="CB235" s="141"/>
      <c r="CC235" s="141"/>
      <c r="CD235" s="141"/>
      <c r="CE235" s="141"/>
      <c r="CF235" s="141"/>
      <c r="CG235" s="141"/>
      <c r="CH235" s="141"/>
      <c r="CI235" s="141"/>
      <c r="CJ235" s="141"/>
      <c r="CK235" s="141"/>
    </row>
    <row r="236" spans="74:89" ht="15" customHeight="1" x14ac:dyDescent="0.35">
      <c r="BV236" s="140"/>
      <c r="BY236" s="141"/>
      <c r="BZ236" s="141"/>
      <c r="CA236" s="141"/>
      <c r="CB236" s="141"/>
      <c r="CC236" s="141"/>
      <c r="CD236" s="141"/>
      <c r="CE236" s="141"/>
      <c r="CF236" s="141"/>
      <c r="CG236" s="141"/>
      <c r="CH236" s="141"/>
      <c r="CI236" s="141"/>
      <c r="CJ236" s="141"/>
      <c r="CK236" s="141"/>
    </row>
    <row r="237" spans="74:89" ht="15" customHeight="1" x14ac:dyDescent="0.35">
      <c r="BV237" s="140"/>
      <c r="BY237" s="141"/>
      <c r="BZ237" s="141"/>
      <c r="CA237" s="141"/>
      <c r="CB237" s="141"/>
      <c r="CC237" s="141"/>
      <c r="CD237" s="141"/>
      <c r="CE237" s="141"/>
      <c r="CF237" s="141"/>
      <c r="CG237" s="141"/>
      <c r="CH237" s="141"/>
      <c r="CI237" s="141"/>
      <c r="CJ237" s="141"/>
      <c r="CK237" s="141"/>
    </row>
    <row r="238" spans="74:89" ht="15" customHeight="1" x14ac:dyDescent="0.35">
      <c r="BV238" s="140"/>
      <c r="BY238" s="141"/>
      <c r="BZ238" s="141"/>
      <c r="CA238" s="141"/>
      <c r="CB238" s="141"/>
      <c r="CC238" s="141"/>
      <c r="CD238" s="141"/>
      <c r="CE238" s="141"/>
      <c r="CF238" s="141"/>
      <c r="CG238" s="141"/>
      <c r="CH238" s="141"/>
      <c r="CI238" s="141"/>
      <c r="CJ238" s="141"/>
      <c r="CK238" s="141"/>
    </row>
    <row r="239" spans="74:89" ht="15" customHeight="1" x14ac:dyDescent="0.35">
      <c r="BV239" s="140"/>
      <c r="BY239" s="141"/>
      <c r="BZ239" s="141"/>
      <c r="CA239" s="141"/>
      <c r="CB239" s="141"/>
      <c r="CC239" s="141"/>
      <c r="CD239" s="141"/>
      <c r="CE239" s="141"/>
      <c r="CF239" s="141"/>
      <c r="CG239" s="141"/>
      <c r="CH239" s="141"/>
      <c r="CI239" s="141"/>
      <c r="CJ239" s="141"/>
      <c r="CK239" s="141"/>
    </row>
    <row r="240" spans="74:89" ht="15" customHeight="1" x14ac:dyDescent="0.35">
      <c r="BV240" s="140"/>
      <c r="BY240" s="141"/>
      <c r="BZ240" s="141"/>
      <c r="CA240" s="141"/>
      <c r="CB240" s="141"/>
      <c r="CC240" s="141"/>
      <c r="CD240" s="141"/>
      <c r="CE240" s="141"/>
      <c r="CF240" s="141"/>
      <c r="CG240" s="141"/>
      <c r="CH240" s="141"/>
      <c r="CI240" s="141"/>
      <c r="CJ240" s="141"/>
      <c r="CK240" s="141"/>
    </row>
    <row r="241" spans="74:89" ht="15" customHeight="1" x14ac:dyDescent="0.35">
      <c r="BV241" s="140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</row>
    <row r="242" spans="74:89" ht="15" customHeight="1" x14ac:dyDescent="0.35">
      <c r="BV242" s="140"/>
      <c r="BY242" s="141"/>
      <c r="BZ242" s="141"/>
      <c r="CA242" s="141"/>
      <c r="CB242" s="141"/>
      <c r="CC242" s="141"/>
      <c r="CD242" s="141"/>
      <c r="CE242" s="141"/>
      <c r="CF242" s="141"/>
      <c r="CG242" s="141"/>
      <c r="CH242" s="141"/>
      <c r="CI242" s="141"/>
      <c r="CJ242" s="141"/>
      <c r="CK242" s="141"/>
    </row>
    <row r="243" spans="74:89" ht="15" customHeight="1" x14ac:dyDescent="0.35">
      <c r="BV243" s="140"/>
      <c r="BY243" s="141"/>
      <c r="BZ243" s="141"/>
      <c r="CA243" s="141"/>
      <c r="CB243" s="141"/>
      <c r="CC243" s="141"/>
      <c r="CD243" s="141"/>
      <c r="CE243" s="141"/>
      <c r="CF243" s="141"/>
      <c r="CG243" s="141"/>
      <c r="CH243" s="141"/>
      <c r="CI243" s="141"/>
      <c r="CJ243" s="141"/>
      <c r="CK243" s="141"/>
    </row>
    <row r="244" spans="74:89" ht="15" customHeight="1" x14ac:dyDescent="0.35">
      <c r="BV244" s="140"/>
      <c r="BY244" s="141"/>
      <c r="BZ244" s="141"/>
      <c r="CA244" s="141"/>
      <c r="CB244" s="141"/>
      <c r="CC244" s="141"/>
      <c r="CD244" s="141"/>
      <c r="CE244" s="141"/>
      <c r="CF244" s="141"/>
      <c r="CG244" s="141"/>
      <c r="CH244" s="141"/>
      <c r="CI244" s="141"/>
      <c r="CJ244" s="141"/>
      <c r="CK244" s="141"/>
    </row>
    <row r="245" spans="74:89" ht="15" customHeight="1" x14ac:dyDescent="0.35">
      <c r="BV245" s="140"/>
      <c r="BY245" s="141"/>
      <c r="BZ245" s="141"/>
      <c r="CA245" s="141"/>
      <c r="CB245" s="141"/>
      <c r="CC245" s="141"/>
      <c r="CD245" s="141"/>
      <c r="CE245" s="141"/>
      <c r="CF245" s="141"/>
      <c r="CG245" s="141"/>
      <c r="CH245" s="141"/>
      <c r="CI245" s="141"/>
      <c r="CJ245" s="141"/>
      <c r="CK245" s="141"/>
    </row>
    <row r="246" spans="74:89" ht="15" customHeight="1" x14ac:dyDescent="0.35">
      <c r="BV246" s="140"/>
      <c r="BY246" s="141"/>
      <c r="BZ246" s="141"/>
      <c r="CA246" s="141"/>
      <c r="CB246" s="141"/>
      <c r="CC246" s="141"/>
      <c r="CD246" s="141"/>
      <c r="CE246" s="141"/>
      <c r="CF246" s="141"/>
      <c r="CG246" s="141"/>
      <c r="CH246" s="141"/>
      <c r="CI246" s="141"/>
      <c r="CJ246" s="141"/>
      <c r="CK246" s="141"/>
    </row>
    <row r="247" spans="74:89" ht="15" customHeight="1" x14ac:dyDescent="0.35">
      <c r="BV247" s="140"/>
      <c r="BY247" s="141"/>
      <c r="BZ247" s="141"/>
      <c r="CA247" s="141"/>
      <c r="CB247" s="141"/>
      <c r="CC247" s="141"/>
      <c r="CD247" s="141"/>
      <c r="CE247" s="141"/>
      <c r="CF247" s="141"/>
      <c r="CG247" s="141"/>
      <c r="CH247" s="141"/>
      <c r="CI247" s="141"/>
      <c r="CJ247" s="141"/>
      <c r="CK247" s="141"/>
    </row>
    <row r="248" spans="74:89" ht="15" customHeight="1" x14ac:dyDescent="0.35">
      <c r="BV248" s="140"/>
      <c r="BY248" s="141"/>
      <c r="BZ248" s="141"/>
      <c r="CA248" s="141"/>
      <c r="CB248" s="141"/>
      <c r="CC248" s="141"/>
      <c r="CD248" s="141"/>
      <c r="CE248" s="141"/>
      <c r="CF248" s="141"/>
      <c r="CG248" s="141"/>
      <c r="CH248" s="141"/>
      <c r="CI248" s="141"/>
      <c r="CJ248" s="141"/>
      <c r="CK248" s="141"/>
    </row>
    <row r="249" spans="74:89" ht="15" customHeight="1" x14ac:dyDescent="0.35">
      <c r="BV249" s="140"/>
      <c r="BY249" s="141"/>
      <c r="BZ249" s="141"/>
      <c r="CA249" s="141"/>
      <c r="CB249" s="141"/>
      <c r="CC249" s="141"/>
      <c r="CD249" s="141"/>
      <c r="CE249" s="141"/>
      <c r="CF249" s="141"/>
      <c r="CG249" s="141"/>
      <c r="CH249" s="141"/>
      <c r="CI249" s="141"/>
      <c r="CJ249" s="141"/>
      <c r="CK249" s="141"/>
    </row>
    <row r="250" spans="74:89" ht="15" customHeight="1" x14ac:dyDescent="0.35">
      <c r="BV250" s="140"/>
      <c r="BY250" s="141"/>
      <c r="BZ250" s="141"/>
      <c r="CA250" s="141"/>
      <c r="CB250" s="141"/>
      <c r="CC250" s="141"/>
      <c r="CD250" s="141"/>
      <c r="CE250" s="141"/>
      <c r="CF250" s="141"/>
      <c r="CG250" s="141"/>
      <c r="CH250" s="141"/>
      <c r="CI250" s="141"/>
      <c r="CJ250" s="141"/>
      <c r="CK250" s="141"/>
    </row>
    <row r="251" spans="74:89" ht="15" customHeight="1" x14ac:dyDescent="0.35">
      <c r="BV251" s="140"/>
      <c r="BY251" s="141"/>
      <c r="BZ251" s="141"/>
      <c r="CA251" s="141"/>
      <c r="CB251" s="141"/>
      <c r="CC251" s="141"/>
      <c r="CD251" s="141"/>
      <c r="CE251" s="141"/>
      <c r="CF251" s="141"/>
      <c r="CG251" s="141"/>
      <c r="CH251" s="141"/>
      <c r="CI251" s="141"/>
      <c r="CJ251" s="141"/>
      <c r="CK251" s="141"/>
    </row>
    <row r="252" spans="74:89" ht="15" customHeight="1" x14ac:dyDescent="0.35">
      <c r="BV252" s="140"/>
      <c r="BY252" s="141"/>
      <c r="BZ252" s="141"/>
      <c r="CA252" s="141"/>
      <c r="CB252" s="141"/>
      <c r="CC252" s="141"/>
      <c r="CD252" s="141"/>
      <c r="CE252" s="141"/>
      <c r="CF252" s="141"/>
      <c r="CG252" s="141"/>
      <c r="CH252" s="141"/>
      <c r="CI252" s="141"/>
      <c r="CJ252" s="141"/>
      <c r="CK252" s="141"/>
    </row>
    <row r="253" spans="74:89" ht="15" customHeight="1" x14ac:dyDescent="0.35">
      <c r="BV253" s="140"/>
      <c r="BY253" s="141"/>
      <c r="BZ253" s="141"/>
      <c r="CA253" s="141"/>
      <c r="CB253" s="141"/>
      <c r="CC253" s="141"/>
      <c r="CD253" s="141"/>
      <c r="CE253" s="141"/>
      <c r="CF253" s="141"/>
      <c r="CG253" s="141"/>
      <c r="CH253" s="141"/>
      <c r="CI253" s="141"/>
      <c r="CJ253" s="141"/>
      <c r="CK253" s="141"/>
    </row>
    <row r="254" spans="74:89" ht="15" customHeight="1" x14ac:dyDescent="0.35">
      <c r="BV254" s="140"/>
      <c r="BY254" s="141"/>
      <c r="BZ254" s="141"/>
      <c r="CA254" s="141"/>
      <c r="CB254" s="141"/>
      <c r="CC254" s="141"/>
      <c r="CD254" s="141"/>
      <c r="CE254" s="141"/>
      <c r="CF254" s="141"/>
      <c r="CG254" s="141"/>
      <c r="CH254" s="141"/>
      <c r="CI254" s="141"/>
      <c r="CJ254" s="141"/>
      <c r="CK254" s="141"/>
    </row>
    <row r="255" spans="74:89" ht="15" customHeight="1" x14ac:dyDescent="0.35">
      <c r="BV255" s="140"/>
      <c r="BY255" s="141"/>
      <c r="BZ255" s="141"/>
      <c r="CA255" s="141"/>
      <c r="CB255" s="141"/>
      <c r="CC255" s="141"/>
      <c r="CD255" s="141"/>
      <c r="CE255" s="141"/>
      <c r="CF255" s="141"/>
      <c r="CG255" s="141"/>
      <c r="CH255" s="141"/>
      <c r="CI255" s="141"/>
      <c r="CJ255" s="141"/>
      <c r="CK255" s="141"/>
    </row>
    <row r="256" spans="74:89" ht="15" customHeight="1" x14ac:dyDescent="0.35">
      <c r="BV256" s="140"/>
      <c r="BY256" s="141"/>
      <c r="BZ256" s="141"/>
      <c r="CA256" s="141"/>
      <c r="CB256" s="141"/>
      <c r="CC256" s="141"/>
      <c r="CD256" s="141"/>
      <c r="CE256" s="141"/>
      <c r="CF256" s="141"/>
      <c r="CG256" s="141"/>
      <c r="CH256" s="141"/>
      <c r="CI256" s="141"/>
      <c r="CJ256" s="141"/>
      <c r="CK256" s="141"/>
    </row>
    <row r="257" spans="74:89" ht="15" customHeight="1" x14ac:dyDescent="0.35">
      <c r="BV257" s="140"/>
      <c r="BY257" s="141"/>
      <c r="BZ257" s="141"/>
      <c r="CA257" s="141"/>
      <c r="CB257" s="141"/>
      <c r="CC257" s="141"/>
      <c r="CD257" s="141"/>
      <c r="CE257" s="141"/>
      <c r="CF257" s="141"/>
      <c r="CG257" s="141"/>
      <c r="CH257" s="141"/>
      <c r="CI257" s="141"/>
      <c r="CJ257" s="141"/>
      <c r="CK257" s="141"/>
    </row>
    <row r="258" spans="74:89" ht="15" customHeight="1" x14ac:dyDescent="0.35">
      <c r="BV258" s="140"/>
      <c r="BY258" s="141"/>
      <c r="BZ258" s="141"/>
      <c r="CA258" s="141"/>
      <c r="CB258" s="141"/>
      <c r="CC258" s="141"/>
      <c r="CD258" s="141"/>
      <c r="CE258" s="141"/>
      <c r="CF258" s="141"/>
      <c r="CG258" s="141"/>
      <c r="CH258" s="141"/>
      <c r="CI258" s="141"/>
      <c r="CJ258" s="141"/>
      <c r="CK258" s="141"/>
    </row>
    <row r="259" spans="74:89" ht="15" customHeight="1" x14ac:dyDescent="0.35">
      <c r="BV259" s="140"/>
      <c r="BY259" s="141"/>
      <c r="BZ259" s="141"/>
      <c r="CA259" s="141"/>
      <c r="CB259" s="141"/>
      <c r="CC259" s="141"/>
      <c r="CD259" s="141"/>
      <c r="CE259" s="141"/>
      <c r="CF259" s="141"/>
      <c r="CG259" s="141"/>
      <c r="CH259" s="141"/>
      <c r="CI259" s="141"/>
      <c r="CJ259" s="141"/>
      <c r="CK259" s="141"/>
    </row>
    <row r="260" spans="74:89" ht="15" customHeight="1" x14ac:dyDescent="0.35">
      <c r="BV260" s="140"/>
      <c r="BY260" s="141"/>
      <c r="BZ260" s="141"/>
      <c r="CA260" s="141"/>
      <c r="CB260" s="141"/>
      <c r="CC260" s="141"/>
      <c r="CD260" s="141"/>
      <c r="CE260" s="141"/>
      <c r="CF260" s="141"/>
      <c r="CG260" s="141"/>
      <c r="CH260" s="141"/>
      <c r="CI260" s="141"/>
      <c r="CJ260" s="141"/>
      <c r="CK260" s="141"/>
    </row>
    <row r="261" spans="74:89" ht="15" customHeight="1" x14ac:dyDescent="0.35">
      <c r="BV261" s="140"/>
      <c r="BY261" s="141"/>
      <c r="BZ261" s="141"/>
      <c r="CA261" s="141"/>
      <c r="CB261" s="141"/>
      <c r="CC261" s="141"/>
      <c r="CD261" s="141"/>
      <c r="CE261" s="141"/>
      <c r="CF261" s="141"/>
      <c r="CG261" s="141"/>
      <c r="CH261" s="141"/>
      <c r="CI261" s="141"/>
      <c r="CJ261" s="141"/>
      <c r="CK261" s="141"/>
    </row>
    <row r="262" spans="74:89" ht="15" customHeight="1" x14ac:dyDescent="0.35">
      <c r="BV262" s="140"/>
      <c r="BY262" s="141"/>
      <c r="BZ262" s="141"/>
      <c r="CA262" s="141"/>
      <c r="CB262" s="141"/>
      <c r="CC262" s="141"/>
      <c r="CD262" s="141"/>
      <c r="CE262" s="141"/>
      <c r="CF262" s="141"/>
      <c r="CG262" s="141"/>
      <c r="CH262" s="141"/>
      <c r="CI262" s="141"/>
      <c r="CJ262" s="141"/>
      <c r="CK262" s="141"/>
    </row>
    <row r="263" spans="74:89" ht="15" customHeight="1" x14ac:dyDescent="0.35">
      <c r="BV263" s="140"/>
      <c r="BY263" s="141"/>
      <c r="BZ263" s="141"/>
      <c r="CA263" s="141"/>
      <c r="CB263" s="141"/>
      <c r="CC263" s="141"/>
      <c r="CD263" s="141"/>
      <c r="CE263" s="141"/>
      <c r="CF263" s="141"/>
      <c r="CG263" s="141"/>
      <c r="CH263" s="141"/>
      <c r="CI263" s="141"/>
      <c r="CJ263" s="141"/>
      <c r="CK263" s="141"/>
    </row>
    <row r="264" spans="74:89" ht="15" customHeight="1" x14ac:dyDescent="0.35">
      <c r="BV264" s="140"/>
      <c r="BY264" s="141"/>
      <c r="BZ264" s="141"/>
      <c r="CA264" s="141"/>
      <c r="CB264" s="141"/>
      <c r="CC264" s="141"/>
      <c r="CD264" s="141"/>
      <c r="CE264" s="141"/>
      <c r="CF264" s="141"/>
      <c r="CG264" s="141"/>
      <c r="CH264" s="141"/>
      <c r="CI264" s="141"/>
      <c r="CJ264" s="141"/>
      <c r="CK264" s="141"/>
    </row>
    <row r="265" spans="74:89" ht="15" customHeight="1" x14ac:dyDescent="0.35">
      <c r="BV265" s="140"/>
      <c r="BY265" s="141"/>
      <c r="BZ265" s="141"/>
      <c r="CA265" s="141"/>
      <c r="CB265" s="141"/>
      <c r="CC265" s="141"/>
      <c r="CD265" s="141"/>
      <c r="CE265" s="141"/>
      <c r="CF265" s="141"/>
      <c r="CG265" s="141"/>
      <c r="CH265" s="141"/>
      <c r="CI265" s="141"/>
      <c r="CJ265" s="141"/>
      <c r="CK265" s="141"/>
    </row>
    <row r="266" spans="74:89" ht="15" customHeight="1" x14ac:dyDescent="0.35">
      <c r="BV266" s="140"/>
      <c r="BY266" s="141"/>
      <c r="BZ266" s="141"/>
      <c r="CA266" s="141"/>
      <c r="CB266" s="141"/>
      <c r="CC266" s="141"/>
      <c r="CD266" s="141"/>
      <c r="CE266" s="141"/>
      <c r="CF266" s="141"/>
      <c r="CG266" s="141"/>
      <c r="CH266" s="141"/>
      <c r="CI266" s="141"/>
      <c r="CJ266" s="141"/>
      <c r="CK266" s="141"/>
    </row>
    <row r="267" spans="74:89" ht="15" customHeight="1" x14ac:dyDescent="0.35">
      <c r="BV267" s="140"/>
      <c r="BY267" s="141"/>
      <c r="BZ267" s="141"/>
      <c r="CA267" s="141"/>
      <c r="CB267" s="141"/>
      <c r="CC267" s="141"/>
      <c r="CD267" s="141"/>
      <c r="CE267" s="141"/>
      <c r="CF267" s="141"/>
      <c r="CG267" s="141"/>
      <c r="CH267" s="141"/>
      <c r="CI267" s="141"/>
      <c r="CJ267" s="141"/>
      <c r="CK267" s="141"/>
    </row>
    <row r="268" spans="74:89" ht="15" customHeight="1" x14ac:dyDescent="0.35">
      <c r="BV268" s="140"/>
      <c r="BY268" s="141"/>
      <c r="BZ268" s="141"/>
      <c r="CA268" s="141"/>
      <c r="CB268" s="141"/>
      <c r="CC268" s="141"/>
      <c r="CD268" s="141"/>
      <c r="CE268" s="141"/>
      <c r="CF268" s="141"/>
      <c r="CG268" s="141"/>
      <c r="CH268" s="141"/>
      <c r="CI268" s="141"/>
      <c r="CJ268" s="141"/>
      <c r="CK268" s="141"/>
    </row>
    <row r="269" spans="74:89" ht="15" customHeight="1" x14ac:dyDescent="0.35">
      <c r="BV269" s="140"/>
      <c r="BY269" s="141"/>
      <c r="BZ269" s="141"/>
      <c r="CA269" s="141"/>
      <c r="CB269" s="141"/>
      <c r="CC269" s="141"/>
      <c r="CD269" s="141"/>
      <c r="CE269" s="141"/>
      <c r="CF269" s="141"/>
      <c r="CG269" s="141"/>
      <c r="CH269" s="141"/>
      <c r="CI269" s="141"/>
      <c r="CJ269" s="141"/>
      <c r="CK269" s="141"/>
    </row>
    <row r="270" spans="74:89" ht="15" customHeight="1" x14ac:dyDescent="0.35">
      <c r="BV270" s="140"/>
      <c r="BY270" s="141"/>
      <c r="BZ270" s="141"/>
      <c r="CA270" s="141"/>
      <c r="CB270" s="141"/>
      <c r="CC270" s="141"/>
      <c r="CD270" s="141"/>
      <c r="CE270" s="141"/>
      <c r="CF270" s="141"/>
      <c r="CG270" s="141"/>
      <c r="CH270" s="141"/>
      <c r="CI270" s="141"/>
      <c r="CJ270" s="141"/>
      <c r="CK270" s="141"/>
    </row>
    <row r="271" spans="74:89" ht="15" customHeight="1" x14ac:dyDescent="0.35">
      <c r="BV271" s="140"/>
      <c r="BY271" s="141"/>
      <c r="BZ271" s="141"/>
      <c r="CA271" s="141"/>
      <c r="CB271" s="141"/>
      <c r="CC271" s="141"/>
      <c r="CD271" s="141"/>
      <c r="CE271" s="141"/>
      <c r="CF271" s="141"/>
      <c r="CG271" s="141"/>
      <c r="CH271" s="141"/>
      <c r="CI271" s="141"/>
      <c r="CJ271" s="141"/>
      <c r="CK271" s="141"/>
    </row>
    <row r="272" spans="74:89" ht="15" customHeight="1" x14ac:dyDescent="0.35">
      <c r="BV272" s="140"/>
      <c r="BY272" s="141"/>
      <c r="BZ272" s="141"/>
      <c r="CA272" s="141"/>
      <c r="CB272" s="141"/>
      <c r="CC272" s="141"/>
      <c r="CD272" s="141"/>
      <c r="CE272" s="141"/>
      <c r="CF272" s="141"/>
      <c r="CG272" s="141"/>
      <c r="CH272" s="141"/>
      <c r="CI272" s="141"/>
      <c r="CJ272" s="141"/>
      <c r="CK272" s="141"/>
    </row>
    <row r="273" spans="74:89" ht="15" customHeight="1" x14ac:dyDescent="0.35">
      <c r="BV273" s="140"/>
      <c r="BY273" s="141"/>
      <c r="BZ273" s="141"/>
      <c r="CA273" s="141"/>
      <c r="CB273" s="141"/>
      <c r="CC273" s="141"/>
      <c r="CD273" s="141"/>
      <c r="CE273" s="141"/>
      <c r="CF273" s="141"/>
      <c r="CG273" s="141"/>
      <c r="CH273" s="141"/>
      <c r="CI273" s="141"/>
      <c r="CJ273" s="141"/>
      <c r="CK273" s="141"/>
    </row>
    <row r="274" spans="74:89" ht="15" customHeight="1" x14ac:dyDescent="0.35">
      <c r="BV274" s="140"/>
      <c r="BY274" s="141"/>
      <c r="BZ274" s="141"/>
      <c r="CA274" s="141"/>
      <c r="CB274" s="141"/>
      <c r="CC274" s="141"/>
      <c r="CD274" s="141"/>
      <c r="CE274" s="141"/>
      <c r="CF274" s="141"/>
      <c r="CG274" s="141"/>
      <c r="CH274" s="141"/>
      <c r="CI274" s="141"/>
      <c r="CJ274" s="141"/>
      <c r="CK274" s="141"/>
    </row>
    <row r="275" spans="74:89" ht="15" customHeight="1" x14ac:dyDescent="0.35">
      <c r="BV275" s="140"/>
      <c r="BY275" s="141"/>
      <c r="BZ275" s="141"/>
      <c r="CA275" s="141"/>
      <c r="CB275" s="141"/>
      <c r="CC275" s="141"/>
      <c r="CD275" s="141"/>
      <c r="CE275" s="141"/>
      <c r="CF275" s="141"/>
      <c r="CG275" s="141"/>
      <c r="CH275" s="141"/>
      <c r="CI275" s="141"/>
      <c r="CJ275" s="141"/>
      <c r="CK275" s="141"/>
    </row>
    <row r="276" spans="74:89" ht="15" customHeight="1" x14ac:dyDescent="0.35">
      <c r="BV276" s="140"/>
      <c r="BY276" s="141"/>
      <c r="BZ276" s="141"/>
      <c r="CA276" s="141"/>
      <c r="CB276" s="141"/>
      <c r="CC276" s="141"/>
      <c r="CD276" s="141"/>
      <c r="CE276" s="141"/>
      <c r="CF276" s="141"/>
      <c r="CG276" s="141"/>
      <c r="CH276" s="141"/>
      <c r="CI276" s="141"/>
      <c r="CJ276" s="141"/>
      <c r="CK276" s="141"/>
    </row>
    <row r="277" spans="74:89" ht="15" customHeight="1" x14ac:dyDescent="0.35">
      <c r="BV277" s="140"/>
      <c r="BY277" s="141"/>
      <c r="BZ277" s="141"/>
      <c r="CA277" s="141"/>
      <c r="CB277" s="141"/>
      <c r="CC277" s="141"/>
      <c r="CD277" s="141"/>
      <c r="CE277" s="141"/>
      <c r="CF277" s="141"/>
      <c r="CG277" s="141"/>
      <c r="CH277" s="141"/>
      <c r="CI277" s="141"/>
      <c r="CJ277" s="141"/>
      <c r="CK277" s="141"/>
    </row>
    <row r="278" spans="74:89" ht="15" customHeight="1" x14ac:dyDescent="0.35">
      <c r="BV278" s="140"/>
      <c r="BY278" s="141"/>
      <c r="BZ278" s="141"/>
      <c r="CA278" s="141"/>
      <c r="CB278" s="141"/>
      <c r="CC278" s="141"/>
      <c r="CD278" s="141"/>
      <c r="CE278" s="141"/>
      <c r="CF278" s="141"/>
      <c r="CG278" s="141"/>
      <c r="CH278" s="141"/>
      <c r="CI278" s="141"/>
      <c r="CJ278" s="141"/>
      <c r="CK278" s="141"/>
    </row>
    <row r="279" spans="74:89" ht="15" customHeight="1" x14ac:dyDescent="0.35">
      <c r="BV279" s="140"/>
      <c r="BY279" s="141"/>
      <c r="BZ279" s="141"/>
      <c r="CA279" s="141"/>
      <c r="CB279" s="141"/>
      <c r="CC279" s="141"/>
      <c r="CD279" s="141"/>
      <c r="CE279" s="141"/>
      <c r="CF279" s="141"/>
      <c r="CG279" s="141"/>
      <c r="CH279" s="141"/>
      <c r="CI279" s="141"/>
      <c r="CJ279" s="141"/>
      <c r="CK279" s="141"/>
    </row>
    <row r="280" spans="74:89" ht="15" customHeight="1" x14ac:dyDescent="0.35">
      <c r="BV280" s="140"/>
      <c r="BY280" s="141"/>
      <c r="BZ280" s="141"/>
      <c r="CA280" s="141"/>
      <c r="CB280" s="141"/>
      <c r="CC280" s="141"/>
      <c r="CD280" s="141"/>
      <c r="CE280" s="141"/>
      <c r="CF280" s="141"/>
      <c r="CG280" s="141"/>
      <c r="CH280" s="141"/>
      <c r="CI280" s="141"/>
      <c r="CJ280" s="141"/>
      <c r="CK280" s="141"/>
    </row>
    <row r="281" spans="74:89" ht="15" customHeight="1" x14ac:dyDescent="0.35">
      <c r="BV281" s="140"/>
      <c r="BY281" s="141"/>
      <c r="BZ281" s="141"/>
      <c r="CA281" s="141"/>
      <c r="CB281" s="141"/>
      <c r="CC281" s="141"/>
      <c r="CD281" s="141"/>
      <c r="CE281" s="141"/>
      <c r="CF281" s="141"/>
      <c r="CG281" s="141"/>
      <c r="CH281" s="141"/>
      <c r="CI281" s="141"/>
      <c r="CJ281" s="141"/>
      <c r="CK281" s="141"/>
    </row>
    <row r="282" spans="74:89" ht="15" customHeight="1" x14ac:dyDescent="0.35">
      <c r="BV282" s="140"/>
      <c r="BY282" s="141"/>
      <c r="BZ282" s="141"/>
      <c r="CA282" s="141"/>
      <c r="CB282" s="141"/>
      <c r="CC282" s="141"/>
      <c r="CD282" s="141"/>
      <c r="CE282" s="141"/>
      <c r="CF282" s="141"/>
      <c r="CG282" s="141"/>
      <c r="CH282" s="141"/>
      <c r="CI282" s="141"/>
      <c r="CJ282" s="141"/>
      <c r="CK282" s="141"/>
    </row>
    <row r="283" spans="74:89" ht="15" customHeight="1" x14ac:dyDescent="0.35">
      <c r="BV283" s="140"/>
      <c r="BY283" s="141"/>
      <c r="BZ283" s="141"/>
      <c r="CA283" s="141"/>
      <c r="CB283" s="141"/>
      <c r="CC283" s="141"/>
      <c r="CD283" s="141"/>
      <c r="CE283" s="141"/>
      <c r="CF283" s="141"/>
      <c r="CG283" s="141"/>
      <c r="CH283" s="141"/>
      <c r="CI283" s="141"/>
      <c r="CJ283" s="141"/>
      <c r="CK283" s="141"/>
    </row>
    <row r="284" spans="74:89" ht="15" customHeight="1" x14ac:dyDescent="0.35">
      <c r="BV284" s="140"/>
      <c r="BY284" s="141"/>
      <c r="BZ284" s="141"/>
      <c r="CA284" s="141"/>
      <c r="CB284" s="141"/>
      <c r="CC284" s="141"/>
      <c r="CD284" s="141"/>
      <c r="CE284" s="141"/>
      <c r="CF284" s="141"/>
      <c r="CG284" s="141"/>
      <c r="CH284" s="141"/>
      <c r="CI284" s="141"/>
      <c r="CJ284" s="141"/>
      <c r="CK284" s="141"/>
    </row>
    <row r="285" spans="74:89" ht="15" customHeight="1" x14ac:dyDescent="0.35">
      <c r="BV285" s="140"/>
      <c r="BY285" s="141"/>
      <c r="BZ285" s="141"/>
      <c r="CA285" s="141"/>
      <c r="CB285" s="141"/>
      <c r="CC285" s="141"/>
      <c r="CD285" s="141"/>
      <c r="CE285" s="141"/>
      <c r="CF285" s="141"/>
      <c r="CG285" s="141"/>
      <c r="CH285" s="141"/>
      <c r="CI285" s="141"/>
      <c r="CJ285" s="141"/>
      <c r="CK285" s="141"/>
    </row>
    <row r="286" spans="74:89" ht="15" customHeight="1" x14ac:dyDescent="0.35">
      <c r="BV286" s="140"/>
      <c r="BY286" s="141"/>
      <c r="BZ286" s="141"/>
      <c r="CA286" s="141"/>
      <c r="CB286" s="141"/>
      <c r="CC286" s="141"/>
      <c r="CD286" s="141"/>
      <c r="CE286" s="141"/>
      <c r="CF286" s="141"/>
      <c r="CG286" s="141"/>
      <c r="CH286" s="141"/>
      <c r="CI286" s="141"/>
      <c r="CJ286" s="141"/>
      <c r="CK286" s="141"/>
    </row>
    <row r="287" spans="74:89" ht="15" customHeight="1" x14ac:dyDescent="0.35">
      <c r="BV287" s="140"/>
      <c r="BY287" s="141"/>
      <c r="BZ287" s="141"/>
      <c r="CA287" s="141"/>
      <c r="CB287" s="141"/>
      <c r="CC287" s="141"/>
      <c r="CD287" s="141"/>
      <c r="CE287" s="141"/>
      <c r="CF287" s="141"/>
      <c r="CG287" s="141"/>
      <c r="CH287" s="141"/>
      <c r="CI287" s="141"/>
      <c r="CJ287" s="141"/>
      <c r="CK287" s="141"/>
    </row>
    <row r="288" spans="74:89" ht="15" customHeight="1" x14ac:dyDescent="0.35">
      <c r="BV288" s="140"/>
      <c r="BY288" s="141"/>
      <c r="BZ288" s="141"/>
      <c r="CA288" s="141"/>
      <c r="CB288" s="141"/>
      <c r="CC288" s="141"/>
      <c r="CD288" s="141"/>
      <c r="CE288" s="141"/>
      <c r="CF288" s="141"/>
      <c r="CG288" s="141"/>
      <c r="CH288" s="141"/>
      <c r="CI288" s="141"/>
      <c r="CJ288" s="141"/>
      <c r="CK288" s="141"/>
    </row>
    <row r="289" spans="74:89" ht="15" customHeight="1" x14ac:dyDescent="0.35">
      <c r="BV289" s="140"/>
      <c r="BY289" s="141"/>
      <c r="BZ289" s="141"/>
      <c r="CA289" s="141"/>
      <c r="CB289" s="141"/>
      <c r="CC289" s="141"/>
      <c r="CD289" s="141"/>
      <c r="CE289" s="141"/>
      <c r="CF289" s="141"/>
      <c r="CG289" s="141"/>
      <c r="CH289" s="141"/>
      <c r="CI289" s="141"/>
      <c r="CJ289" s="141"/>
      <c r="CK289" s="141"/>
    </row>
    <row r="290" spans="74:89" ht="15" customHeight="1" x14ac:dyDescent="0.35">
      <c r="BV290" s="140"/>
      <c r="BY290" s="141"/>
      <c r="BZ290" s="141"/>
      <c r="CA290" s="141"/>
      <c r="CB290" s="141"/>
      <c r="CC290" s="141"/>
      <c r="CD290" s="141"/>
      <c r="CE290" s="141"/>
      <c r="CF290" s="141"/>
      <c r="CG290" s="141"/>
      <c r="CH290" s="141"/>
      <c r="CI290" s="141"/>
      <c r="CJ290" s="141"/>
      <c r="CK290" s="141"/>
    </row>
    <row r="291" spans="74:89" ht="15" customHeight="1" x14ac:dyDescent="0.35">
      <c r="BV291" s="140"/>
      <c r="BY291" s="141"/>
      <c r="BZ291" s="141"/>
      <c r="CA291" s="141"/>
      <c r="CB291" s="141"/>
      <c r="CC291" s="141"/>
      <c r="CD291" s="141"/>
      <c r="CE291" s="141"/>
      <c r="CF291" s="141"/>
      <c r="CG291" s="141"/>
      <c r="CH291" s="141"/>
      <c r="CI291" s="141"/>
      <c r="CJ291" s="141"/>
      <c r="CK291" s="141"/>
    </row>
    <row r="292" spans="74:89" ht="15" customHeight="1" x14ac:dyDescent="0.35">
      <c r="BV292" s="140"/>
      <c r="BY292" s="141"/>
      <c r="BZ292" s="141"/>
      <c r="CA292" s="141"/>
      <c r="CB292" s="141"/>
      <c r="CC292" s="141"/>
      <c r="CD292" s="141"/>
      <c r="CE292" s="141"/>
      <c r="CF292" s="141"/>
      <c r="CG292" s="141"/>
      <c r="CH292" s="141"/>
      <c r="CI292" s="141"/>
      <c r="CJ292" s="141"/>
      <c r="CK292" s="141"/>
    </row>
    <row r="293" spans="74:89" ht="15" customHeight="1" x14ac:dyDescent="0.35">
      <c r="BV293" s="140"/>
      <c r="BY293" s="141"/>
      <c r="BZ293" s="141"/>
      <c r="CA293" s="141"/>
      <c r="CB293" s="141"/>
      <c r="CC293" s="141"/>
      <c r="CD293" s="141"/>
      <c r="CE293" s="141"/>
      <c r="CF293" s="141"/>
      <c r="CG293" s="141"/>
      <c r="CH293" s="141"/>
      <c r="CI293" s="141"/>
      <c r="CJ293" s="141"/>
      <c r="CK293" s="141"/>
    </row>
    <row r="294" spans="74:89" ht="15" customHeight="1" x14ac:dyDescent="0.35">
      <c r="BV294" s="140"/>
      <c r="BY294" s="141"/>
      <c r="BZ294" s="141"/>
      <c r="CA294" s="141"/>
      <c r="CB294" s="141"/>
      <c r="CC294" s="141"/>
      <c r="CD294" s="141"/>
      <c r="CE294" s="141"/>
      <c r="CF294" s="141"/>
      <c r="CG294" s="141"/>
      <c r="CH294" s="141"/>
      <c r="CI294" s="141"/>
      <c r="CJ294" s="141"/>
      <c r="CK294" s="141"/>
    </row>
    <row r="295" spans="74:89" ht="15" customHeight="1" x14ac:dyDescent="0.35">
      <c r="BV295" s="140"/>
      <c r="BY295" s="141"/>
      <c r="BZ295" s="141"/>
      <c r="CA295" s="141"/>
      <c r="CB295" s="141"/>
      <c r="CC295" s="141"/>
      <c r="CD295" s="141"/>
      <c r="CE295" s="141"/>
      <c r="CF295" s="141"/>
      <c r="CG295" s="141"/>
      <c r="CH295" s="141"/>
      <c r="CI295" s="141"/>
      <c r="CJ295" s="141"/>
      <c r="CK295" s="141"/>
    </row>
    <row r="296" spans="74:89" ht="15" customHeight="1" x14ac:dyDescent="0.35">
      <c r="BV296" s="140"/>
      <c r="BY296" s="141"/>
      <c r="BZ296" s="141"/>
      <c r="CA296" s="141"/>
      <c r="CB296" s="141"/>
      <c r="CC296" s="141"/>
      <c r="CD296" s="141"/>
      <c r="CE296" s="141"/>
      <c r="CF296" s="141"/>
      <c r="CG296" s="141"/>
      <c r="CH296" s="141"/>
      <c r="CI296" s="141"/>
      <c r="CJ296" s="141"/>
      <c r="CK296" s="141"/>
    </row>
    <row r="297" spans="74:89" ht="15" customHeight="1" x14ac:dyDescent="0.35">
      <c r="BV297" s="140"/>
      <c r="BY297" s="141"/>
      <c r="BZ297" s="141"/>
      <c r="CA297" s="141"/>
      <c r="CB297" s="141"/>
      <c r="CC297" s="141"/>
      <c r="CD297" s="141"/>
      <c r="CE297" s="141"/>
      <c r="CF297" s="141"/>
      <c r="CG297" s="141"/>
      <c r="CH297" s="141"/>
      <c r="CI297" s="141"/>
      <c r="CJ297" s="141"/>
      <c r="CK297" s="141"/>
    </row>
    <row r="298" spans="74:89" ht="15" customHeight="1" x14ac:dyDescent="0.35">
      <c r="BV298" s="140"/>
      <c r="BY298" s="141"/>
      <c r="BZ298" s="141"/>
      <c r="CA298" s="141"/>
      <c r="CB298" s="141"/>
      <c r="CC298" s="141"/>
      <c r="CD298" s="141"/>
      <c r="CE298" s="141"/>
      <c r="CF298" s="141"/>
      <c r="CG298" s="141"/>
      <c r="CH298" s="141"/>
      <c r="CI298" s="141"/>
      <c r="CJ298" s="141"/>
      <c r="CK298" s="141"/>
    </row>
    <row r="299" spans="74:89" ht="15" customHeight="1" x14ac:dyDescent="0.35">
      <c r="BV299" s="140"/>
      <c r="BY299" s="141"/>
      <c r="BZ299" s="141"/>
      <c r="CA299" s="141"/>
      <c r="CB299" s="141"/>
      <c r="CC299" s="141"/>
      <c r="CD299" s="141"/>
      <c r="CE299" s="141"/>
      <c r="CF299" s="141"/>
      <c r="CG299" s="141"/>
      <c r="CH299" s="141"/>
      <c r="CI299" s="141"/>
      <c r="CJ299" s="141"/>
      <c r="CK299" s="141"/>
    </row>
    <row r="300" spans="74:89" ht="15" customHeight="1" x14ac:dyDescent="0.35">
      <c r="BV300" s="140"/>
      <c r="BY300" s="141"/>
      <c r="BZ300" s="141"/>
      <c r="CA300" s="141"/>
      <c r="CB300" s="141"/>
      <c r="CC300" s="141"/>
      <c r="CD300" s="141"/>
      <c r="CE300" s="141"/>
      <c r="CF300" s="141"/>
      <c r="CG300" s="141"/>
      <c r="CH300" s="141"/>
      <c r="CI300" s="141"/>
      <c r="CJ300" s="141"/>
      <c r="CK300" s="141"/>
    </row>
    <row r="301" spans="74:89" ht="15" customHeight="1" x14ac:dyDescent="0.35">
      <c r="BV301" s="140"/>
      <c r="BY301" s="141"/>
      <c r="BZ301" s="141"/>
      <c r="CA301" s="141"/>
      <c r="CB301" s="141"/>
      <c r="CC301" s="141"/>
      <c r="CD301" s="141"/>
      <c r="CE301" s="141"/>
      <c r="CF301" s="141"/>
      <c r="CG301" s="141"/>
      <c r="CH301" s="141"/>
      <c r="CI301" s="141"/>
      <c r="CJ301" s="141"/>
      <c r="CK301" s="141"/>
    </row>
    <row r="302" spans="74:89" ht="15" customHeight="1" x14ac:dyDescent="0.35">
      <c r="BV302" s="140"/>
      <c r="BY302" s="141"/>
      <c r="BZ302" s="141"/>
      <c r="CA302" s="141"/>
      <c r="CB302" s="141"/>
      <c r="CC302" s="141"/>
      <c r="CD302" s="141"/>
      <c r="CE302" s="141"/>
      <c r="CF302" s="141"/>
      <c r="CG302" s="141"/>
      <c r="CH302" s="141"/>
      <c r="CI302" s="141"/>
      <c r="CJ302" s="141"/>
      <c r="CK302" s="141"/>
    </row>
    <row r="303" spans="74:89" ht="15" customHeight="1" x14ac:dyDescent="0.35">
      <c r="BV303" s="140"/>
      <c r="BY303" s="141"/>
      <c r="BZ303" s="141"/>
      <c r="CA303" s="141"/>
      <c r="CB303" s="141"/>
      <c r="CC303" s="141"/>
      <c r="CD303" s="141"/>
      <c r="CE303" s="141"/>
      <c r="CF303" s="141"/>
      <c r="CG303" s="141"/>
      <c r="CH303" s="141"/>
      <c r="CI303" s="141"/>
      <c r="CJ303" s="141"/>
      <c r="CK303" s="141"/>
    </row>
    <row r="304" spans="74:89" ht="15" customHeight="1" x14ac:dyDescent="0.35">
      <c r="BV304" s="140"/>
      <c r="BY304" s="141"/>
      <c r="BZ304" s="141"/>
      <c r="CA304" s="141"/>
      <c r="CB304" s="141"/>
      <c r="CC304" s="141"/>
      <c r="CD304" s="141"/>
      <c r="CE304" s="141"/>
      <c r="CF304" s="141"/>
      <c r="CG304" s="141"/>
      <c r="CH304" s="141"/>
      <c r="CI304" s="141"/>
      <c r="CJ304" s="141"/>
      <c r="CK304" s="141"/>
    </row>
    <row r="305" spans="74:89" ht="15" customHeight="1" x14ac:dyDescent="0.35">
      <c r="BV305" s="140"/>
      <c r="BY305" s="141"/>
      <c r="BZ305" s="141"/>
      <c r="CA305" s="141"/>
      <c r="CB305" s="141"/>
      <c r="CC305" s="141"/>
      <c r="CD305" s="141"/>
      <c r="CE305" s="141"/>
      <c r="CF305" s="141"/>
      <c r="CG305" s="141"/>
      <c r="CH305" s="141"/>
      <c r="CI305" s="141"/>
      <c r="CJ305" s="141"/>
      <c r="CK305" s="141"/>
    </row>
    <row r="306" spans="74:89" ht="15" customHeight="1" x14ac:dyDescent="0.35">
      <c r="BV306" s="140"/>
      <c r="BY306" s="141"/>
      <c r="BZ306" s="141"/>
      <c r="CA306" s="141"/>
      <c r="CB306" s="141"/>
      <c r="CC306" s="141"/>
      <c r="CD306" s="141"/>
      <c r="CE306" s="141"/>
      <c r="CF306" s="141"/>
      <c r="CG306" s="141"/>
      <c r="CH306" s="141"/>
      <c r="CI306" s="141"/>
      <c r="CJ306" s="141"/>
      <c r="CK306" s="141"/>
    </row>
    <row r="307" spans="74:89" ht="15" customHeight="1" x14ac:dyDescent="0.35">
      <c r="BV307" s="140"/>
      <c r="BY307" s="141"/>
      <c r="BZ307" s="141"/>
      <c r="CA307" s="141"/>
      <c r="CB307" s="141"/>
      <c r="CC307" s="141"/>
      <c r="CD307" s="141"/>
      <c r="CE307" s="141"/>
      <c r="CF307" s="141"/>
      <c r="CG307" s="141"/>
      <c r="CH307" s="141"/>
      <c r="CI307" s="141"/>
      <c r="CJ307" s="141"/>
      <c r="CK307" s="141"/>
    </row>
    <row r="308" spans="74:89" ht="15" customHeight="1" x14ac:dyDescent="0.35">
      <c r="BV308" s="140"/>
      <c r="BY308" s="141"/>
      <c r="BZ308" s="141"/>
      <c r="CA308" s="141"/>
      <c r="CB308" s="141"/>
      <c r="CC308" s="141"/>
      <c r="CD308" s="141"/>
      <c r="CE308" s="141"/>
      <c r="CF308" s="141"/>
      <c r="CG308" s="141"/>
      <c r="CH308" s="141"/>
      <c r="CI308" s="141"/>
      <c r="CJ308" s="141"/>
      <c r="CK308" s="141"/>
    </row>
    <row r="309" spans="74:89" ht="15" customHeight="1" x14ac:dyDescent="0.35">
      <c r="BV309" s="140"/>
      <c r="BY309" s="141"/>
      <c r="BZ309" s="141"/>
      <c r="CA309" s="141"/>
      <c r="CB309" s="141"/>
      <c r="CC309" s="141"/>
      <c r="CD309" s="141"/>
      <c r="CE309" s="141"/>
      <c r="CF309" s="141"/>
      <c r="CG309" s="141"/>
      <c r="CH309" s="141"/>
      <c r="CI309" s="141"/>
      <c r="CJ309" s="141"/>
      <c r="CK309" s="141"/>
    </row>
    <row r="310" spans="74:89" ht="15" customHeight="1" x14ac:dyDescent="0.35">
      <c r="BV310" s="140"/>
      <c r="BY310" s="141"/>
      <c r="BZ310" s="141"/>
      <c r="CA310" s="141"/>
      <c r="CB310" s="141"/>
      <c r="CC310" s="141"/>
      <c r="CD310" s="141"/>
      <c r="CE310" s="141"/>
      <c r="CF310" s="141"/>
      <c r="CG310" s="141"/>
      <c r="CH310" s="141"/>
      <c r="CI310" s="141"/>
      <c r="CJ310" s="141"/>
      <c r="CK310" s="141"/>
    </row>
    <row r="311" spans="74:89" ht="15" customHeight="1" x14ac:dyDescent="0.35">
      <c r="BV311" s="140"/>
      <c r="BY311" s="141"/>
      <c r="BZ311" s="141"/>
      <c r="CA311" s="141"/>
      <c r="CB311" s="141"/>
      <c r="CC311" s="141"/>
      <c r="CD311" s="141"/>
      <c r="CE311" s="141"/>
      <c r="CF311" s="141"/>
      <c r="CG311" s="141"/>
      <c r="CH311" s="141"/>
      <c r="CI311" s="141"/>
      <c r="CJ311" s="141"/>
      <c r="CK311" s="141"/>
    </row>
    <row r="312" spans="74:89" ht="15" customHeight="1" x14ac:dyDescent="0.35">
      <c r="BV312" s="140"/>
      <c r="BY312" s="141"/>
      <c r="BZ312" s="141"/>
      <c r="CA312" s="141"/>
      <c r="CB312" s="141"/>
      <c r="CC312" s="141"/>
      <c r="CD312" s="141"/>
      <c r="CE312" s="141"/>
      <c r="CF312" s="141"/>
      <c r="CG312" s="141"/>
      <c r="CH312" s="141"/>
      <c r="CI312" s="141"/>
      <c r="CJ312" s="141"/>
      <c r="CK312" s="141"/>
    </row>
    <row r="313" spans="74:89" ht="15" customHeight="1" x14ac:dyDescent="0.35">
      <c r="BV313" s="140"/>
      <c r="BY313" s="141"/>
      <c r="BZ313" s="141"/>
      <c r="CA313" s="141"/>
      <c r="CB313" s="141"/>
      <c r="CC313" s="141"/>
      <c r="CD313" s="141"/>
      <c r="CE313" s="141"/>
      <c r="CF313" s="141"/>
      <c r="CG313" s="141"/>
      <c r="CH313" s="141"/>
      <c r="CI313" s="141"/>
      <c r="CJ313" s="141"/>
      <c r="CK313" s="141"/>
    </row>
    <row r="314" spans="74:89" ht="15" customHeight="1" x14ac:dyDescent="0.35">
      <c r="BV314" s="140"/>
      <c r="BY314" s="141"/>
      <c r="BZ314" s="141"/>
      <c r="CA314" s="141"/>
      <c r="CB314" s="141"/>
      <c r="CC314" s="141"/>
      <c r="CD314" s="141"/>
      <c r="CE314" s="141"/>
      <c r="CF314" s="141"/>
      <c r="CG314" s="141"/>
      <c r="CH314" s="141"/>
      <c r="CI314" s="141"/>
      <c r="CJ314" s="141"/>
      <c r="CK314" s="141"/>
    </row>
    <row r="315" spans="74:89" ht="15" customHeight="1" x14ac:dyDescent="0.35">
      <c r="BV315" s="140"/>
      <c r="BY315" s="141"/>
      <c r="BZ315" s="141"/>
      <c r="CA315" s="141"/>
      <c r="CB315" s="141"/>
      <c r="CC315" s="141"/>
      <c r="CD315" s="141"/>
      <c r="CE315" s="141"/>
      <c r="CF315" s="141"/>
      <c r="CG315" s="141"/>
      <c r="CH315" s="141"/>
      <c r="CI315" s="141"/>
      <c r="CJ315" s="141"/>
      <c r="CK315" s="141"/>
    </row>
    <row r="316" spans="74:89" ht="15" customHeight="1" x14ac:dyDescent="0.35">
      <c r="BV316" s="140"/>
      <c r="BY316" s="141"/>
      <c r="BZ316" s="141"/>
      <c r="CA316" s="141"/>
      <c r="CB316" s="141"/>
      <c r="CC316" s="141"/>
      <c r="CD316" s="141"/>
      <c r="CE316" s="141"/>
      <c r="CF316" s="141"/>
      <c r="CG316" s="141"/>
      <c r="CH316" s="141"/>
      <c r="CI316" s="141"/>
      <c r="CJ316" s="141"/>
      <c r="CK316" s="141"/>
    </row>
    <row r="317" spans="74:89" ht="15" customHeight="1" x14ac:dyDescent="0.35">
      <c r="BV317" s="140"/>
      <c r="BY317" s="141"/>
      <c r="BZ317" s="141"/>
      <c r="CA317" s="141"/>
      <c r="CB317" s="141"/>
      <c r="CC317" s="141"/>
      <c r="CD317" s="141"/>
      <c r="CE317" s="141"/>
      <c r="CF317" s="141"/>
      <c r="CG317" s="141"/>
      <c r="CH317" s="141"/>
      <c r="CI317" s="141"/>
      <c r="CJ317" s="141"/>
      <c r="CK317" s="141"/>
    </row>
    <row r="318" spans="74:89" ht="15" customHeight="1" x14ac:dyDescent="0.35">
      <c r="BV318" s="140"/>
      <c r="BY318" s="141"/>
      <c r="BZ318" s="141"/>
      <c r="CA318" s="141"/>
      <c r="CB318" s="141"/>
      <c r="CC318" s="141"/>
      <c r="CD318" s="141"/>
      <c r="CE318" s="141"/>
      <c r="CF318" s="141"/>
      <c r="CG318" s="141"/>
      <c r="CH318" s="141"/>
      <c r="CI318" s="141"/>
      <c r="CJ318" s="141"/>
      <c r="CK318" s="141"/>
    </row>
    <row r="319" spans="74:89" ht="15" customHeight="1" x14ac:dyDescent="0.35">
      <c r="BV319" s="140"/>
      <c r="BY319" s="141"/>
      <c r="BZ319" s="141"/>
      <c r="CA319" s="141"/>
      <c r="CB319" s="141"/>
      <c r="CC319" s="141"/>
      <c r="CD319" s="141"/>
      <c r="CE319" s="141"/>
      <c r="CF319" s="141"/>
      <c r="CG319" s="141"/>
      <c r="CH319" s="141"/>
      <c r="CI319" s="141"/>
      <c r="CJ319" s="141"/>
      <c r="CK319" s="141"/>
    </row>
    <row r="320" spans="74:89" ht="15" customHeight="1" x14ac:dyDescent="0.35">
      <c r="BV320" s="140"/>
      <c r="BY320" s="141"/>
      <c r="BZ320" s="141"/>
      <c r="CA320" s="141"/>
      <c r="CB320" s="141"/>
      <c r="CC320" s="141"/>
      <c r="CD320" s="141"/>
      <c r="CE320" s="141"/>
      <c r="CF320" s="141"/>
      <c r="CG320" s="141"/>
      <c r="CH320" s="141"/>
      <c r="CI320" s="141"/>
      <c r="CJ320" s="141"/>
      <c r="CK320" s="141"/>
    </row>
    <row r="321" spans="74:89" ht="15" customHeight="1" x14ac:dyDescent="0.35">
      <c r="BV321" s="140"/>
      <c r="BY321" s="141"/>
      <c r="BZ321" s="141"/>
      <c r="CA321" s="141"/>
      <c r="CB321" s="141"/>
      <c r="CC321" s="141"/>
      <c r="CD321" s="141"/>
      <c r="CE321" s="141"/>
      <c r="CF321" s="141"/>
      <c r="CG321" s="141"/>
      <c r="CH321" s="141"/>
      <c r="CI321" s="141"/>
      <c r="CJ321" s="141"/>
      <c r="CK321" s="141"/>
    </row>
    <row r="322" spans="74:89" ht="15" customHeight="1" x14ac:dyDescent="0.35">
      <c r="BV322" s="140"/>
      <c r="BY322" s="141"/>
      <c r="BZ322" s="141"/>
      <c r="CA322" s="141"/>
      <c r="CB322" s="141"/>
      <c r="CC322" s="141"/>
      <c r="CD322" s="141"/>
      <c r="CE322" s="141"/>
      <c r="CF322" s="141"/>
      <c r="CG322" s="141"/>
      <c r="CH322" s="141"/>
      <c r="CI322" s="141"/>
      <c r="CJ322" s="141"/>
      <c r="CK322" s="141"/>
    </row>
    <row r="323" spans="74:89" ht="15" customHeight="1" x14ac:dyDescent="0.35">
      <c r="BV323" s="140"/>
      <c r="BY323" s="141"/>
      <c r="BZ323" s="141"/>
      <c r="CA323" s="141"/>
      <c r="CB323" s="141"/>
      <c r="CC323" s="141"/>
      <c r="CD323" s="141"/>
      <c r="CE323" s="141"/>
      <c r="CF323" s="141"/>
      <c r="CG323" s="141"/>
      <c r="CH323" s="141"/>
      <c r="CI323" s="141"/>
      <c r="CJ323" s="141"/>
      <c r="CK323" s="141"/>
    </row>
    <row r="324" spans="74:89" ht="15" customHeight="1" x14ac:dyDescent="0.35">
      <c r="BV324" s="140"/>
      <c r="BY324" s="141"/>
      <c r="BZ324" s="141"/>
      <c r="CA324" s="141"/>
      <c r="CB324" s="141"/>
      <c r="CC324" s="141"/>
      <c r="CD324" s="141"/>
      <c r="CE324" s="141"/>
      <c r="CF324" s="141"/>
      <c r="CG324" s="141"/>
      <c r="CH324" s="141"/>
      <c r="CI324" s="141"/>
      <c r="CJ324" s="141"/>
      <c r="CK324" s="141"/>
    </row>
    <row r="325" spans="74:89" ht="15" customHeight="1" x14ac:dyDescent="0.35">
      <c r="BV325" s="140"/>
      <c r="BY325" s="141"/>
      <c r="BZ325" s="141"/>
      <c r="CA325" s="141"/>
      <c r="CB325" s="141"/>
      <c r="CC325" s="141"/>
      <c r="CD325" s="141"/>
      <c r="CE325" s="141"/>
      <c r="CF325" s="141"/>
      <c r="CG325" s="141"/>
      <c r="CH325" s="141"/>
      <c r="CI325" s="141"/>
      <c r="CJ325" s="141"/>
      <c r="CK325" s="141"/>
    </row>
    <row r="326" spans="74:89" ht="15" customHeight="1" x14ac:dyDescent="0.35">
      <c r="BV326" s="140"/>
      <c r="BY326" s="141"/>
      <c r="BZ326" s="141"/>
      <c r="CA326" s="141"/>
      <c r="CB326" s="141"/>
      <c r="CC326" s="141"/>
      <c r="CD326" s="141"/>
      <c r="CE326" s="141"/>
      <c r="CF326" s="141"/>
      <c r="CG326" s="141"/>
      <c r="CH326" s="141"/>
      <c r="CI326" s="141"/>
      <c r="CJ326" s="141"/>
      <c r="CK326" s="141"/>
    </row>
    <row r="327" spans="74:89" ht="15" customHeight="1" x14ac:dyDescent="0.35">
      <c r="BV327" s="140"/>
      <c r="BY327" s="141"/>
      <c r="BZ327" s="141"/>
      <c r="CA327" s="141"/>
      <c r="CB327" s="141"/>
      <c r="CC327" s="141"/>
      <c r="CD327" s="141"/>
      <c r="CE327" s="141"/>
      <c r="CF327" s="141"/>
      <c r="CG327" s="141"/>
      <c r="CH327" s="141"/>
      <c r="CI327" s="141"/>
      <c r="CJ327" s="141"/>
      <c r="CK327" s="141"/>
    </row>
    <row r="328" spans="74:89" ht="15" customHeight="1" x14ac:dyDescent="0.35">
      <c r="BV328" s="140"/>
      <c r="BY328" s="141"/>
      <c r="BZ328" s="141"/>
      <c r="CA328" s="141"/>
      <c r="CB328" s="141"/>
      <c r="CC328" s="141"/>
      <c r="CD328" s="141"/>
      <c r="CE328" s="141"/>
      <c r="CF328" s="141"/>
      <c r="CG328" s="141"/>
      <c r="CH328" s="141"/>
      <c r="CI328" s="141"/>
      <c r="CJ328" s="141"/>
      <c r="CK328" s="141"/>
    </row>
    <row r="329" spans="74:89" ht="15" customHeight="1" x14ac:dyDescent="0.35">
      <c r="BV329" s="140"/>
      <c r="BY329" s="141"/>
      <c r="BZ329" s="141"/>
      <c r="CA329" s="141"/>
      <c r="CB329" s="141"/>
      <c r="CC329" s="141"/>
      <c r="CD329" s="141"/>
      <c r="CE329" s="141"/>
      <c r="CF329" s="141"/>
      <c r="CG329" s="141"/>
      <c r="CH329" s="141"/>
      <c r="CI329" s="141"/>
      <c r="CJ329" s="141"/>
      <c r="CK329" s="141"/>
    </row>
    <row r="330" spans="74:89" ht="15" customHeight="1" x14ac:dyDescent="0.35">
      <c r="BV330" s="140"/>
      <c r="BY330" s="141"/>
      <c r="BZ330" s="141"/>
      <c r="CA330" s="141"/>
      <c r="CB330" s="141"/>
      <c r="CC330" s="141"/>
      <c r="CD330" s="141"/>
      <c r="CE330" s="141"/>
      <c r="CF330" s="141"/>
      <c r="CG330" s="141"/>
      <c r="CH330" s="141"/>
      <c r="CI330" s="141"/>
      <c r="CJ330" s="141"/>
      <c r="CK330" s="141"/>
    </row>
    <row r="331" spans="74:89" ht="15" customHeight="1" x14ac:dyDescent="0.35">
      <c r="BV331" s="140"/>
      <c r="BY331" s="141"/>
      <c r="BZ331" s="141"/>
      <c r="CA331" s="141"/>
      <c r="CB331" s="141"/>
      <c r="CC331" s="141"/>
      <c r="CD331" s="141"/>
      <c r="CE331" s="141"/>
      <c r="CF331" s="141"/>
      <c r="CG331" s="141"/>
      <c r="CH331" s="141"/>
      <c r="CI331" s="141"/>
      <c r="CJ331" s="141"/>
      <c r="CK331" s="141"/>
    </row>
    <row r="332" spans="74:89" ht="15" customHeight="1" x14ac:dyDescent="0.35">
      <c r="BV332" s="140"/>
      <c r="BY332" s="141"/>
      <c r="BZ332" s="141"/>
      <c r="CA332" s="141"/>
      <c r="CB332" s="141"/>
      <c r="CC332" s="141"/>
      <c r="CD332" s="141"/>
      <c r="CE332" s="141"/>
      <c r="CF332" s="141"/>
      <c r="CG332" s="141"/>
      <c r="CH332" s="141"/>
      <c r="CI332" s="141"/>
      <c r="CJ332" s="141"/>
      <c r="CK332" s="141"/>
    </row>
    <row r="333" spans="74:89" ht="15" customHeight="1" x14ac:dyDescent="0.35">
      <c r="BV333" s="140"/>
      <c r="BY333" s="141"/>
      <c r="BZ333" s="141"/>
      <c r="CA333" s="141"/>
      <c r="CB333" s="141"/>
      <c r="CC333" s="141"/>
      <c r="CD333" s="141"/>
      <c r="CE333" s="141"/>
      <c r="CF333" s="141"/>
      <c r="CG333" s="141"/>
      <c r="CH333" s="141"/>
      <c r="CI333" s="141"/>
      <c r="CJ333" s="141"/>
      <c r="CK333" s="141"/>
    </row>
    <row r="334" spans="74:89" ht="15" customHeight="1" x14ac:dyDescent="0.35">
      <c r="BV334" s="140"/>
      <c r="BY334" s="141"/>
      <c r="BZ334" s="141"/>
      <c r="CA334" s="141"/>
      <c r="CB334" s="141"/>
      <c r="CC334" s="141"/>
      <c r="CD334" s="141"/>
      <c r="CE334" s="141"/>
      <c r="CF334" s="141"/>
      <c r="CG334" s="141"/>
      <c r="CH334" s="141"/>
      <c r="CI334" s="141"/>
      <c r="CJ334" s="141"/>
      <c r="CK334" s="141"/>
    </row>
    <row r="335" spans="74:89" ht="15" customHeight="1" x14ac:dyDescent="0.35">
      <c r="BV335" s="140"/>
      <c r="BY335" s="141"/>
      <c r="BZ335" s="141"/>
      <c r="CA335" s="141"/>
      <c r="CB335" s="141"/>
      <c r="CC335" s="141"/>
      <c r="CD335" s="141"/>
      <c r="CE335" s="141"/>
      <c r="CF335" s="141"/>
      <c r="CG335" s="141"/>
      <c r="CH335" s="141"/>
      <c r="CI335" s="141"/>
      <c r="CJ335" s="141"/>
      <c r="CK335" s="141"/>
    </row>
    <row r="336" spans="74:89" ht="15" customHeight="1" x14ac:dyDescent="0.35">
      <c r="BV336" s="140"/>
      <c r="BY336" s="141"/>
      <c r="BZ336" s="141"/>
      <c r="CA336" s="141"/>
      <c r="CB336" s="141"/>
      <c r="CC336" s="141"/>
      <c r="CD336" s="141"/>
      <c r="CE336" s="141"/>
      <c r="CF336" s="141"/>
      <c r="CG336" s="141"/>
      <c r="CH336" s="141"/>
      <c r="CI336" s="141"/>
      <c r="CJ336" s="141"/>
      <c r="CK336" s="141"/>
    </row>
    <row r="337" spans="74:89" ht="15" customHeight="1" x14ac:dyDescent="0.35">
      <c r="BV337" s="140"/>
      <c r="BY337" s="141"/>
      <c r="BZ337" s="141"/>
      <c r="CA337" s="141"/>
      <c r="CB337" s="141"/>
      <c r="CC337" s="141"/>
      <c r="CD337" s="141"/>
      <c r="CE337" s="141"/>
      <c r="CF337" s="141"/>
      <c r="CG337" s="141"/>
      <c r="CH337" s="141"/>
      <c r="CI337" s="141"/>
      <c r="CJ337" s="141"/>
      <c r="CK337" s="141"/>
    </row>
    <row r="338" spans="74:89" ht="15" customHeight="1" x14ac:dyDescent="0.35">
      <c r="BV338" s="140"/>
      <c r="BY338" s="141"/>
      <c r="BZ338" s="141"/>
      <c r="CA338" s="141"/>
      <c r="CB338" s="141"/>
      <c r="CC338" s="141"/>
      <c r="CD338" s="141"/>
      <c r="CE338" s="141"/>
      <c r="CF338" s="141"/>
      <c r="CG338" s="141"/>
      <c r="CH338" s="141"/>
      <c r="CI338" s="141"/>
      <c r="CJ338" s="141"/>
      <c r="CK338" s="141"/>
    </row>
    <row r="339" spans="74:89" ht="15" customHeight="1" x14ac:dyDescent="0.35">
      <c r="BV339" s="140"/>
      <c r="BY339" s="141"/>
      <c r="BZ339" s="141"/>
      <c r="CA339" s="141"/>
      <c r="CB339" s="141"/>
      <c r="CC339" s="141"/>
      <c r="CD339" s="141"/>
      <c r="CE339" s="141"/>
      <c r="CF339" s="141"/>
      <c r="CG339" s="141"/>
      <c r="CH339" s="141"/>
      <c r="CI339" s="141"/>
      <c r="CJ339" s="141"/>
      <c r="CK339" s="141"/>
    </row>
    <row r="340" spans="74:89" ht="15" customHeight="1" x14ac:dyDescent="0.35">
      <c r="BV340" s="140"/>
      <c r="BY340" s="141"/>
      <c r="BZ340" s="141"/>
      <c r="CA340" s="141"/>
      <c r="CB340" s="141"/>
      <c r="CC340" s="141"/>
      <c r="CD340" s="141"/>
      <c r="CE340" s="141"/>
      <c r="CF340" s="141"/>
      <c r="CG340" s="141"/>
      <c r="CH340" s="141"/>
      <c r="CI340" s="141"/>
      <c r="CJ340" s="141"/>
      <c r="CK340" s="141"/>
    </row>
    <row r="341" spans="74:89" ht="15" customHeight="1" x14ac:dyDescent="0.35">
      <c r="BV341" s="140"/>
      <c r="BY341" s="141"/>
      <c r="BZ341" s="141"/>
      <c r="CA341" s="141"/>
      <c r="CB341" s="141"/>
      <c r="CC341" s="141"/>
      <c r="CD341" s="141"/>
      <c r="CE341" s="141"/>
      <c r="CF341" s="141"/>
      <c r="CG341" s="141"/>
      <c r="CH341" s="141"/>
      <c r="CI341" s="141"/>
      <c r="CJ341" s="141"/>
      <c r="CK341" s="141"/>
    </row>
    <row r="342" spans="74:89" ht="15" customHeight="1" x14ac:dyDescent="0.35">
      <c r="BV342" s="140"/>
      <c r="BY342" s="141"/>
      <c r="BZ342" s="141"/>
      <c r="CA342" s="141"/>
      <c r="CB342" s="141"/>
      <c r="CC342" s="141"/>
      <c r="CD342" s="141"/>
      <c r="CE342" s="141"/>
      <c r="CF342" s="141"/>
      <c r="CG342" s="141"/>
      <c r="CH342" s="141"/>
      <c r="CI342" s="141"/>
      <c r="CJ342" s="141"/>
      <c r="CK342" s="141"/>
    </row>
    <row r="343" spans="74:89" ht="15" customHeight="1" x14ac:dyDescent="0.35">
      <c r="BV343" s="140"/>
      <c r="BY343" s="141"/>
      <c r="BZ343" s="141"/>
      <c r="CA343" s="141"/>
      <c r="CB343" s="141"/>
      <c r="CC343" s="141"/>
      <c r="CD343" s="141"/>
      <c r="CE343" s="141"/>
      <c r="CF343" s="141"/>
      <c r="CG343" s="141"/>
      <c r="CH343" s="141"/>
      <c r="CI343" s="141"/>
      <c r="CJ343" s="141"/>
      <c r="CK343" s="141"/>
    </row>
    <row r="344" spans="74:89" ht="15" customHeight="1" x14ac:dyDescent="0.35">
      <c r="BV344" s="140"/>
      <c r="BY344" s="141"/>
      <c r="BZ344" s="141"/>
      <c r="CA344" s="141"/>
      <c r="CB344" s="141"/>
      <c r="CC344" s="141"/>
      <c r="CD344" s="141"/>
      <c r="CE344" s="141"/>
      <c r="CF344" s="141"/>
      <c r="CG344" s="141"/>
      <c r="CH344" s="141"/>
      <c r="CI344" s="141"/>
      <c r="CJ344" s="141"/>
      <c r="CK344" s="141"/>
    </row>
    <row r="345" spans="74:89" ht="15" customHeight="1" x14ac:dyDescent="0.35">
      <c r="BV345" s="140"/>
      <c r="BY345" s="141"/>
      <c r="BZ345" s="141"/>
      <c r="CA345" s="141"/>
      <c r="CB345" s="141"/>
      <c r="CC345" s="141"/>
      <c r="CD345" s="141"/>
      <c r="CE345" s="141"/>
      <c r="CF345" s="141"/>
      <c r="CG345" s="141"/>
      <c r="CH345" s="141"/>
      <c r="CI345" s="141"/>
      <c r="CJ345" s="141"/>
      <c r="CK345" s="141"/>
    </row>
    <row r="346" spans="74:89" ht="15" customHeight="1" x14ac:dyDescent="0.35">
      <c r="BV346" s="140"/>
      <c r="BY346" s="141"/>
      <c r="BZ346" s="141"/>
      <c r="CA346" s="141"/>
      <c r="CB346" s="141"/>
      <c r="CC346" s="141"/>
      <c r="CD346" s="141"/>
      <c r="CE346" s="141"/>
      <c r="CF346" s="141"/>
      <c r="CG346" s="141"/>
      <c r="CH346" s="141"/>
      <c r="CI346" s="141"/>
      <c r="CJ346" s="141"/>
      <c r="CK346" s="141"/>
    </row>
    <row r="347" spans="74:89" ht="15" customHeight="1" x14ac:dyDescent="0.35">
      <c r="BV347" s="140"/>
      <c r="BY347" s="141"/>
      <c r="BZ347" s="141"/>
      <c r="CA347" s="141"/>
      <c r="CB347" s="141"/>
      <c r="CC347" s="141"/>
      <c r="CD347" s="141"/>
      <c r="CE347" s="141"/>
      <c r="CF347" s="141"/>
      <c r="CG347" s="141"/>
      <c r="CH347" s="141"/>
      <c r="CI347" s="141"/>
      <c r="CJ347" s="141"/>
      <c r="CK347" s="141"/>
    </row>
    <row r="348" spans="74:89" ht="15" customHeight="1" x14ac:dyDescent="0.35">
      <c r="BV348" s="140"/>
      <c r="BY348" s="141"/>
      <c r="BZ348" s="141"/>
      <c r="CA348" s="141"/>
      <c r="CB348" s="141"/>
      <c r="CC348" s="141"/>
      <c r="CD348" s="141"/>
      <c r="CE348" s="141"/>
      <c r="CF348" s="141"/>
      <c r="CG348" s="141"/>
      <c r="CH348" s="141"/>
      <c r="CI348" s="141"/>
      <c r="CJ348" s="141"/>
      <c r="CK348" s="141"/>
    </row>
    <row r="349" spans="74:89" ht="15" customHeight="1" x14ac:dyDescent="0.35">
      <c r="BV349" s="140"/>
      <c r="BY349" s="141"/>
      <c r="BZ349" s="141"/>
      <c r="CA349" s="141"/>
      <c r="CB349" s="141"/>
      <c r="CC349" s="141"/>
      <c r="CD349" s="141"/>
      <c r="CE349" s="141"/>
      <c r="CF349" s="141"/>
      <c r="CG349" s="141"/>
      <c r="CH349" s="141"/>
      <c r="CI349" s="141"/>
      <c r="CJ349" s="141"/>
      <c r="CK349" s="141"/>
    </row>
    <row r="350" spans="74:89" ht="15" customHeight="1" x14ac:dyDescent="0.35">
      <c r="BV350" s="140"/>
      <c r="BY350" s="141"/>
      <c r="BZ350" s="141"/>
      <c r="CA350" s="141"/>
      <c r="CB350" s="141"/>
      <c r="CC350" s="141"/>
      <c r="CD350" s="141"/>
      <c r="CE350" s="141"/>
      <c r="CF350" s="141"/>
      <c r="CG350" s="141"/>
      <c r="CH350" s="141"/>
      <c r="CI350" s="141"/>
      <c r="CJ350" s="141"/>
      <c r="CK350" s="141"/>
    </row>
    <row r="351" spans="74:89" ht="15" customHeight="1" x14ac:dyDescent="0.35">
      <c r="BV351" s="140"/>
      <c r="BY351" s="141"/>
      <c r="BZ351" s="141"/>
      <c r="CA351" s="141"/>
      <c r="CB351" s="141"/>
      <c r="CC351" s="141"/>
      <c r="CD351" s="141"/>
      <c r="CE351" s="141"/>
      <c r="CF351" s="141"/>
      <c r="CG351" s="141"/>
      <c r="CH351" s="141"/>
      <c r="CI351" s="141"/>
      <c r="CJ351" s="141"/>
      <c r="CK351" s="141"/>
    </row>
    <row r="352" spans="74:89" ht="15" customHeight="1" x14ac:dyDescent="0.35">
      <c r="BV352" s="140"/>
      <c r="BY352" s="141"/>
      <c r="BZ352" s="141"/>
      <c r="CA352" s="141"/>
      <c r="CB352" s="141"/>
      <c r="CC352" s="141"/>
      <c r="CD352" s="141"/>
      <c r="CE352" s="141"/>
      <c r="CF352" s="141"/>
      <c r="CG352" s="141"/>
      <c r="CH352" s="141"/>
      <c r="CI352" s="141"/>
      <c r="CJ352" s="141"/>
      <c r="CK352" s="141"/>
    </row>
    <row r="353" spans="74:89" ht="15" customHeight="1" x14ac:dyDescent="0.35">
      <c r="BV353" s="140"/>
      <c r="BY353" s="141"/>
      <c r="BZ353" s="141"/>
      <c r="CA353" s="141"/>
      <c r="CB353" s="141"/>
      <c r="CC353" s="141"/>
      <c r="CD353" s="141"/>
      <c r="CE353" s="141"/>
      <c r="CF353" s="141"/>
      <c r="CG353" s="141"/>
      <c r="CH353" s="141"/>
      <c r="CI353" s="141"/>
      <c r="CJ353" s="141"/>
      <c r="CK353" s="141"/>
    </row>
    <row r="354" spans="74:89" ht="15" customHeight="1" x14ac:dyDescent="0.35">
      <c r="BV354" s="140"/>
      <c r="BY354" s="141"/>
      <c r="BZ354" s="141"/>
      <c r="CA354" s="141"/>
      <c r="CB354" s="141"/>
      <c r="CC354" s="141"/>
      <c r="CD354" s="141"/>
      <c r="CE354" s="141"/>
      <c r="CF354" s="141"/>
      <c r="CG354" s="141"/>
      <c r="CH354" s="141"/>
      <c r="CI354" s="141"/>
      <c r="CJ354" s="141"/>
      <c r="CK354" s="141"/>
    </row>
    <row r="355" spans="74:89" ht="15" customHeight="1" x14ac:dyDescent="0.35">
      <c r="BV355" s="140"/>
      <c r="BY355" s="141"/>
      <c r="BZ355" s="141"/>
      <c r="CA355" s="141"/>
      <c r="CB355" s="141"/>
      <c r="CC355" s="141"/>
      <c r="CD355" s="141"/>
      <c r="CE355" s="141"/>
      <c r="CF355" s="141"/>
      <c r="CG355" s="141"/>
      <c r="CH355" s="141"/>
      <c r="CI355" s="141"/>
      <c r="CJ355" s="141"/>
      <c r="CK355" s="141"/>
    </row>
    <row r="356" spans="74:89" ht="15" customHeight="1" x14ac:dyDescent="0.35">
      <c r="BV356" s="140"/>
      <c r="BY356" s="141"/>
      <c r="BZ356" s="141"/>
      <c r="CA356" s="141"/>
      <c r="CB356" s="141"/>
      <c r="CC356" s="141"/>
      <c r="CD356" s="141"/>
      <c r="CE356" s="141"/>
      <c r="CF356" s="141"/>
      <c r="CG356" s="141"/>
      <c r="CH356" s="141"/>
      <c r="CI356" s="141"/>
      <c r="CJ356" s="141"/>
      <c r="CK356" s="141"/>
    </row>
    <row r="357" spans="74:89" ht="15" customHeight="1" x14ac:dyDescent="0.35">
      <c r="BV357" s="140"/>
      <c r="BY357" s="141"/>
      <c r="BZ357" s="141"/>
      <c r="CA357" s="141"/>
      <c r="CB357" s="141"/>
      <c r="CC357" s="141"/>
      <c r="CD357" s="141"/>
      <c r="CE357" s="141"/>
      <c r="CF357" s="141"/>
      <c r="CG357" s="141"/>
      <c r="CH357" s="141"/>
      <c r="CI357" s="141"/>
      <c r="CJ357" s="141"/>
      <c r="CK357" s="141"/>
    </row>
    <row r="358" spans="74:89" ht="15" customHeight="1" x14ac:dyDescent="0.35">
      <c r="BV358" s="140"/>
      <c r="BY358" s="141"/>
      <c r="BZ358" s="141"/>
      <c r="CA358" s="141"/>
      <c r="CB358" s="141"/>
      <c r="CC358" s="141"/>
      <c r="CD358" s="141"/>
      <c r="CE358" s="141"/>
      <c r="CF358" s="141"/>
      <c r="CG358" s="141"/>
      <c r="CH358" s="141"/>
      <c r="CI358" s="141"/>
      <c r="CJ358" s="141"/>
      <c r="CK358" s="141"/>
    </row>
    <row r="359" spans="74:89" ht="15" customHeight="1" x14ac:dyDescent="0.35">
      <c r="BV359" s="140"/>
      <c r="BY359" s="141"/>
      <c r="BZ359" s="141"/>
      <c r="CA359" s="141"/>
      <c r="CB359" s="141"/>
      <c r="CC359" s="141"/>
      <c r="CD359" s="141"/>
      <c r="CE359" s="141"/>
      <c r="CF359" s="141"/>
      <c r="CG359" s="141"/>
      <c r="CH359" s="141"/>
      <c r="CI359" s="141"/>
      <c r="CJ359" s="141"/>
      <c r="CK359" s="141"/>
    </row>
    <row r="360" spans="74:89" ht="15" customHeight="1" x14ac:dyDescent="0.35">
      <c r="BV360" s="140"/>
      <c r="BY360" s="141"/>
      <c r="BZ360" s="141"/>
      <c r="CA360" s="141"/>
      <c r="CB360" s="141"/>
      <c r="CC360" s="141"/>
      <c r="CD360" s="141"/>
      <c r="CE360" s="141"/>
      <c r="CF360" s="141"/>
      <c r="CG360" s="141"/>
      <c r="CH360" s="141"/>
      <c r="CI360" s="141"/>
      <c r="CJ360" s="141"/>
      <c r="CK360" s="141"/>
    </row>
    <row r="361" spans="74:89" ht="15" customHeight="1" x14ac:dyDescent="0.35">
      <c r="BV361" s="140"/>
      <c r="BY361" s="141"/>
      <c r="BZ361" s="141"/>
      <c r="CA361" s="141"/>
      <c r="CB361" s="141"/>
      <c r="CC361" s="141"/>
      <c r="CD361" s="141"/>
      <c r="CE361" s="141"/>
      <c r="CF361" s="141"/>
      <c r="CG361" s="141"/>
      <c r="CH361" s="141"/>
      <c r="CI361" s="141"/>
      <c r="CJ361" s="141"/>
      <c r="CK361" s="141"/>
    </row>
    <row r="362" spans="74:89" ht="15" customHeight="1" x14ac:dyDescent="0.35">
      <c r="BV362" s="140"/>
      <c r="BY362" s="141"/>
      <c r="BZ362" s="141"/>
      <c r="CA362" s="141"/>
      <c r="CB362" s="141"/>
      <c r="CC362" s="141"/>
      <c r="CD362" s="141"/>
      <c r="CE362" s="141"/>
      <c r="CF362" s="141"/>
      <c r="CG362" s="141"/>
      <c r="CH362" s="141"/>
      <c r="CI362" s="141"/>
      <c r="CJ362" s="141"/>
      <c r="CK362" s="141"/>
    </row>
    <row r="363" spans="74:89" ht="15" customHeight="1" x14ac:dyDescent="0.35">
      <c r="BV363" s="140"/>
      <c r="BY363" s="141"/>
      <c r="BZ363" s="141"/>
      <c r="CA363" s="141"/>
      <c r="CB363" s="141"/>
      <c r="CC363" s="141"/>
      <c r="CD363" s="141"/>
      <c r="CE363" s="141"/>
      <c r="CF363" s="141"/>
      <c r="CG363" s="141"/>
      <c r="CH363" s="141"/>
      <c r="CI363" s="141"/>
      <c r="CJ363" s="141"/>
      <c r="CK363" s="141"/>
    </row>
    <row r="364" spans="74:89" ht="15" customHeight="1" x14ac:dyDescent="0.35">
      <c r="BV364" s="140"/>
      <c r="BY364" s="141"/>
      <c r="BZ364" s="141"/>
      <c r="CA364" s="141"/>
      <c r="CB364" s="141"/>
      <c r="CC364" s="141"/>
      <c r="CD364" s="141"/>
      <c r="CE364" s="141"/>
      <c r="CF364" s="141"/>
      <c r="CG364" s="141"/>
      <c r="CH364" s="141"/>
      <c r="CI364" s="141"/>
      <c r="CJ364" s="141"/>
      <c r="CK364" s="141"/>
    </row>
    <row r="365" spans="74:89" ht="15" customHeight="1" x14ac:dyDescent="0.35">
      <c r="BV365" s="140"/>
      <c r="BY365" s="141"/>
      <c r="BZ365" s="141"/>
      <c r="CA365" s="141"/>
      <c r="CB365" s="141"/>
      <c r="CC365" s="141"/>
      <c r="CD365" s="141"/>
      <c r="CE365" s="141"/>
      <c r="CF365" s="141"/>
      <c r="CG365" s="141"/>
      <c r="CH365" s="141"/>
      <c r="CI365" s="141"/>
      <c r="CJ365" s="141"/>
      <c r="CK365" s="141"/>
    </row>
    <row r="366" spans="74:89" ht="15" customHeight="1" x14ac:dyDescent="0.35">
      <c r="BV366" s="140"/>
      <c r="BY366" s="141"/>
      <c r="BZ366" s="141"/>
      <c r="CA366" s="141"/>
      <c r="CB366" s="141"/>
      <c r="CC366" s="141"/>
      <c r="CD366" s="141"/>
      <c r="CE366" s="141"/>
      <c r="CF366" s="141"/>
      <c r="CG366" s="141"/>
      <c r="CH366" s="141"/>
      <c r="CI366" s="141"/>
      <c r="CJ366" s="141"/>
      <c r="CK366" s="141"/>
    </row>
    <row r="367" spans="74:89" ht="15" customHeight="1" x14ac:dyDescent="0.35">
      <c r="BV367" s="140"/>
      <c r="BY367" s="141"/>
      <c r="BZ367" s="141"/>
      <c r="CA367" s="141"/>
      <c r="CB367" s="141"/>
      <c r="CC367" s="141"/>
      <c r="CD367" s="141"/>
      <c r="CE367" s="141"/>
      <c r="CF367" s="141"/>
      <c r="CG367" s="141"/>
      <c r="CH367" s="141"/>
      <c r="CI367" s="141"/>
      <c r="CJ367" s="141"/>
      <c r="CK367" s="141"/>
    </row>
    <row r="368" spans="74:89" ht="15" customHeight="1" x14ac:dyDescent="0.35">
      <c r="BV368" s="140"/>
      <c r="BY368" s="141"/>
      <c r="BZ368" s="141"/>
      <c r="CA368" s="141"/>
      <c r="CB368" s="141"/>
      <c r="CC368" s="141"/>
      <c r="CD368" s="141"/>
      <c r="CE368" s="141"/>
      <c r="CF368" s="141"/>
      <c r="CG368" s="141"/>
      <c r="CH368" s="141"/>
      <c r="CI368" s="141"/>
      <c r="CJ368" s="141"/>
      <c r="CK368" s="141"/>
    </row>
    <row r="369" spans="74:89" ht="15" customHeight="1" x14ac:dyDescent="0.35">
      <c r="BV369" s="140"/>
      <c r="BY369" s="141"/>
      <c r="BZ369" s="141"/>
      <c r="CA369" s="141"/>
      <c r="CB369" s="141"/>
      <c r="CC369" s="141"/>
      <c r="CD369" s="141"/>
      <c r="CE369" s="141"/>
      <c r="CF369" s="141"/>
      <c r="CG369" s="141"/>
      <c r="CH369" s="141"/>
      <c r="CI369" s="141"/>
      <c r="CJ369" s="141"/>
      <c r="CK369" s="141"/>
    </row>
    <row r="370" spans="74:89" ht="15" customHeight="1" x14ac:dyDescent="0.35">
      <c r="BV370" s="140"/>
      <c r="BY370" s="141"/>
      <c r="BZ370" s="141"/>
      <c r="CA370" s="141"/>
      <c r="CB370" s="141"/>
      <c r="CC370" s="141"/>
      <c r="CD370" s="141"/>
      <c r="CE370" s="141"/>
      <c r="CF370" s="141"/>
      <c r="CG370" s="141"/>
      <c r="CH370" s="141"/>
      <c r="CI370" s="141"/>
      <c r="CJ370" s="141"/>
      <c r="CK370" s="141"/>
    </row>
    <row r="371" spans="74:89" ht="15" customHeight="1" x14ac:dyDescent="0.35">
      <c r="BV371" s="140"/>
      <c r="BY371" s="141"/>
      <c r="BZ371" s="141"/>
      <c r="CA371" s="141"/>
      <c r="CB371" s="141"/>
      <c r="CC371" s="141"/>
      <c r="CD371" s="141"/>
      <c r="CE371" s="141"/>
      <c r="CF371" s="141"/>
      <c r="CG371" s="141"/>
      <c r="CH371" s="141"/>
      <c r="CI371" s="141"/>
      <c r="CJ371" s="141"/>
      <c r="CK371" s="141"/>
    </row>
    <row r="372" spans="74:89" ht="15" customHeight="1" x14ac:dyDescent="0.35">
      <c r="BV372" s="140"/>
      <c r="BY372" s="141"/>
      <c r="BZ372" s="141"/>
      <c r="CA372" s="141"/>
      <c r="CB372" s="141"/>
      <c r="CC372" s="141"/>
      <c r="CD372" s="141"/>
      <c r="CE372" s="141"/>
      <c r="CF372" s="141"/>
      <c r="CG372" s="141"/>
      <c r="CH372" s="141"/>
      <c r="CI372" s="141"/>
      <c r="CJ372" s="141"/>
      <c r="CK372" s="141"/>
    </row>
    <row r="373" spans="74:89" ht="15" customHeight="1" x14ac:dyDescent="0.35">
      <c r="BV373" s="140"/>
      <c r="BY373" s="141"/>
      <c r="BZ373" s="141"/>
      <c r="CA373" s="141"/>
      <c r="CB373" s="141"/>
      <c r="CC373" s="141"/>
      <c r="CD373" s="141"/>
      <c r="CE373" s="141"/>
      <c r="CF373" s="141"/>
      <c r="CG373" s="141"/>
      <c r="CH373" s="141"/>
      <c r="CI373" s="141"/>
      <c r="CJ373" s="141"/>
      <c r="CK373" s="141"/>
    </row>
    <row r="374" spans="74:89" ht="15" customHeight="1" x14ac:dyDescent="0.35">
      <c r="BV374" s="140"/>
      <c r="BY374" s="141"/>
      <c r="BZ374" s="141"/>
      <c r="CA374" s="141"/>
      <c r="CB374" s="141"/>
      <c r="CC374" s="141"/>
      <c r="CD374" s="141"/>
      <c r="CE374" s="141"/>
      <c r="CF374" s="141"/>
      <c r="CG374" s="141"/>
      <c r="CH374" s="141"/>
      <c r="CI374" s="141"/>
      <c r="CJ374" s="141"/>
      <c r="CK374" s="141"/>
    </row>
    <row r="375" spans="74:89" ht="15" customHeight="1" x14ac:dyDescent="0.35">
      <c r="BV375" s="140"/>
      <c r="BY375" s="141"/>
      <c r="BZ375" s="141"/>
      <c r="CA375" s="141"/>
      <c r="CB375" s="141"/>
      <c r="CC375" s="141"/>
      <c r="CD375" s="141"/>
      <c r="CE375" s="141"/>
      <c r="CF375" s="141"/>
      <c r="CG375" s="141"/>
      <c r="CH375" s="141"/>
      <c r="CI375" s="141"/>
      <c r="CJ375" s="141"/>
      <c r="CK375" s="141"/>
    </row>
    <row r="376" spans="74:89" ht="15" customHeight="1" x14ac:dyDescent="0.35">
      <c r="BV376" s="140"/>
      <c r="BY376" s="141"/>
      <c r="BZ376" s="141"/>
      <c r="CA376" s="141"/>
      <c r="CB376" s="141"/>
      <c r="CC376" s="141"/>
      <c r="CD376" s="141"/>
      <c r="CE376" s="141"/>
      <c r="CF376" s="141"/>
      <c r="CG376" s="141"/>
      <c r="CH376" s="141"/>
      <c r="CI376" s="141"/>
      <c r="CJ376" s="141"/>
      <c r="CK376" s="141"/>
    </row>
    <row r="377" spans="74:89" ht="15" customHeight="1" x14ac:dyDescent="0.35">
      <c r="BV377" s="140"/>
      <c r="BY377" s="141"/>
      <c r="BZ377" s="141"/>
      <c r="CA377" s="141"/>
      <c r="CB377" s="141"/>
      <c r="CC377" s="141"/>
      <c r="CD377" s="141"/>
      <c r="CE377" s="141"/>
      <c r="CF377" s="141"/>
      <c r="CG377" s="141"/>
      <c r="CH377" s="141"/>
      <c r="CI377" s="141"/>
      <c r="CJ377" s="141"/>
      <c r="CK377" s="141"/>
    </row>
    <row r="378" spans="74:89" ht="15" customHeight="1" x14ac:dyDescent="0.35">
      <c r="BV378" s="140"/>
      <c r="BY378" s="141"/>
      <c r="BZ378" s="141"/>
      <c r="CA378" s="141"/>
      <c r="CB378" s="141"/>
      <c r="CC378" s="141"/>
      <c r="CD378" s="141"/>
      <c r="CE378" s="141"/>
      <c r="CF378" s="141"/>
      <c r="CG378" s="141"/>
      <c r="CH378" s="141"/>
      <c r="CI378" s="141"/>
      <c r="CJ378" s="141"/>
      <c r="CK378" s="141"/>
    </row>
    <row r="379" spans="74:89" ht="15" customHeight="1" x14ac:dyDescent="0.35">
      <c r="BV379" s="140"/>
      <c r="BY379" s="141"/>
      <c r="BZ379" s="141"/>
      <c r="CA379" s="141"/>
      <c r="CB379" s="141"/>
      <c r="CC379" s="141"/>
      <c r="CD379" s="141"/>
      <c r="CE379" s="141"/>
      <c r="CF379" s="141"/>
      <c r="CG379" s="141"/>
      <c r="CH379" s="141"/>
      <c r="CI379" s="141"/>
      <c r="CJ379" s="141"/>
      <c r="CK379" s="141"/>
    </row>
    <row r="380" spans="74:89" ht="15" customHeight="1" x14ac:dyDescent="0.35">
      <c r="BV380" s="140"/>
      <c r="BY380" s="141"/>
      <c r="BZ380" s="141"/>
      <c r="CA380" s="141"/>
      <c r="CB380" s="141"/>
      <c r="CC380" s="141"/>
      <c r="CD380" s="141"/>
      <c r="CE380" s="141"/>
      <c r="CF380" s="141"/>
      <c r="CG380" s="141"/>
      <c r="CH380" s="141"/>
      <c r="CI380" s="141"/>
      <c r="CJ380" s="141"/>
      <c r="CK380" s="141"/>
    </row>
    <row r="381" spans="74:89" ht="15" customHeight="1" x14ac:dyDescent="0.35">
      <c r="BV381" s="140"/>
      <c r="BY381" s="141"/>
      <c r="BZ381" s="141"/>
      <c r="CA381" s="141"/>
      <c r="CB381" s="141"/>
      <c r="CC381" s="141"/>
      <c r="CD381" s="141"/>
      <c r="CE381" s="141"/>
      <c r="CF381" s="141"/>
      <c r="CG381" s="141"/>
      <c r="CH381" s="141"/>
      <c r="CI381" s="141"/>
      <c r="CJ381" s="141"/>
      <c r="CK381" s="141"/>
    </row>
    <row r="382" spans="74:89" ht="15" customHeight="1" x14ac:dyDescent="0.35">
      <c r="BV382" s="140"/>
      <c r="BY382" s="141"/>
      <c r="BZ382" s="141"/>
      <c r="CA382" s="141"/>
      <c r="CB382" s="141"/>
      <c r="CC382" s="141"/>
      <c r="CD382" s="141"/>
      <c r="CE382" s="141"/>
      <c r="CF382" s="141"/>
      <c r="CG382" s="141"/>
      <c r="CH382" s="141"/>
      <c r="CI382" s="141"/>
      <c r="CJ382" s="141"/>
      <c r="CK382" s="141"/>
    </row>
    <row r="383" spans="74:89" ht="15" customHeight="1" x14ac:dyDescent="0.35">
      <c r="BV383" s="140"/>
      <c r="BY383" s="141"/>
      <c r="BZ383" s="141"/>
      <c r="CA383" s="141"/>
      <c r="CB383" s="141"/>
      <c r="CC383" s="141"/>
      <c r="CD383" s="141"/>
      <c r="CE383" s="141"/>
      <c r="CF383" s="141"/>
      <c r="CG383" s="141"/>
      <c r="CH383" s="141"/>
      <c r="CI383" s="141"/>
      <c r="CJ383" s="141"/>
      <c r="CK383" s="141"/>
    </row>
    <row r="384" spans="74:89" ht="15" customHeight="1" x14ac:dyDescent="0.35">
      <c r="BV384" s="140"/>
      <c r="BY384" s="141"/>
      <c r="BZ384" s="141"/>
      <c r="CA384" s="141"/>
      <c r="CB384" s="141"/>
      <c r="CC384" s="141"/>
      <c r="CD384" s="141"/>
      <c r="CE384" s="141"/>
      <c r="CF384" s="141"/>
      <c r="CG384" s="141"/>
      <c r="CH384" s="141"/>
      <c r="CI384" s="141"/>
      <c r="CJ384" s="141"/>
      <c r="CK384" s="141"/>
    </row>
    <row r="385" spans="74:89" ht="15" customHeight="1" x14ac:dyDescent="0.35">
      <c r="BV385" s="140"/>
      <c r="BY385" s="141"/>
      <c r="BZ385" s="141"/>
      <c r="CA385" s="141"/>
      <c r="CB385" s="141"/>
      <c r="CC385" s="141"/>
      <c r="CD385" s="141"/>
      <c r="CE385" s="141"/>
      <c r="CF385" s="141"/>
      <c r="CG385" s="141"/>
      <c r="CH385" s="141"/>
      <c r="CI385" s="141"/>
      <c r="CJ385" s="141"/>
      <c r="CK385" s="141"/>
    </row>
    <row r="386" spans="74:89" ht="15" customHeight="1" x14ac:dyDescent="0.35">
      <c r="BV386" s="140"/>
      <c r="BY386" s="141"/>
      <c r="BZ386" s="141"/>
      <c r="CA386" s="141"/>
      <c r="CB386" s="141"/>
      <c r="CC386" s="141"/>
      <c r="CD386" s="141"/>
      <c r="CE386" s="141"/>
      <c r="CF386" s="141"/>
      <c r="CG386" s="141"/>
      <c r="CH386" s="141"/>
      <c r="CI386" s="141"/>
      <c r="CJ386" s="141"/>
      <c r="CK386" s="141"/>
    </row>
    <row r="387" spans="74:89" ht="15" customHeight="1" x14ac:dyDescent="0.35">
      <c r="BV387" s="140"/>
      <c r="BY387" s="141"/>
      <c r="BZ387" s="141"/>
      <c r="CA387" s="141"/>
      <c r="CB387" s="141"/>
      <c r="CC387" s="141"/>
      <c r="CD387" s="141"/>
      <c r="CE387" s="141"/>
      <c r="CF387" s="141"/>
      <c r="CG387" s="141"/>
      <c r="CH387" s="141"/>
      <c r="CI387" s="141"/>
      <c r="CJ387" s="141"/>
      <c r="CK387" s="141"/>
    </row>
    <row r="388" spans="74:89" ht="15" customHeight="1" x14ac:dyDescent="0.35">
      <c r="BV388" s="140"/>
      <c r="BY388" s="141"/>
      <c r="BZ388" s="141"/>
      <c r="CA388" s="141"/>
      <c r="CB388" s="141"/>
      <c r="CC388" s="141"/>
      <c r="CD388" s="141"/>
      <c r="CE388" s="141"/>
      <c r="CF388" s="141"/>
      <c r="CG388" s="141"/>
      <c r="CH388" s="141"/>
      <c r="CI388" s="141"/>
      <c r="CJ388" s="141"/>
      <c r="CK388" s="141"/>
    </row>
    <row r="389" spans="74:89" ht="15" customHeight="1" x14ac:dyDescent="0.35">
      <c r="BV389" s="140"/>
      <c r="BY389" s="141"/>
      <c r="BZ389" s="141"/>
      <c r="CA389" s="141"/>
      <c r="CB389" s="141"/>
      <c r="CC389" s="141"/>
      <c r="CD389" s="141"/>
      <c r="CE389" s="141"/>
      <c r="CF389" s="141"/>
      <c r="CG389" s="141"/>
      <c r="CH389" s="141"/>
      <c r="CI389" s="141"/>
      <c r="CJ389" s="141"/>
      <c r="CK389" s="141"/>
    </row>
    <row r="390" spans="74:89" ht="15" customHeight="1" x14ac:dyDescent="0.35">
      <c r="BV390" s="140"/>
      <c r="BY390" s="141"/>
      <c r="BZ390" s="141"/>
      <c r="CA390" s="141"/>
      <c r="CB390" s="141"/>
      <c r="CC390" s="141"/>
      <c r="CD390" s="141"/>
      <c r="CE390" s="141"/>
      <c r="CF390" s="141"/>
      <c r="CG390" s="141"/>
      <c r="CH390" s="141"/>
      <c r="CI390" s="141"/>
      <c r="CJ390" s="141"/>
      <c r="CK390" s="141"/>
    </row>
    <row r="391" spans="74:89" ht="15" customHeight="1" x14ac:dyDescent="0.35">
      <c r="BV391" s="140"/>
      <c r="BY391" s="141"/>
      <c r="BZ391" s="141"/>
      <c r="CA391" s="141"/>
      <c r="CB391" s="141"/>
      <c r="CC391" s="141"/>
      <c r="CD391" s="141"/>
      <c r="CE391" s="141"/>
      <c r="CF391" s="141"/>
      <c r="CG391" s="141"/>
      <c r="CH391" s="141"/>
      <c r="CI391" s="141"/>
      <c r="CJ391" s="141"/>
      <c r="CK391" s="141"/>
    </row>
    <row r="392" spans="74:89" ht="15" customHeight="1" x14ac:dyDescent="0.35">
      <c r="BV392" s="140"/>
      <c r="BY392" s="141"/>
      <c r="BZ392" s="141"/>
      <c r="CA392" s="141"/>
      <c r="CB392" s="141"/>
      <c r="CC392" s="141"/>
      <c r="CD392" s="141"/>
      <c r="CE392" s="141"/>
      <c r="CF392" s="141"/>
      <c r="CG392" s="141"/>
      <c r="CH392" s="141"/>
      <c r="CI392" s="141"/>
      <c r="CJ392" s="141"/>
      <c r="CK392" s="141"/>
    </row>
    <row r="393" spans="74:89" ht="15" customHeight="1" x14ac:dyDescent="0.35">
      <c r="BV393" s="140"/>
      <c r="BY393" s="141"/>
      <c r="BZ393" s="141"/>
      <c r="CA393" s="141"/>
      <c r="CB393" s="141"/>
      <c r="CC393" s="141"/>
      <c r="CD393" s="141"/>
      <c r="CE393" s="141"/>
      <c r="CF393" s="141"/>
      <c r="CG393" s="141"/>
      <c r="CH393" s="141"/>
      <c r="CI393" s="141"/>
      <c r="CJ393" s="141"/>
      <c r="CK393" s="141"/>
    </row>
    <row r="394" spans="74:89" ht="15" customHeight="1" x14ac:dyDescent="0.35">
      <c r="BV394" s="140"/>
      <c r="BY394" s="141"/>
      <c r="BZ394" s="141"/>
      <c r="CA394" s="141"/>
      <c r="CB394" s="141"/>
      <c r="CC394" s="141"/>
      <c r="CD394" s="141"/>
      <c r="CE394" s="141"/>
      <c r="CF394" s="141"/>
      <c r="CG394" s="141"/>
      <c r="CH394" s="141"/>
      <c r="CI394" s="141"/>
      <c r="CJ394" s="141"/>
      <c r="CK394" s="141"/>
    </row>
    <row r="395" spans="74:89" ht="15" customHeight="1" x14ac:dyDescent="0.35">
      <c r="BV395" s="140"/>
      <c r="BY395" s="141"/>
      <c r="BZ395" s="141"/>
      <c r="CA395" s="141"/>
      <c r="CB395" s="141"/>
      <c r="CC395" s="141"/>
      <c r="CD395" s="141"/>
      <c r="CE395" s="141"/>
      <c r="CF395" s="141"/>
      <c r="CG395" s="141"/>
      <c r="CH395" s="141"/>
      <c r="CI395" s="141"/>
      <c r="CJ395" s="141"/>
      <c r="CK395" s="141"/>
    </row>
    <row r="396" spans="74:89" ht="15" customHeight="1" x14ac:dyDescent="0.35">
      <c r="BV396" s="140"/>
      <c r="BY396" s="141"/>
      <c r="BZ396" s="141"/>
      <c r="CA396" s="141"/>
      <c r="CB396" s="141"/>
      <c r="CC396" s="141"/>
      <c r="CD396" s="141"/>
      <c r="CE396" s="141"/>
      <c r="CF396" s="141"/>
      <c r="CG396" s="141"/>
      <c r="CH396" s="141"/>
      <c r="CI396" s="141"/>
      <c r="CJ396" s="141"/>
      <c r="CK396" s="141"/>
    </row>
    <row r="397" spans="74:89" ht="15" customHeight="1" x14ac:dyDescent="0.35">
      <c r="BV397" s="140"/>
      <c r="BY397" s="141"/>
      <c r="BZ397" s="141"/>
      <c r="CA397" s="141"/>
      <c r="CB397" s="141"/>
      <c r="CC397" s="141"/>
      <c r="CD397" s="141"/>
      <c r="CE397" s="141"/>
      <c r="CF397" s="141"/>
      <c r="CG397" s="141"/>
      <c r="CH397" s="141"/>
      <c r="CI397" s="141"/>
      <c r="CJ397" s="141"/>
      <c r="CK397" s="141"/>
    </row>
    <row r="398" spans="74:89" ht="15" customHeight="1" x14ac:dyDescent="0.35">
      <c r="BV398" s="140"/>
      <c r="BY398" s="141"/>
      <c r="BZ398" s="141"/>
      <c r="CA398" s="141"/>
      <c r="CB398" s="141"/>
      <c r="CC398" s="141"/>
      <c r="CD398" s="141"/>
      <c r="CE398" s="141"/>
      <c r="CF398" s="141"/>
      <c r="CG398" s="141"/>
      <c r="CH398" s="141"/>
      <c r="CI398" s="141"/>
      <c r="CJ398" s="141"/>
      <c r="CK398" s="141"/>
    </row>
    <row r="399" spans="74:89" ht="15" customHeight="1" x14ac:dyDescent="0.35">
      <c r="BV399" s="140"/>
      <c r="BY399" s="141"/>
      <c r="BZ399" s="141"/>
      <c r="CA399" s="141"/>
      <c r="CB399" s="141"/>
      <c r="CC399" s="141"/>
      <c r="CD399" s="141"/>
      <c r="CE399" s="141"/>
      <c r="CF399" s="141"/>
      <c r="CG399" s="141"/>
      <c r="CH399" s="141"/>
      <c r="CI399" s="141"/>
      <c r="CJ399" s="141"/>
      <c r="CK399" s="141"/>
    </row>
    <row r="400" spans="74:89" ht="15" customHeight="1" x14ac:dyDescent="0.35">
      <c r="BV400" s="140"/>
      <c r="BY400" s="141"/>
      <c r="BZ400" s="141"/>
      <c r="CA400" s="141"/>
      <c r="CB400" s="141"/>
      <c r="CC400" s="141"/>
      <c r="CD400" s="141"/>
      <c r="CE400" s="141"/>
      <c r="CF400" s="141"/>
      <c r="CG400" s="141"/>
      <c r="CH400" s="141"/>
      <c r="CI400" s="141"/>
      <c r="CJ400" s="141"/>
      <c r="CK400" s="141"/>
    </row>
    <row r="401" spans="74:89" ht="15" customHeight="1" x14ac:dyDescent="0.35">
      <c r="BV401" s="140"/>
      <c r="BY401" s="141"/>
      <c r="BZ401" s="141"/>
      <c r="CA401" s="141"/>
      <c r="CB401" s="141"/>
      <c r="CC401" s="141"/>
      <c r="CD401" s="141"/>
      <c r="CE401" s="141"/>
      <c r="CF401" s="141"/>
      <c r="CG401" s="141"/>
      <c r="CH401" s="141"/>
      <c r="CI401" s="141"/>
      <c r="CJ401" s="141"/>
      <c r="CK401" s="141"/>
    </row>
    <row r="402" spans="74:89" ht="15" customHeight="1" x14ac:dyDescent="0.35">
      <c r="BV402" s="140"/>
      <c r="BY402" s="141"/>
      <c r="BZ402" s="141"/>
      <c r="CA402" s="141"/>
      <c r="CB402" s="141"/>
      <c r="CC402" s="141"/>
      <c r="CD402" s="141"/>
      <c r="CE402" s="141"/>
      <c r="CF402" s="141"/>
      <c r="CG402" s="141"/>
      <c r="CH402" s="141"/>
      <c r="CI402" s="141"/>
      <c r="CJ402" s="141"/>
      <c r="CK402" s="141"/>
    </row>
    <row r="403" spans="74:89" ht="15" customHeight="1" x14ac:dyDescent="0.35">
      <c r="BV403" s="140"/>
      <c r="BY403" s="141"/>
      <c r="BZ403" s="141"/>
      <c r="CA403" s="141"/>
      <c r="CB403" s="141"/>
      <c r="CC403" s="141"/>
      <c r="CD403" s="141"/>
      <c r="CE403" s="141"/>
      <c r="CF403" s="141"/>
      <c r="CG403" s="141"/>
      <c r="CH403" s="141"/>
      <c r="CI403" s="141"/>
      <c r="CJ403" s="141"/>
      <c r="CK403" s="141"/>
    </row>
    <row r="404" spans="74:89" ht="15" customHeight="1" x14ac:dyDescent="0.35">
      <c r="BV404" s="140"/>
      <c r="BY404" s="141"/>
      <c r="BZ404" s="141"/>
      <c r="CA404" s="141"/>
      <c r="CB404" s="141"/>
      <c r="CC404" s="141"/>
      <c r="CD404" s="141"/>
      <c r="CE404" s="141"/>
      <c r="CF404" s="141"/>
      <c r="CG404" s="141"/>
      <c r="CH404" s="141"/>
      <c r="CI404" s="141"/>
      <c r="CJ404" s="141"/>
      <c r="CK404" s="141"/>
    </row>
    <row r="405" spans="74:89" ht="15" customHeight="1" x14ac:dyDescent="0.35">
      <c r="BV405" s="140"/>
      <c r="BY405" s="141"/>
      <c r="BZ405" s="141"/>
      <c r="CA405" s="141"/>
      <c r="CB405" s="141"/>
      <c r="CC405" s="141"/>
      <c r="CD405" s="141"/>
      <c r="CE405" s="141"/>
      <c r="CF405" s="141"/>
      <c r="CG405" s="141"/>
      <c r="CH405" s="141"/>
      <c r="CI405" s="141"/>
      <c r="CJ405" s="141"/>
      <c r="CK405" s="141"/>
    </row>
    <row r="406" spans="74:89" ht="15" customHeight="1" x14ac:dyDescent="0.35">
      <c r="BV406" s="140"/>
      <c r="BY406" s="141"/>
      <c r="BZ406" s="141"/>
      <c r="CA406" s="141"/>
      <c r="CB406" s="141"/>
      <c r="CC406" s="141"/>
      <c r="CD406" s="141"/>
      <c r="CE406" s="141"/>
      <c r="CF406" s="141"/>
      <c r="CG406" s="141"/>
      <c r="CH406" s="141"/>
      <c r="CI406" s="141"/>
      <c r="CJ406" s="141"/>
      <c r="CK406" s="141"/>
    </row>
    <row r="407" spans="74:89" ht="15" customHeight="1" x14ac:dyDescent="0.35">
      <c r="BV407" s="140"/>
      <c r="BY407" s="141"/>
      <c r="BZ407" s="141"/>
      <c r="CA407" s="141"/>
      <c r="CB407" s="141"/>
      <c r="CC407" s="141"/>
      <c r="CD407" s="141"/>
      <c r="CE407" s="141"/>
      <c r="CF407" s="141"/>
      <c r="CG407" s="141"/>
      <c r="CH407" s="141"/>
      <c r="CI407" s="141"/>
      <c r="CJ407" s="141"/>
      <c r="CK407" s="141"/>
    </row>
    <row r="408" spans="74:89" ht="15" customHeight="1" x14ac:dyDescent="0.35">
      <c r="BV408" s="140"/>
      <c r="BY408" s="141"/>
      <c r="BZ408" s="141"/>
      <c r="CA408" s="141"/>
      <c r="CB408" s="141"/>
      <c r="CC408" s="141"/>
      <c r="CD408" s="141"/>
      <c r="CE408" s="141"/>
      <c r="CF408" s="141"/>
      <c r="CG408" s="141"/>
      <c r="CH408" s="141"/>
      <c r="CI408" s="141"/>
      <c r="CJ408" s="141"/>
      <c r="CK408" s="141"/>
    </row>
    <row r="409" spans="74:89" ht="15" customHeight="1" x14ac:dyDescent="0.35">
      <c r="BV409" s="140"/>
      <c r="BY409" s="141"/>
      <c r="BZ409" s="141"/>
      <c r="CA409" s="141"/>
      <c r="CB409" s="141"/>
      <c r="CC409" s="141"/>
      <c r="CD409" s="141"/>
      <c r="CE409" s="141"/>
      <c r="CF409" s="141"/>
      <c r="CG409" s="141"/>
      <c r="CH409" s="141"/>
      <c r="CI409" s="141"/>
      <c r="CJ409" s="141"/>
      <c r="CK409" s="141"/>
    </row>
    <row r="410" spans="74:89" ht="15" customHeight="1" x14ac:dyDescent="0.35">
      <c r="BV410" s="140"/>
      <c r="BY410" s="141"/>
      <c r="BZ410" s="141"/>
      <c r="CA410" s="141"/>
      <c r="CB410" s="141"/>
      <c r="CC410" s="141"/>
      <c r="CD410" s="141"/>
      <c r="CE410" s="141"/>
      <c r="CF410" s="141"/>
      <c r="CG410" s="141"/>
      <c r="CH410" s="141"/>
      <c r="CI410" s="141"/>
      <c r="CJ410" s="141"/>
      <c r="CK410" s="141"/>
    </row>
    <row r="411" spans="74:89" ht="15" customHeight="1" x14ac:dyDescent="0.35">
      <c r="BV411" s="140"/>
      <c r="BY411" s="141"/>
      <c r="BZ411" s="141"/>
      <c r="CA411" s="141"/>
      <c r="CB411" s="141"/>
      <c r="CC411" s="141"/>
      <c r="CD411" s="141"/>
      <c r="CE411" s="141"/>
      <c r="CF411" s="141"/>
      <c r="CG411" s="141"/>
      <c r="CH411" s="141"/>
      <c r="CI411" s="141"/>
      <c r="CJ411" s="141"/>
      <c r="CK411" s="141"/>
    </row>
    <row r="412" spans="74:89" ht="15" customHeight="1" x14ac:dyDescent="0.35">
      <c r="BV412" s="140"/>
      <c r="BY412" s="141"/>
      <c r="BZ412" s="141"/>
      <c r="CA412" s="141"/>
      <c r="CB412" s="141"/>
      <c r="CC412" s="141"/>
      <c r="CD412" s="141"/>
      <c r="CE412" s="141"/>
      <c r="CF412" s="141"/>
      <c r="CG412" s="141"/>
      <c r="CH412" s="141"/>
      <c r="CI412" s="141"/>
      <c r="CJ412" s="141"/>
      <c r="CK412" s="141"/>
    </row>
    <row r="413" spans="74:89" ht="15" customHeight="1" x14ac:dyDescent="0.35">
      <c r="BV413" s="140"/>
      <c r="BY413" s="141"/>
      <c r="BZ413" s="141"/>
      <c r="CA413" s="141"/>
      <c r="CB413" s="141"/>
      <c r="CC413" s="141"/>
      <c r="CD413" s="141"/>
      <c r="CE413" s="141"/>
      <c r="CF413" s="141"/>
      <c r="CG413" s="141"/>
      <c r="CH413" s="141"/>
      <c r="CI413" s="141"/>
      <c r="CJ413" s="141"/>
      <c r="CK413" s="141"/>
    </row>
    <row r="414" spans="74:89" ht="15" customHeight="1" x14ac:dyDescent="0.35">
      <c r="BV414" s="140"/>
      <c r="BY414" s="141"/>
      <c r="BZ414" s="141"/>
      <c r="CA414" s="141"/>
      <c r="CB414" s="141"/>
      <c r="CC414" s="141"/>
      <c r="CD414" s="141"/>
      <c r="CE414" s="141"/>
      <c r="CF414" s="141"/>
      <c r="CG414" s="141"/>
      <c r="CH414" s="141"/>
      <c r="CI414" s="141"/>
      <c r="CJ414" s="141"/>
      <c r="CK414" s="141"/>
    </row>
    <row r="415" spans="74:89" ht="15" customHeight="1" x14ac:dyDescent="0.35">
      <c r="BV415" s="140"/>
      <c r="BY415" s="141"/>
      <c r="BZ415" s="141"/>
      <c r="CA415" s="141"/>
      <c r="CB415" s="141"/>
      <c r="CC415" s="141"/>
      <c r="CD415" s="141"/>
      <c r="CE415" s="141"/>
      <c r="CF415" s="141"/>
      <c r="CG415" s="141"/>
      <c r="CH415" s="141"/>
      <c r="CI415" s="141"/>
      <c r="CJ415" s="141"/>
      <c r="CK415" s="141"/>
    </row>
    <row r="416" spans="74:89" ht="15" customHeight="1" x14ac:dyDescent="0.35">
      <c r="BV416" s="140"/>
      <c r="BY416" s="141"/>
      <c r="BZ416" s="141"/>
      <c r="CA416" s="141"/>
      <c r="CB416" s="141"/>
      <c r="CC416" s="141"/>
      <c r="CD416" s="141"/>
      <c r="CE416" s="141"/>
      <c r="CF416" s="141"/>
      <c r="CG416" s="141"/>
      <c r="CH416" s="141"/>
      <c r="CI416" s="141"/>
      <c r="CJ416" s="141"/>
      <c r="CK416" s="141"/>
    </row>
    <row r="417" spans="74:89" ht="15" customHeight="1" x14ac:dyDescent="0.35">
      <c r="BV417" s="140"/>
      <c r="BY417" s="141"/>
      <c r="BZ417" s="141"/>
      <c r="CA417" s="141"/>
      <c r="CB417" s="141"/>
      <c r="CC417" s="141"/>
      <c r="CD417" s="141"/>
      <c r="CE417" s="141"/>
      <c r="CF417" s="141"/>
      <c r="CG417" s="141"/>
      <c r="CH417" s="141"/>
      <c r="CI417" s="141"/>
      <c r="CJ417" s="141"/>
      <c r="CK417" s="141"/>
    </row>
    <row r="418" spans="74:89" ht="15" customHeight="1" x14ac:dyDescent="0.35">
      <c r="BV418" s="140"/>
      <c r="BY418" s="141"/>
      <c r="BZ418" s="141"/>
      <c r="CA418" s="141"/>
      <c r="CB418" s="141"/>
      <c r="CC418" s="141"/>
      <c r="CD418" s="141"/>
      <c r="CE418" s="141"/>
      <c r="CF418" s="141"/>
      <c r="CG418" s="141"/>
      <c r="CH418" s="141"/>
      <c r="CI418" s="141"/>
      <c r="CJ418" s="141"/>
      <c r="CK418" s="141"/>
    </row>
    <row r="419" spans="74:89" ht="15" customHeight="1" x14ac:dyDescent="0.35">
      <c r="BV419" s="140"/>
      <c r="BY419" s="141"/>
      <c r="BZ419" s="141"/>
      <c r="CA419" s="141"/>
      <c r="CB419" s="141"/>
      <c r="CC419" s="141"/>
      <c r="CD419" s="141"/>
      <c r="CE419" s="141"/>
      <c r="CF419" s="141"/>
      <c r="CG419" s="141"/>
      <c r="CH419" s="141"/>
      <c r="CI419" s="141"/>
      <c r="CJ419" s="141"/>
      <c r="CK419" s="141"/>
    </row>
    <row r="420" spans="74:89" ht="15" customHeight="1" x14ac:dyDescent="0.35">
      <c r="BV420" s="140"/>
      <c r="BY420" s="141"/>
      <c r="BZ420" s="141"/>
      <c r="CA420" s="141"/>
      <c r="CB420" s="141"/>
      <c r="CC420" s="141"/>
      <c r="CD420" s="141"/>
      <c r="CE420" s="141"/>
      <c r="CF420" s="141"/>
      <c r="CG420" s="141"/>
      <c r="CH420" s="141"/>
      <c r="CI420" s="141"/>
      <c r="CJ420" s="141"/>
      <c r="CK420" s="141"/>
    </row>
    <row r="421" spans="74:89" ht="15" customHeight="1" x14ac:dyDescent="0.35">
      <c r="BV421" s="140"/>
      <c r="BY421" s="141"/>
      <c r="BZ421" s="141"/>
      <c r="CA421" s="141"/>
      <c r="CB421" s="141"/>
      <c r="CC421" s="141"/>
      <c r="CD421" s="141"/>
      <c r="CE421" s="141"/>
      <c r="CF421" s="141"/>
      <c r="CG421" s="141"/>
      <c r="CH421" s="141"/>
      <c r="CI421" s="141"/>
      <c r="CJ421" s="141"/>
      <c r="CK421" s="141"/>
    </row>
    <row r="422" spans="74:89" ht="15" customHeight="1" x14ac:dyDescent="0.35">
      <c r="BV422" s="140"/>
      <c r="BY422" s="141"/>
      <c r="BZ422" s="141"/>
      <c r="CA422" s="141"/>
      <c r="CB422" s="141"/>
      <c r="CC422" s="141"/>
      <c r="CD422" s="141"/>
      <c r="CE422" s="141"/>
      <c r="CF422" s="141"/>
      <c r="CG422" s="141"/>
      <c r="CH422" s="141"/>
      <c r="CI422" s="141"/>
      <c r="CJ422" s="141"/>
      <c r="CK422" s="141"/>
    </row>
    <row r="423" spans="74:89" ht="15" customHeight="1" x14ac:dyDescent="0.35">
      <c r="BV423" s="140"/>
      <c r="BY423" s="141"/>
      <c r="BZ423" s="141"/>
      <c r="CA423" s="141"/>
      <c r="CB423" s="141"/>
      <c r="CC423" s="141"/>
      <c r="CD423" s="141"/>
      <c r="CE423" s="141"/>
      <c r="CF423" s="141"/>
      <c r="CG423" s="141"/>
      <c r="CH423" s="141"/>
      <c r="CI423" s="141"/>
      <c r="CJ423" s="141"/>
      <c r="CK423" s="141"/>
    </row>
    <row r="424" spans="74:89" ht="15" customHeight="1" x14ac:dyDescent="0.35">
      <c r="BV424" s="140"/>
      <c r="BY424" s="141"/>
      <c r="BZ424" s="141"/>
      <c r="CA424" s="141"/>
      <c r="CB424" s="141"/>
      <c r="CC424" s="141"/>
      <c r="CD424" s="141"/>
      <c r="CE424" s="141"/>
      <c r="CF424" s="141"/>
      <c r="CG424" s="141"/>
      <c r="CH424" s="141"/>
      <c r="CI424" s="141"/>
      <c r="CJ424" s="141"/>
      <c r="CK424" s="141"/>
    </row>
    <row r="425" spans="74:89" ht="15" customHeight="1" x14ac:dyDescent="0.35">
      <c r="BV425" s="140"/>
      <c r="BY425" s="141"/>
      <c r="BZ425" s="141"/>
      <c r="CA425" s="141"/>
      <c r="CB425" s="141"/>
      <c r="CC425" s="141"/>
      <c r="CD425" s="141"/>
      <c r="CE425" s="141"/>
      <c r="CF425" s="141"/>
      <c r="CG425" s="141"/>
      <c r="CH425" s="141"/>
      <c r="CI425" s="141"/>
      <c r="CJ425" s="141"/>
      <c r="CK425" s="141"/>
    </row>
    <row r="426" spans="74:89" ht="15" customHeight="1" x14ac:dyDescent="0.35">
      <c r="BV426" s="140"/>
      <c r="BY426" s="141"/>
      <c r="BZ426" s="141"/>
      <c r="CA426" s="141"/>
      <c r="CB426" s="141"/>
      <c r="CC426" s="141"/>
      <c r="CD426" s="141"/>
      <c r="CE426" s="141"/>
      <c r="CF426" s="141"/>
      <c r="CG426" s="141"/>
      <c r="CH426" s="141"/>
      <c r="CI426" s="141"/>
      <c r="CJ426" s="141"/>
      <c r="CK426" s="141"/>
    </row>
    <row r="427" spans="74:89" ht="15" customHeight="1" x14ac:dyDescent="0.35">
      <c r="BV427" s="140"/>
      <c r="BY427" s="141"/>
      <c r="BZ427" s="141"/>
      <c r="CA427" s="141"/>
      <c r="CB427" s="141"/>
      <c r="CC427" s="141"/>
      <c r="CD427" s="141"/>
      <c r="CE427" s="141"/>
      <c r="CF427" s="141"/>
      <c r="CG427" s="141"/>
      <c r="CH427" s="141"/>
      <c r="CI427" s="141"/>
      <c r="CJ427" s="141"/>
      <c r="CK427" s="141"/>
    </row>
    <row r="428" spans="74:89" ht="15" customHeight="1" x14ac:dyDescent="0.35">
      <c r="BV428" s="140"/>
      <c r="BY428" s="141"/>
      <c r="BZ428" s="141"/>
      <c r="CA428" s="141"/>
      <c r="CB428" s="141"/>
      <c r="CC428" s="141"/>
      <c r="CD428" s="141"/>
      <c r="CE428" s="141"/>
      <c r="CF428" s="141"/>
      <c r="CG428" s="141"/>
      <c r="CH428" s="141"/>
      <c r="CI428" s="141"/>
      <c r="CJ428" s="141"/>
      <c r="CK428" s="141"/>
    </row>
    <row r="429" spans="74:89" ht="15" customHeight="1" x14ac:dyDescent="0.35">
      <c r="BV429" s="140"/>
      <c r="BY429" s="141"/>
      <c r="BZ429" s="141"/>
      <c r="CA429" s="141"/>
      <c r="CB429" s="141"/>
      <c r="CC429" s="141"/>
      <c r="CD429" s="141"/>
      <c r="CE429" s="141"/>
      <c r="CF429" s="141"/>
      <c r="CG429" s="141"/>
      <c r="CH429" s="141"/>
      <c r="CI429" s="141"/>
      <c r="CJ429" s="141"/>
      <c r="CK429" s="141"/>
    </row>
    <row r="430" spans="74:89" ht="15" customHeight="1" x14ac:dyDescent="0.35">
      <c r="BV430" s="140"/>
      <c r="BY430" s="141"/>
      <c r="BZ430" s="141"/>
      <c r="CA430" s="141"/>
      <c r="CB430" s="141"/>
      <c r="CC430" s="141"/>
      <c r="CD430" s="141"/>
      <c r="CE430" s="141"/>
      <c r="CF430" s="141"/>
      <c r="CG430" s="141"/>
      <c r="CH430" s="141"/>
      <c r="CI430" s="141"/>
      <c r="CJ430" s="141"/>
      <c r="CK430" s="141"/>
    </row>
    <row r="431" spans="74:89" ht="15" customHeight="1" x14ac:dyDescent="0.35">
      <c r="BV431" s="140"/>
      <c r="BY431" s="141"/>
      <c r="BZ431" s="141"/>
      <c r="CA431" s="141"/>
      <c r="CB431" s="141"/>
      <c r="CC431" s="141"/>
      <c r="CD431" s="141"/>
      <c r="CE431" s="141"/>
      <c r="CF431" s="141"/>
      <c r="CG431" s="141"/>
      <c r="CH431" s="141"/>
      <c r="CI431" s="141"/>
      <c r="CJ431" s="141"/>
      <c r="CK431" s="141"/>
    </row>
    <row r="432" spans="74:89" ht="15" customHeight="1" x14ac:dyDescent="0.35">
      <c r="BV432" s="140"/>
      <c r="BY432" s="141"/>
      <c r="BZ432" s="141"/>
      <c r="CA432" s="141"/>
      <c r="CB432" s="141"/>
      <c r="CC432" s="141"/>
      <c r="CD432" s="141"/>
      <c r="CE432" s="141"/>
      <c r="CF432" s="141"/>
      <c r="CG432" s="141"/>
      <c r="CH432" s="141"/>
      <c r="CI432" s="141"/>
      <c r="CJ432" s="141"/>
      <c r="CK432" s="141"/>
    </row>
    <row r="433" spans="74:89" ht="15" customHeight="1" x14ac:dyDescent="0.35">
      <c r="BV433" s="140"/>
      <c r="BY433" s="141"/>
      <c r="BZ433" s="141"/>
      <c r="CA433" s="141"/>
      <c r="CB433" s="141"/>
      <c r="CC433" s="141"/>
      <c r="CD433" s="141"/>
      <c r="CE433" s="141"/>
      <c r="CF433" s="141"/>
      <c r="CG433" s="141"/>
      <c r="CH433" s="141"/>
      <c r="CI433" s="141"/>
      <c r="CJ433" s="141"/>
      <c r="CK433" s="141"/>
    </row>
    <row r="434" spans="74:89" ht="15" customHeight="1" x14ac:dyDescent="0.35">
      <c r="BV434" s="140"/>
      <c r="BY434" s="141"/>
      <c r="BZ434" s="141"/>
      <c r="CA434" s="141"/>
      <c r="CB434" s="141"/>
      <c r="CC434" s="141"/>
      <c r="CD434" s="141"/>
      <c r="CE434" s="141"/>
      <c r="CF434" s="141"/>
      <c r="CG434" s="141"/>
      <c r="CH434" s="141"/>
      <c r="CI434" s="141"/>
      <c r="CJ434" s="141"/>
      <c r="CK434" s="141"/>
    </row>
    <row r="435" spans="74:89" ht="15" customHeight="1" x14ac:dyDescent="0.35">
      <c r="BV435" s="140"/>
      <c r="BY435" s="141"/>
      <c r="BZ435" s="141"/>
      <c r="CA435" s="141"/>
      <c r="CB435" s="141"/>
      <c r="CC435" s="141"/>
      <c r="CD435" s="141"/>
      <c r="CE435" s="141"/>
      <c r="CF435" s="141"/>
      <c r="CG435" s="141"/>
      <c r="CH435" s="141"/>
      <c r="CI435" s="141"/>
      <c r="CJ435" s="141"/>
      <c r="CK435" s="141"/>
    </row>
    <row r="436" spans="74:89" ht="15" customHeight="1" x14ac:dyDescent="0.35">
      <c r="BV436" s="140"/>
      <c r="BY436" s="141"/>
      <c r="BZ436" s="141"/>
      <c r="CA436" s="141"/>
      <c r="CB436" s="141"/>
      <c r="CC436" s="141"/>
      <c r="CD436" s="141"/>
      <c r="CE436" s="141"/>
      <c r="CF436" s="141"/>
      <c r="CG436" s="141"/>
      <c r="CH436" s="141"/>
      <c r="CI436" s="141"/>
      <c r="CJ436" s="141"/>
      <c r="CK436" s="141"/>
    </row>
    <row r="437" spans="74:89" ht="15" customHeight="1" x14ac:dyDescent="0.35">
      <c r="BV437" s="140"/>
      <c r="BY437" s="141"/>
      <c r="BZ437" s="141"/>
      <c r="CA437" s="141"/>
      <c r="CB437" s="141"/>
      <c r="CC437" s="141"/>
      <c r="CD437" s="141"/>
      <c r="CE437" s="141"/>
      <c r="CF437" s="141"/>
      <c r="CG437" s="141"/>
      <c r="CH437" s="141"/>
      <c r="CI437" s="141"/>
      <c r="CJ437" s="141"/>
      <c r="CK437" s="141"/>
    </row>
    <row r="438" spans="74:89" ht="15" customHeight="1" x14ac:dyDescent="0.35">
      <c r="BV438" s="140"/>
      <c r="BY438" s="141"/>
      <c r="BZ438" s="141"/>
      <c r="CA438" s="141"/>
      <c r="CB438" s="141"/>
      <c r="CC438" s="141"/>
      <c r="CD438" s="141"/>
      <c r="CE438" s="141"/>
      <c r="CF438" s="141"/>
      <c r="CG438" s="141"/>
      <c r="CH438" s="141"/>
      <c r="CI438" s="141"/>
      <c r="CJ438" s="141"/>
      <c r="CK438" s="141"/>
    </row>
    <row r="439" spans="74:89" ht="15" customHeight="1" x14ac:dyDescent="0.35">
      <c r="BV439" s="140"/>
      <c r="BY439" s="141"/>
      <c r="BZ439" s="141"/>
      <c r="CA439" s="141"/>
      <c r="CB439" s="141"/>
      <c r="CC439" s="141"/>
      <c r="CD439" s="141"/>
      <c r="CE439" s="141"/>
      <c r="CF439" s="141"/>
      <c r="CG439" s="141"/>
      <c r="CH439" s="141"/>
      <c r="CI439" s="141"/>
      <c r="CJ439" s="141"/>
      <c r="CK439" s="141"/>
    </row>
    <row r="440" spans="74:89" ht="15" customHeight="1" x14ac:dyDescent="0.35">
      <c r="BV440" s="140"/>
      <c r="BY440" s="141"/>
      <c r="BZ440" s="141"/>
      <c r="CA440" s="141"/>
      <c r="CB440" s="141"/>
      <c r="CC440" s="141"/>
      <c r="CD440" s="141"/>
      <c r="CE440" s="141"/>
      <c r="CF440" s="141"/>
      <c r="CG440" s="141"/>
      <c r="CH440" s="141"/>
      <c r="CI440" s="141"/>
      <c r="CJ440" s="141"/>
      <c r="CK440" s="141"/>
    </row>
    <row r="441" spans="74:89" ht="15" customHeight="1" x14ac:dyDescent="0.35">
      <c r="BV441" s="140"/>
      <c r="BY441" s="141"/>
      <c r="BZ441" s="141"/>
      <c r="CA441" s="141"/>
      <c r="CB441" s="141"/>
      <c r="CC441" s="141"/>
      <c r="CD441" s="141"/>
      <c r="CE441" s="141"/>
      <c r="CF441" s="141"/>
      <c r="CG441" s="141"/>
      <c r="CH441" s="141"/>
      <c r="CI441" s="141"/>
      <c r="CJ441" s="141"/>
      <c r="CK441" s="141"/>
    </row>
    <row r="442" spans="74:89" ht="15" customHeight="1" x14ac:dyDescent="0.35">
      <c r="BV442" s="140"/>
      <c r="BY442" s="141"/>
      <c r="BZ442" s="141"/>
      <c r="CA442" s="141"/>
      <c r="CB442" s="141"/>
      <c r="CC442" s="141"/>
      <c r="CD442" s="141"/>
      <c r="CE442" s="141"/>
      <c r="CF442" s="141"/>
      <c r="CG442" s="141"/>
      <c r="CH442" s="141"/>
      <c r="CI442" s="141"/>
      <c r="CJ442" s="141"/>
      <c r="CK442" s="141"/>
    </row>
    <row r="443" spans="74:89" ht="15" customHeight="1" x14ac:dyDescent="0.35">
      <c r="BV443" s="140"/>
      <c r="BY443" s="141"/>
      <c r="BZ443" s="141"/>
      <c r="CA443" s="141"/>
      <c r="CB443" s="141"/>
      <c r="CC443" s="141"/>
      <c r="CD443" s="141"/>
      <c r="CE443" s="141"/>
      <c r="CF443" s="141"/>
      <c r="CG443" s="141"/>
      <c r="CH443" s="141"/>
      <c r="CI443" s="141"/>
      <c r="CJ443" s="141"/>
      <c r="CK443" s="141"/>
    </row>
    <row r="444" spans="74:89" ht="15" customHeight="1" x14ac:dyDescent="0.35">
      <c r="BV444" s="140"/>
      <c r="BY444" s="141"/>
      <c r="BZ444" s="141"/>
      <c r="CA444" s="141"/>
      <c r="CB444" s="141"/>
      <c r="CC444" s="141"/>
      <c r="CD444" s="141"/>
      <c r="CE444" s="141"/>
      <c r="CF444" s="141"/>
      <c r="CG444" s="141"/>
      <c r="CH444" s="141"/>
      <c r="CI444" s="141"/>
      <c r="CJ444" s="141"/>
      <c r="CK444" s="141"/>
    </row>
    <row r="445" spans="74:89" ht="15" customHeight="1" x14ac:dyDescent="0.35">
      <c r="BV445" s="140"/>
      <c r="BY445" s="141"/>
      <c r="BZ445" s="141"/>
      <c r="CA445" s="141"/>
      <c r="CB445" s="141"/>
      <c r="CC445" s="141"/>
      <c r="CD445" s="141"/>
      <c r="CE445" s="141"/>
      <c r="CF445" s="141"/>
      <c r="CG445" s="141"/>
      <c r="CH445" s="141"/>
      <c r="CI445" s="141"/>
      <c r="CJ445" s="141"/>
      <c r="CK445" s="141"/>
    </row>
    <row r="446" spans="74:89" ht="15" customHeight="1" x14ac:dyDescent="0.35">
      <c r="BV446" s="140"/>
      <c r="BY446" s="141"/>
      <c r="BZ446" s="141"/>
      <c r="CA446" s="141"/>
      <c r="CB446" s="141"/>
      <c r="CC446" s="141"/>
      <c r="CD446" s="141"/>
      <c r="CE446" s="141"/>
      <c r="CF446" s="141"/>
      <c r="CG446" s="141"/>
      <c r="CH446" s="141"/>
      <c r="CI446" s="141"/>
      <c r="CJ446" s="141"/>
      <c r="CK446" s="141"/>
    </row>
    <row r="447" spans="74:89" ht="15" customHeight="1" x14ac:dyDescent="0.35">
      <c r="BV447" s="140"/>
      <c r="BY447" s="141"/>
      <c r="BZ447" s="141"/>
      <c r="CA447" s="141"/>
      <c r="CB447" s="141"/>
      <c r="CC447" s="141"/>
      <c r="CD447" s="141"/>
      <c r="CE447" s="141"/>
      <c r="CF447" s="141"/>
      <c r="CG447" s="141"/>
      <c r="CH447" s="141"/>
      <c r="CI447" s="141"/>
      <c r="CJ447" s="141"/>
      <c r="CK447" s="141"/>
    </row>
    <row r="448" spans="74:89" ht="15" customHeight="1" x14ac:dyDescent="0.35">
      <c r="BV448" s="140"/>
      <c r="BY448" s="141"/>
      <c r="BZ448" s="141"/>
      <c r="CA448" s="141"/>
      <c r="CB448" s="141"/>
      <c r="CC448" s="141"/>
      <c r="CD448" s="141"/>
      <c r="CE448" s="141"/>
      <c r="CF448" s="141"/>
      <c r="CG448" s="141"/>
      <c r="CH448" s="141"/>
      <c r="CI448" s="141"/>
      <c r="CJ448" s="141"/>
      <c r="CK448" s="141"/>
    </row>
    <row r="449" spans="74:89" ht="15" customHeight="1" x14ac:dyDescent="0.35">
      <c r="BV449" s="140"/>
      <c r="BY449" s="141"/>
      <c r="BZ449" s="141"/>
      <c r="CA449" s="141"/>
      <c r="CB449" s="141"/>
      <c r="CC449" s="141"/>
      <c r="CD449" s="141"/>
      <c r="CE449" s="141"/>
      <c r="CF449" s="141"/>
      <c r="CG449" s="141"/>
      <c r="CH449" s="141"/>
      <c r="CI449" s="141"/>
      <c r="CJ449" s="141"/>
      <c r="CK449" s="141"/>
    </row>
    <row r="450" spans="74:89" ht="15" customHeight="1" x14ac:dyDescent="0.35">
      <c r="BV450" s="140"/>
      <c r="BY450" s="141"/>
      <c r="BZ450" s="141"/>
      <c r="CA450" s="141"/>
      <c r="CB450" s="141"/>
      <c r="CC450" s="141"/>
      <c r="CD450" s="141"/>
      <c r="CE450" s="141"/>
      <c r="CF450" s="141"/>
      <c r="CG450" s="141"/>
      <c r="CH450" s="141"/>
      <c r="CI450" s="141"/>
      <c r="CJ450" s="141"/>
      <c r="CK450" s="141"/>
    </row>
    <row r="451" spans="74:89" ht="15" customHeight="1" x14ac:dyDescent="0.35">
      <c r="BV451" s="140"/>
      <c r="BY451" s="141"/>
      <c r="BZ451" s="141"/>
      <c r="CA451" s="141"/>
      <c r="CB451" s="141"/>
      <c r="CC451" s="141"/>
      <c r="CD451" s="141"/>
      <c r="CE451" s="141"/>
      <c r="CF451" s="141"/>
      <c r="CG451" s="141"/>
      <c r="CH451" s="141"/>
      <c r="CI451" s="141"/>
      <c r="CJ451" s="141"/>
      <c r="CK451" s="141"/>
    </row>
    <row r="452" spans="74:89" ht="15" customHeight="1" x14ac:dyDescent="0.35">
      <c r="BV452" s="140"/>
      <c r="BY452" s="141"/>
      <c r="BZ452" s="141"/>
      <c r="CA452" s="141"/>
      <c r="CB452" s="141"/>
      <c r="CC452" s="141"/>
      <c r="CD452" s="141"/>
      <c r="CE452" s="141"/>
      <c r="CF452" s="141"/>
      <c r="CG452" s="141"/>
      <c r="CH452" s="141"/>
      <c r="CI452" s="141"/>
      <c r="CJ452" s="141"/>
      <c r="CK452" s="141"/>
    </row>
    <row r="453" spans="74:89" ht="15" customHeight="1" x14ac:dyDescent="0.35">
      <c r="BV453" s="140"/>
      <c r="BY453" s="141"/>
      <c r="BZ453" s="141"/>
      <c r="CA453" s="141"/>
      <c r="CB453" s="141"/>
      <c r="CC453" s="141"/>
      <c r="CD453" s="141"/>
      <c r="CE453" s="141"/>
      <c r="CF453" s="141"/>
      <c r="CG453" s="141"/>
      <c r="CH453" s="141"/>
      <c r="CI453" s="141"/>
      <c r="CJ453" s="141"/>
      <c r="CK453" s="141"/>
    </row>
    <row r="454" spans="74:89" ht="15" customHeight="1" x14ac:dyDescent="0.35">
      <c r="BV454" s="140"/>
      <c r="BY454" s="141"/>
      <c r="BZ454" s="141"/>
      <c r="CA454" s="141"/>
      <c r="CB454" s="141"/>
      <c r="CC454" s="141"/>
      <c r="CD454" s="141"/>
      <c r="CE454" s="141"/>
      <c r="CF454" s="141"/>
      <c r="CG454" s="141"/>
      <c r="CH454" s="141"/>
      <c r="CI454" s="141"/>
      <c r="CJ454" s="141"/>
      <c r="CK454" s="141"/>
    </row>
    <row r="455" spans="74:89" ht="15" customHeight="1" x14ac:dyDescent="0.35">
      <c r="BV455" s="140"/>
      <c r="BY455" s="141"/>
      <c r="BZ455" s="141"/>
      <c r="CA455" s="141"/>
      <c r="CB455" s="141"/>
      <c r="CC455" s="141"/>
      <c r="CD455" s="141"/>
      <c r="CE455" s="141"/>
      <c r="CF455" s="141"/>
      <c r="CG455" s="141"/>
      <c r="CH455" s="141"/>
      <c r="CI455" s="141"/>
      <c r="CJ455" s="141"/>
      <c r="CK455" s="141"/>
    </row>
    <row r="456" spans="74:89" ht="15" customHeight="1" x14ac:dyDescent="0.35">
      <c r="BV456" s="140"/>
      <c r="BY456" s="141"/>
      <c r="BZ456" s="141"/>
      <c r="CA456" s="141"/>
      <c r="CB456" s="141"/>
      <c r="CC456" s="141"/>
      <c r="CD456" s="141"/>
      <c r="CE456" s="141"/>
      <c r="CF456" s="141"/>
      <c r="CG456" s="141"/>
      <c r="CH456" s="141"/>
      <c r="CI456" s="141"/>
      <c r="CJ456" s="141"/>
      <c r="CK456" s="141"/>
    </row>
    <row r="457" spans="74:89" ht="49.5" customHeight="1" x14ac:dyDescent="0.35">
      <c r="BV457" s="140"/>
      <c r="BY457" s="141"/>
      <c r="BZ457" s="141"/>
      <c r="CA457" s="141"/>
      <c r="CB457" s="141"/>
      <c r="CC457" s="141"/>
      <c r="CD457" s="141"/>
      <c r="CE457" s="141"/>
      <c r="CF457" s="141"/>
      <c r="CG457" s="141"/>
      <c r="CH457" s="141"/>
      <c r="CI457" s="141"/>
      <c r="CJ457" s="141"/>
      <c r="CK457" s="141"/>
    </row>
    <row r="458" spans="74:89" ht="49.5" customHeight="1" x14ac:dyDescent="0.35">
      <c r="BV458" s="140"/>
      <c r="BY458" s="141"/>
      <c r="BZ458" s="141"/>
      <c r="CA458" s="141"/>
      <c r="CB458" s="141"/>
      <c r="CC458" s="141"/>
      <c r="CD458" s="141"/>
      <c r="CE458" s="141"/>
      <c r="CF458" s="141"/>
      <c r="CG458" s="141"/>
      <c r="CH458" s="141"/>
      <c r="CI458" s="141"/>
      <c r="CJ458" s="141"/>
      <c r="CK458" s="141"/>
    </row>
    <row r="459" spans="74:89" ht="49.5" customHeight="1" x14ac:dyDescent="0.35">
      <c r="BV459" s="140"/>
      <c r="BY459" s="141"/>
      <c r="BZ459" s="141"/>
      <c r="CA459" s="141"/>
      <c r="CB459" s="141"/>
      <c r="CC459" s="141"/>
      <c r="CD459" s="141"/>
      <c r="CE459" s="141"/>
      <c r="CF459" s="141"/>
      <c r="CG459" s="141"/>
      <c r="CH459" s="141"/>
      <c r="CI459" s="141"/>
      <c r="CJ459" s="141"/>
      <c r="CK459" s="141"/>
    </row>
    <row r="460" spans="74:89" ht="49.5" customHeight="1" x14ac:dyDescent="0.35">
      <c r="BV460" s="140"/>
      <c r="BY460" s="141"/>
      <c r="BZ460" s="141"/>
      <c r="CA460" s="141"/>
      <c r="CB460" s="141"/>
      <c r="CC460" s="141"/>
      <c r="CD460" s="141"/>
      <c r="CE460" s="141"/>
      <c r="CF460" s="141"/>
      <c r="CG460" s="141"/>
      <c r="CH460" s="141"/>
      <c r="CI460" s="141"/>
      <c r="CJ460" s="141"/>
      <c r="CK460" s="141"/>
    </row>
    <row r="461" spans="74:89" ht="49.5" customHeight="1" x14ac:dyDescent="0.35">
      <c r="BV461" s="140"/>
      <c r="BY461" s="141"/>
      <c r="BZ461" s="141"/>
      <c r="CA461" s="141"/>
      <c r="CB461" s="141"/>
      <c r="CC461" s="141"/>
      <c r="CD461" s="141"/>
      <c r="CE461" s="141"/>
      <c r="CF461" s="141"/>
      <c r="CG461" s="141"/>
      <c r="CH461" s="141"/>
      <c r="CI461" s="141"/>
      <c r="CJ461" s="141"/>
      <c r="CK461" s="141"/>
    </row>
    <row r="462" spans="74:89" ht="49.5" customHeight="1" x14ac:dyDescent="0.35">
      <c r="BV462" s="140"/>
      <c r="BY462" s="141"/>
      <c r="BZ462" s="141"/>
      <c r="CA462" s="141"/>
      <c r="CB462" s="141"/>
      <c r="CC462" s="141"/>
      <c r="CD462" s="141"/>
      <c r="CE462" s="141"/>
      <c r="CF462" s="141"/>
      <c r="CG462" s="141"/>
      <c r="CH462" s="141"/>
      <c r="CI462" s="141"/>
      <c r="CJ462" s="141"/>
      <c r="CK462" s="141"/>
    </row>
    <row r="463" spans="74:89" ht="49.5" customHeight="1" x14ac:dyDescent="0.35">
      <c r="BV463" s="140"/>
      <c r="BY463" s="141"/>
      <c r="BZ463" s="141"/>
      <c r="CA463" s="141"/>
      <c r="CB463" s="141"/>
      <c r="CC463" s="141"/>
      <c r="CD463" s="141"/>
      <c r="CE463" s="141"/>
      <c r="CF463" s="141"/>
      <c r="CG463" s="141"/>
      <c r="CH463" s="141"/>
      <c r="CI463" s="141"/>
      <c r="CJ463" s="141"/>
      <c r="CK463" s="141"/>
    </row>
    <row r="464" spans="74:89" ht="49.5" customHeight="1" x14ac:dyDescent="0.35">
      <c r="BV464" s="140"/>
      <c r="BY464" s="141"/>
      <c r="BZ464" s="141"/>
      <c r="CA464" s="141"/>
      <c r="CB464" s="141"/>
      <c r="CC464" s="141"/>
      <c r="CD464" s="141"/>
      <c r="CE464" s="141"/>
      <c r="CF464" s="141"/>
      <c r="CG464" s="141"/>
      <c r="CH464" s="141"/>
      <c r="CI464" s="141"/>
      <c r="CJ464" s="141"/>
      <c r="CK464" s="141"/>
    </row>
    <row r="465" spans="74:89" ht="49.5" customHeight="1" x14ac:dyDescent="0.35">
      <c r="BV465" s="140"/>
      <c r="BY465" s="141"/>
      <c r="BZ465" s="141"/>
      <c r="CA465" s="141"/>
      <c r="CB465" s="141"/>
      <c r="CC465" s="141"/>
      <c r="CD465" s="141"/>
      <c r="CE465" s="141"/>
      <c r="CF465" s="141"/>
      <c r="CG465" s="141"/>
      <c r="CH465" s="141"/>
      <c r="CI465" s="141"/>
      <c r="CJ465" s="141"/>
      <c r="CK465" s="141"/>
    </row>
    <row r="466" spans="74:89" ht="49.5" customHeight="1" x14ac:dyDescent="0.35">
      <c r="BV466" s="140"/>
      <c r="BY466" s="141"/>
      <c r="BZ466" s="141"/>
      <c r="CA466" s="141"/>
      <c r="CB466" s="141"/>
      <c r="CC466" s="141"/>
      <c r="CD466" s="141"/>
      <c r="CE466" s="141"/>
      <c r="CF466" s="141"/>
      <c r="CG466" s="141"/>
      <c r="CH466" s="141"/>
      <c r="CI466" s="141"/>
      <c r="CJ466" s="141"/>
      <c r="CK466" s="141"/>
    </row>
    <row r="467" spans="74:89" ht="49.5" customHeight="1" x14ac:dyDescent="0.35">
      <c r="BV467" s="140"/>
      <c r="BY467" s="141"/>
      <c r="BZ467" s="141"/>
      <c r="CA467" s="141"/>
      <c r="CB467" s="141"/>
      <c r="CC467" s="141"/>
      <c r="CD467" s="141"/>
      <c r="CE467" s="141"/>
      <c r="CF467" s="141"/>
      <c r="CG467" s="141"/>
      <c r="CH467" s="141"/>
      <c r="CI467" s="141"/>
      <c r="CJ467" s="141"/>
      <c r="CK467" s="141"/>
    </row>
    <row r="468" spans="74:89" ht="49.5" customHeight="1" x14ac:dyDescent="0.35">
      <c r="BV468" s="140"/>
      <c r="BY468" s="141"/>
      <c r="BZ468" s="141"/>
      <c r="CA468" s="141"/>
      <c r="CB468" s="141"/>
      <c r="CC468" s="141"/>
      <c r="CD468" s="141"/>
      <c r="CE468" s="141"/>
      <c r="CF468" s="141"/>
      <c r="CG468" s="141"/>
      <c r="CH468" s="141"/>
      <c r="CI468" s="141"/>
      <c r="CJ468" s="141"/>
      <c r="CK468" s="141"/>
    </row>
    <row r="469" spans="74:89" ht="49.5" customHeight="1" x14ac:dyDescent="0.35">
      <c r="BV469" s="140"/>
      <c r="BY469" s="141"/>
      <c r="BZ469" s="141"/>
      <c r="CA469" s="141"/>
      <c r="CB469" s="141"/>
      <c r="CC469" s="141"/>
      <c r="CD469" s="141"/>
      <c r="CE469" s="141"/>
      <c r="CF469" s="141"/>
      <c r="CG469" s="141"/>
      <c r="CH469" s="141"/>
      <c r="CI469" s="141"/>
      <c r="CJ469" s="141"/>
      <c r="CK469" s="141"/>
    </row>
    <row r="470" spans="74:89" ht="49.5" customHeight="1" x14ac:dyDescent="0.35">
      <c r="BV470" s="140"/>
      <c r="BY470" s="141"/>
      <c r="BZ470" s="141"/>
      <c r="CA470" s="141"/>
      <c r="CB470" s="141"/>
      <c r="CC470" s="141"/>
      <c r="CD470" s="141"/>
      <c r="CE470" s="141"/>
      <c r="CF470" s="141"/>
      <c r="CG470" s="141"/>
      <c r="CH470" s="141"/>
      <c r="CI470" s="141"/>
      <c r="CJ470" s="141"/>
      <c r="CK470" s="141"/>
    </row>
    <row r="471" spans="74:89" ht="49.5" customHeight="1" x14ac:dyDescent="0.35">
      <c r="BV471" s="140"/>
      <c r="BY471" s="141"/>
      <c r="BZ471" s="141"/>
      <c r="CA471" s="141"/>
      <c r="CB471" s="141"/>
      <c r="CC471" s="141"/>
      <c r="CD471" s="141"/>
      <c r="CE471" s="141"/>
      <c r="CF471" s="141"/>
      <c r="CG471" s="141"/>
      <c r="CH471" s="141"/>
      <c r="CI471" s="141"/>
      <c r="CJ471" s="141"/>
      <c r="CK471" s="141"/>
    </row>
    <row r="472" spans="74:89" ht="49.5" customHeight="1" x14ac:dyDescent="0.35">
      <c r="BV472" s="140"/>
      <c r="BY472" s="141"/>
      <c r="BZ472" s="141"/>
      <c r="CA472" s="141"/>
      <c r="CB472" s="141"/>
      <c r="CC472" s="141"/>
      <c r="CD472" s="141"/>
      <c r="CE472" s="141"/>
      <c r="CF472" s="141"/>
      <c r="CG472" s="141"/>
      <c r="CH472" s="141"/>
      <c r="CI472" s="141"/>
      <c r="CJ472" s="141"/>
      <c r="CK472" s="141"/>
    </row>
    <row r="473" spans="74:89" ht="49.5" customHeight="1" x14ac:dyDescent="0.35">
      <c r="BV473" s="140"/>
      <c r="BY473" s="141"/>
      <c r="BZ473" s="141"/>
      <c r="CA473" s="141"/>
      <c r="CB473" s="141"/>
      <c r="CC473" s="141"/>
      <c r="CD473" s="141"/>
      <c r="CE473" s="141"/>
      <c r="CF473" s="141"/>
      <c r="CG473" s="141"/>
      <c r="CH473" s="141"/>
      <c r="CI473" s="141"/>
      <c r="CJ473" s="141"/>
      <c r="CK473" s="141"/>
    </row>
    <row r="474" spans="74:89" ht="49.5" customHeight="1" x14ac:dyDescent="0.35">
      <c r="BV474" s="140"/>
      <c r="BY474" s="141"/>
      <c r="BZ474" s="141"/>
      <c r="CA474" s="141"/>
      <c r="CB474" s="141"/>
      <c r="CC474" s="141"/>
      <c r="CD474" s="141"/>
      <c r="CE474" s="141"/>
      <c r="CF474" s="141"/>
      <c r="CG474" s="141"/>
      <c r="CH474" s="141"/>
      <c r="CI474" s="141"/>
      <c r="CJ474" s="141"/>
      <c r="CK474" s="141"/>
    </row>
    <row r="475" spans="74:89" ht="49.5" customHeight="1" x14ac:dyDescent="0.35">
      <c r="BV475" s="140"/>
      <c r="BY475" s="141"/>
      <c r="BZ475" s="141"/>
      <c r="CA475" s="141"/>
      <c r="CB475" s="141"/>
      <c r="CC475" s="141"/>
      <c r="CD475" s="141"/>
      <c r="CE475" s="141"/>
      <c r="CF475" s="141"/>
      <c r="CG475" s="141"/>
      <c r="CH475" s="141"/>
      <c r="CI475" s="141"/>
      <c r="CJ475" s="141"/>
      <c r="CK475" s="141"/>
    </row>
    <row r="476" spans="74:89" ht="49.5" customHeight="1" x14ac:dyDescent="0.35">
      <c r="BV476" s="140"/>
      <c r="BY476" s="141"/>
      <c r="BZ476" s="141"/>
      <c r="CA476" s="141"/>
      <c r="CB476" s="141"/>
      <c r="CC476" s="141"/>
      <c r="CD476" s="141"/>
      <c r="CE476" s="141"/>
      <c r="CF476" s="141"/>
      <c r="CG476" s="141"/>
      <c r="CH476" s="141"/>
      <c r="CI476" s="141"/>
      <c r="CJ476" s="141"/>
      <c r="CK476" s="141"/>
    </row>
    <row r="477" spans="74:89" ht="49.5" customHeight="1" x14ac:dyDescent="0.35">
      <c r="BV477" s="140"/>
      <c r="BY477" s="141"/>
      <c r="BZ477" s="141"/>
      <c r="CA477" s="141"/>
      <c r="CB477" s="141"/>
      <c r="CC477" s="141"/>
      <c r="CD477" s="141"/>
      <c r="CE477" s="141"/>
      <c r="CF477" s="141"/>
      <c r="CG477" s="141"/>
      <c r="CH477" s="141"/>
      <c r="CI477" s="141"/>
      <c r="CJ477" s="141"/>
      <c r="CK477" s="141"/>
    </row>
    <row r="478" spans="74:89" ht="49.5" customHeight="1" x14ac:dyDescent="0.35">
      <c r="BV478" s="140"/>
      <c r="BY478" s="141"/>
      <c r="BZ478" s="141"/>
      <c r="CA478" s="141"/>
      <c r="CB478" s="141"/>
      <c r="CC478" s="141"/>
      <c r="CD478" s="141"/>
      <c r="CE478" s="141"/>
      <c r="CF478" s="141"/>
      <c r="CG478" s="141"/>
      <c r="CH478" s="141"/>
      <c r="CI478" s="141"/>
      <c r="CJ478" s="141"/>
      <c r="CK478" s="141"/>
    </row>
    <row r="479" spans="74:89" ht="49.5" customHeight="1" x14ac:dyDescent="0.35">
      <c r="BV479" s="140"/>
      <c r="BY479" s="141"/>
      <c r="BZ479" s="141"/>
      <c r="CA479" s="141"/>
      <c r="CB479" s="141"/>
      <c r="CC479" s="141"/>
      <c r="CD479" s="141"/>
      <c r="CE479" s="141"/>
      <c r="CF479" s="141"/>
      <c r="CG479" s="141"/>
      <c r="CH479" s="141"/>
      <c r="CI479" s="141"/>
      <c r="CJ479" s="141"/>
      <c r="CK479" s="141"/>
    </row>
    <row r="480" spans="74:89" ht="49.5" customHeight="1" x14ac:dyDescent="0.35">
      <c r="BV480" s="140"/>
      <c r="BY480" s="141"/>
      <c r="BZ480" s="141"/>
      <c r="CA480" s="141"/>
      <c r="CB480" s="141"/>
      <c r="CC480" s="141"/>
      <c r="CD480" s="141"/>
      <c r="CE480" s="141"/>
      <c r="CF480" s="141"/>
      <c r="CG480" s="141"/>
      <c r="CH480" s="141"/>
      <c r="CI480" s="141"/>
      <c r="CJ480" s="141"/>
      <c r="CK480" s="141"/>
    </row>
    <row r="481" spans="74:89" ht="49.5" customHeight="1" x14ac:dyDescent="0.35">
      <c r="BV481" s="140"/>
      <c r="BY481" s="141"/>
      <c r="BZ481" s="141"/>
      <c r="CA481" s="141"/>
      <c r="CB481" s="141"/>
      <c r="CC481" s="141"/>
      <c r="CD481" s="141"/>
      <c r="CE481" s="141"/>
      <c r="CF481" s="141"/>
      <c r="CG481" s="141"/>
      <c r="CH481" s="141"/>
      <c r="CI481" s="141"/>
      <c r="CJ481" s="141"/>
      <c r="CK481" s="141"/>
    </row>
    <row r="482" spans="74:89" ht="49.5" customHeight="1" x14ac:dyDescent="0.35">
      <c r="BV482" s="140"/>
      <c r="BY482" s="141"/>
      <c r="BZ482" s="141"/>
      <c r="CA482" s="141"/>
      <c r="CB482" s="141"/>
      <c r="CC482" s="141"/>
      <c r="CD482" s="141"/>
      <c r="CE482" s="141"/>
      <c r="CF482" s="141"/>
      <c r="CG482" s="141"/>
      <c r="CH482" s="141"/>
      <c r="CI482" s="141"/>
      <c r="CJ482" s="141"/>
      <c r="CK482" s="141"/>
    </row>
    <row r="483" spans="74:89" ht="49.5" customHeight="1" x14ac:dyDescent="0.35">
      <c r="BV483" s="140"/>
      <c r="BY483" s="141"/>
      <c r="BZ483" s="141"/>
      <c r="CA483" s="141"/>
      <c r="CB483" s="141"/>
      <c r="CC483" s="141"/>
      <c r="CD483" s="141"/>
      <c r="CE483" s="141"/>
      <c r="CF483" s="141"/>
      <c r="CG483" s="141"/>
      <c r="CH483" s="141"/>
      <c r="CI483" s="141"/>
      <c r="CJ483" s="141"/>
      <c r="CK483" s="141"/>
    </row>
    <row r="484" spans="74:89" ht="49.5" customHeight="1" x14ac:dyDescent="0.35">
      <c r="BV484" s="140"/>
      <c r="BY484" s="141"/>
      <c r="BZ484" s="141"/>
      <c r="CA484" s="141"/>
      <c r="CB484" s="141"/>
      <c r="CC484" s="141"/>
      <c r="CD484" s="141"/>
      <c r="CE484" s="141"/>
      <c r="CF484" s="141"/>
      <c r="CG484" s="141"/>
      <c r="CH484" s="141"/>
      <c r="CI484" s="141"/>
      <c r="CJ484" s="141"/>
      <c r="CK484" s="141"/>
    </row>
    <row r="485" spans="74:89" ht="49.5" customHeight="1" x14ac:dyDescent="0.35">
      <c r="BV485" s="140"/>
      <c r="BY485" s="141"/>
      <c r="BZ485" s="141"/>
      <c r="CA485" s="141"/>
      <c r="CB485" s="141"/>
      <c r="CC485" s="141"/>
      <c r="CD485" s="141"/>
      <c r="CE485" s="141"/>
      <c r="CF485" s="141"/>
      <c r="CG485" s="141"/>
      <c r="CH485" s="141"/>
      <c r="CI485" s="141"/>
      <c r="CJ485" s="141"/>
      <c r="CK485" s="141"/>
    </row>
    <row r="486" spans="74:89" ht="49.5" customHeight="1" x14ac:dyDescent="0.35">
      <c r="BV486" s="140"/>
      <c r="BY486" s="141"/>
      <c r="BZ486" s="141"/>
      <c r="CA486" s="141"/>
      <c r="CB486" s="141"/>
      <c r="CC486" s="141"/>
      <c r="CD486" s="141"/>
      <c r="CE486" s="141"/>
      <c r="CF486" s="141"/>
      <c r="CG486" s="141"/>
      <c r="CH486" s="141"/>
      <c r="CI486" s="141"/>
      <c r="CJ486" s="141"/>
      <c r="CK486" s="141"/>
    </row>
    <row r="487" spans="74:89" ht="49.5" customHeight="1" x14ac:dyDescent="0.35">
      <c r="BV487" s="140"/>
      <c r="BY487" s="141"/>
      <c r="BZ487" s="141"/>
      <c r="CA487" s="141"/>
      <c r="CB487" s="141"/>
      <c r="CC487" s="141"/>
      <c r="CD487" s="141"/>
      <c r="CE487" s="141"/>
      <c r="CF487" s="141"/>
      <c r="CG487" s="141"/>
      <c r="CH487" s="141"/>
      <c r="CI487" s="141"/>
      <c r="CJ487" s="141"/>
      <c r="CK487" s="141"/>
    </row>
    <row r="488" spans="74:89" ht="49.5" customHeight="1" x14ac:dyDescent="0.35">
      <c r="BV488" s="140"/>
      <c r="BY488" s="141"/>
      <c r="BZ488" s="141"/>
      <c r="CA488" s="141"/>
      <c r="CB488" s="141"/>
      <c r="CC488" s="141"/>
      <c r="CD488" s="141"/>
      <c r="CE488" s="141"/>
      <c r="CF488" s="141"/>
      <c r="CG488" s="141"/>
      <c r="CH488" s="141"/>
      <c r="CI488" s="141"/>
      <c r="CJ488" s="141"/>
      <c r="CK488" s="141"/>
    </row>
    <row r="489" spans="74:89" ht="49.5" customHeight="1" x14ac:dyDescent="0.35">
      <c r="BV489" s="140"/>
      <c r="BY489" s="141"/>
      <c r="BZ489" s="141"/>
      <c r="CA489" s="141"/>
      <c r="CB489" s="141"/>
      <c r="CC489" s="141"/>
      <c r="CD489" s="141"/>
      <c r="CE489" s="141"/>
      <c r="CF489" s="141"/>
      <c r="CG489" s="141"/>
      <c r="CH489" s="141"/>
      <c r="CI489" s="141"/>
      <c r="CJ489" s="141"/>
      <c r="CK489" s="141"/>
    </row>
    <row r="490" spans="74:89" ht="49.5" customHeight="1" x14ac:dyDescent="0.35">
      <c r="BV490" s="140"/>
      <c r="BY490" s="141"/>
      <c r="BZ490" s="141"/>
      <c r="CA490" s="141"/>
      <c r="CB490" s="141"/>
      <c r="CC490" s="141"/>
      <c r="CD490" s="141"/>
      <c r="CE490" s="141"/>
      <c r="CF490" s="141"/>
      <c r="CG490" s="141"/>
      <c r="CH490" s="141"/>
      <c r="CI490" s="141"/>
      <c r="CJ490" s="141"/>
      <c r="CK490" s="141"/>
    </row>
    <row r="491" spans="74:89" ht="49.5" customHeight="1" x14ac:dyDescent="0.35">
      <c r="BV491" s="140"/>
      <c r="BY491" s="141"/>
      <c r="BZ491" s="141"/>
      <c r="CA491" s="141"/>
      <c r="CB491" s="141"/>
      <c r="CC491" s="141"/>
      <c r="CD491" s="141"/>
      <c r="CE491" s="141"/>
      <c r="CF491" s="141"/>
      <c r="CG491" s="141"/>
      <c r="CH491" s="141"/>
      <c r="CI491" s="141"/>
      <c r="CJ491" s="141"/>
      <c r="CK491" s="141"/>
    </row>
    <row r="492" spans="74:89" ht="49.5" customHeight="1" x14ac:dyDescent="0.35">
      <c r="BV492" s="140"/>
      <c r="BY492" s="141"/>
      <c r="BZ492" s="141"/>
      <c r="CA492" s="141"/>
      <c r="CB492" s="141"/>
      <c r="CC492" s="141"/>
      <c r="CD492" s="141"/>
      <c r="CE492" s="141"/>
      <c r="CF492" s="141"/>
      <c r="CG492" s="141"/>
      <c r="CH492" s="141"/>
      <c r="CI492" s="141"/>
      <c r="CJ492" s="141"/>
      <c r="CK492" s="141"/>
    </row>
    <row r="493" spans="74:89" ht="49.5" customHeight="1" x14ac:dyDescent="0.35">
      <c r="BV493" s="140"/>
      <c r="BY493" s="141"/>
      <c r="BZ493" s="141"/>
      <c r="CA493" s="141"/>
      <c r="CB493" s="141"/>
      <c r="CC493" s="141"/>
      <c r="CD493" s="141"/>
      <c r="CE493" s="141"/>
      <c r="CF493" s="141"/>
      <c r="CG493" s="141"/>
      <c r="CH493" s="141"/>
      <c r="CI493" s="141"/>
      <c r="CJ493" s="141"/>
      <c r="CK493" s="141"/>
    </row>
    <row r="494" spans="74:89" ht="49.5" customHeight="1" x14ac:dyDescent="0.35">
      <c r="BV494" s="140"/>
      <c r="BY494" s="141"/>
      <c r="BZ494" s="141"/>
      <c r="CA494" s="141"/>
      <c r="CB494" s="141"/>
      <c r="CC494" s="141"/>
      <c r="CD494" s="141"/>
      <c r="CE494" s="141"/>
      <c r="CF494" s="141"/>
      <c r="CG494" s="141"/>
      <c r="CH494" s="141"/>
      <c r="CI494" s="141"/>
      <c r="CJ494" s="141"/>
      <c r="CK494" s="141"/>
    </row>
    <row r="495" spans="74:89" ht="49.5" customHeight="1" x14ac:dyDescent="0.35">
      <c r="BV495" s="140"/>
      <c r="BY495" s="141"/>
      <c r="BZ495" s="141"/>
      <c r="CA495" s="141"/>
      <c r="CB495" s="141"/>
      <c r="CC495" s="141"/>
      <c r="CD495" s="141"/>
      <c r="CE495" s="141"/>
      <c r="CF495" s="141"/>
      <c r="CG495" s="141"/>
      <c r="CH495" s="141"/>
      <c r="CI495" s="141"/>
      <c r="CJ495" s="141"/>
      <c r="CK495" s="141"/>
    </row>
    <row r="496" spans="74:89" ht="49.5" customHeight="1" x14ac:dyDescent="0.35">
      <c r="BV496" s="140"/>
      <c r="BY496" s="141"/>
      <c r="BZ496" s="141"/>
      <c r="CA496" s="141"/>
      <c r="CB496" s="141"/>
      <c r="CC496" s="141"/>
      <c r="CD496" s="141"/>
      <c r="CE496" s="141"/>
      <c r="CF496" s="141"/>
      <c r="CG496" s="141"/>
      <c r="CH496" s="141"/>
      <c r="CI496" s="141"/>
      <c r="CJ496" s="141"/>
      <c r="CK496" s="141"/>
    </row>
    <row r="497" spans="74:89" ht="49.5" customHeight="1" x14ac:dyDescent="0.35">
      <c r="BV497" s="140"/>
      <c r="BY497" s="141"/>
      <c r="BZ497" s="141"/>
      <c r="CA497" s="141"/>
      <c r="CB497" s="141"/>
      <c r="CC497" s="141"/>
      <c r="CD497" s="141"/>
      <c r="CE497" s="141"/>
      <c r="CF497" s="141"/>
      <c r="CG497" s="141"/>
      <c r="CH497" s="141"/>
      <c r="CI497" s="141"/>
      <c r="CJ497" s="141"/>
      <c r="CK497" s="141"/>
    </row>
    <row r="498" spans="74:89" ht="49.5" customHeight="1" x14ac:dyDescent="0.35">
      <c r="BV498" s="140"/>
      <c r="BY498" s="141"/>
      <c r="BZ498" s="141"/>
      <c r="CA498" s="141"/>
      <c r="CB498" s="141"/>
      <c r="CC498" s="141"/>
      <c r="CD498" s="141"/>
      <c r="CE498" s="141"/>
      <c r="CF498" s="141"/>
      <c r="CG498" s="141"/>
      <c r="CH498" s="141"/>
      <c r="CI498" s="141"/>
      <c r="CJ498" s="141"/>
      <c r="CK498" s="141"/>
    </row>
    <row r="499" spans="74:89" ht="49.5" customHeight="1" x14ac:dyDescent="0.35">
      <c r="BV499" s="140"/>
      <c r="BY499" s="141"/>
      <c r="BZ499" s="141"/>
      <c r="CA499" s="141"/>
      <c r="CB499" s="141"/>
      <c r="CC499" s="141"/>
      <c r="CD499" s="141"/>
      <c r="CE499" s="141"/>
      <c r="CF499" s="141"/>
      <c r="CG499" s="141"/>
      <c r="CH499" s="141"/>
      <c r="CI499" s="141"/>
      <c r="CJ499" s="141"/>
      <c r="CK499" s="141"/>
    </row>
    <row r="500" spans="74:89" ht="49.5" customHeight="1" x14ac:dyDescent="0.35">
      <c r="BV500" s="140"/>
      <c r="BY500" s="141"/>
      <c r="BZ500" s="141"/>
      <c r="CA500" s="141"/>
      <c r="CB500" s="141"/>
      <c r="CC500" s="141"/>
      <c r="CD500" s="141"/>
      <c r="CE500" s="141"/>
      <c r="CF500" s="141"/>
      <c r="CG500" s="141"/>
      <c r="CH500" s="141"/>
      <c r="CI500" s="141"/>
      <c r="CJ500" s="141"/>
      <c r="CK500" s="141"/>
    </row>
    <row r="501" spans="74:89" ht="49.5" customHeight="1" x14ac:dyDescent="0.35">
      <c r="BV501" s="140"/>
      <c r="BY501" s="141"/>
      <c r="BZ501" s="141"/>
      <c r="CA501" s="141"/>
      <c r="CB501" s="141"/>
      <c r="CC501" s="141"/>
      <c r="CD501" s="141"/>
      <c r="CE501" s="141"/>
      <c r="CF501" s="141"/>
      <c r="CG501" s="141"/>
      <c r="CH501" s="141"/>
      <c r="CI501" s="141"/>
      <c r="CJ501" s="141"/>
      <c r="CK501" s="141"/>
    </row>
    <row r="502" spans="74:89" ht="49.5" customHeight="1" x14ac:dyDescent="0.35">
      <c r="BV502" s="140"/>
      <c r="BY502" s="141"/>
      <c r="BZ502" s="141"/>
      <c r="CA502" s="141"/>
      <c r="CB502" s="141"/>
      <c r="CC502" s="141"/>
      <c r="CD502" s="141"/>
      <c r="CE502" s="141"/>
      <c r="CF502" s="141"/>
      <c r="CG502" s="141"/>
      <c r="CH502" s="141"/>
      <c r="CI502" s="141"/>
      <c r="CJ502" s="141"/>
      <c r="CK502" s="141"/>
    </row>
    <row r="503" spans="74:89" ht="49.5" customHeight="1" x14ac:dyDescent="0.35">
      <c r="BV503" s="140"/>
      <c r="BY503" s="141"/>
      <c r="BZ503" s="141"/>
      <c r="CA503" s="141"/>
      <c r="CB503" s="141"/>
      <c r="CC503" s="141"/>
      <c r="CD503" s="141"/>
      <c r="CE503" s="141"/>
      <c r="CF503" s="141"/>
      <c r="CG503" s="141"/>
      <c r="CH503" s="141"/>
      <c r="CI503" s="141"/>
      <c r="CJ503" s="141"/>
      <c r="CK503" s="141"/>
    </row>
    <row r="504" spans="74:89" ht="49.5" customHeight="1" x14ac:dyDescent="0.35">
      <c r="BV504" s="140"/>
      <c r="BY504" s="141"/>
      <c r="BZ504" s="141"/>
      <c r="CA504" s="141"/>
      <c r="CB504" s="141"/>
      <c r="CC504" s="141"/>
      <c r="CD504" s="141"/>
      <c r="CE504" s="141"/>
      <c r="CF504" s="141"/>
      <c r="CG504" s="141"/>
      <c r="CH504" s="141"/>
      <c r="CI504" s="141"/>
      <c r="CJ504" s="141"/>
      <c r="CK504" s="141"/>
    </row>
    <row r="505" spans="74:89" ht="49.5" customHeight="1" x14ac:dyDescent="0.35">
      <c r="BV505" s="140"/>
      <c r="BY505" s="141"/>
      <c r="BZ505" s="141"/>
      <c r="CA505" s="141"/>
      <c r="CB505" s="141"/>
      <c r="CC505" s="141"/>
      <c r="CD505" s="141"/>
      <c r="CE505" s="141"/>
      <c r="CF505" s="141"/>
      <c r="CG505" s="141"/>
      <c r="CH505" s="141"/>
      <c r="CI505" s="141"/>
      <c r="CJ505" s="141"/>
      <c r="CK505" s="141"/>
    </row>
    <row r="506" spans="74:89" ht="49.5" customHeight="1" x14ac:dyDescent="0.35">
      <c r="BV506" s="140"/>
      <c r="BY506" s="141"/>
      <c r="BZ506" s="141"/>
      <c r="CA506" s="141"/>
      <c r="CB506" s="141"/>
      <c r="CC506" s="141"/>
      <c r="CD506" s="141"/>
      <c r="CE506" s="141"/>
      <c r="CF506" s="141"/>
      <c r="CG506" s="141"/>
      <c r="CH506" s="141"/>
      <c r="CI506" s="141"/>
      <c r="CJ506" s="141"/>
      <c r="CK506" s="141"/>
    </row>
    <row r="507" spans="74:89" ht="49.5" customHeight="1" x14ac:dyDescent="0.35">
      <c r="BV507" s="140"/>
      <c r="BY507" s="141"/>
      <c r="BZ507" s="141"/>
      <c r="CA507" s="141"/>
      <c r="CB507" s="141"/>
      <c r="CC507" s="141"/>
      <c r="CD507" s="141"/>
      <c r="CE507" s="141"/>
      <c r="CF507" s="141"/>
      <c r="CG507" s="141"/>
      <c r="CH507" s="141"/>
      <c r="CI507" s="141"/>
      <c r="CJ507" s="141"/>
      <c r="CK507" s="141"/>
    </row>
    <row r="508" spans="74:89" ht="49.5" customHeight="1" x14ac:dyDescent="0.35">
      <c r="BV508" s="140"/>
      <c r="BY508" s="141"/>
      <c r="BZ508" s="141"/>
      <c r="CA508" s="141"/>
      <c r="CB508" s="141"/>
      <c r="CC508" s="141"/>
      <c r="CD508" s="141"/>
      <c r="CE508" s="141"/>
      <c r="CF508" s="141"/>
      <c r="CG508" s="141"/>
      <c r="CH508" s="141"/>
      <c r="CI508" s="141"/>
      <c r="CJ508" s="141"/>
      <c r="CK508" s="141"/>
    </row>
    <row r="509" spans="74:89" ht="49.5" customHeight="1" x14ac:dyDescent="0.35">
      <c r="BV509" s="140"/>
      <c r="BY509" s="141"/>
      <c r="BZ509" s="141"/>
      <c r="CA509" s="141"/>
      <c r="CB509" s="141"/>
      <c r="CC509" s="141"/>
      <c r="CD509" s="141"/>
      <c r="CE509" s="141"/>
      <c r="CF509" s="141"/>
      <c r="CG509" s="141"/>
      <c r="CH509" s="141"/>
      <c r="CI509" s="141"/>
      <c r="CJ509" s="141"/>
      <c r="CK509" s="141"/>
    </row>
    <row r="510" spans="74:89" ht="49.5" customHeight="1" x14ac:dyDescent="0.35">
      <c r="BV510" s="140"/>
      <c r="BY510" s="141"/>
      <c r="BZ510" s="141"/>
      <c r="CA510" s="141"/>
      <c r="CB510" s="141"/>
      <c r="CC510" s="141"/>
      <c r="CD510" s="141"/>
      <c r="CE510" s="141"/>
      <c r="CF510" s="141"/>
      <c r="CG510" s="141"/>
      <c r="CH510" s="141"/>
      <c r="CI510" s="141"/>
      <c r="CJ510" s="141"/>
      <c r="CK510" s="141"/>
    </row>
    <row r="511" spans="74:89" ht="49.5" customHeight="1" x14ac:dyDescent="0.35">
      <c r="BV511" s="140"/>
      <c r="BY511" s="141"/>
      <c r="BZ511" s="141"/>
      <c r="CA511" s="141"/>
      <c r="CB511" s="141"/>
      <c r="CC511" s="141"/>
      <c r="CD511" s="141"/>
      <c r="CE511" s="141"/>
      <c r="CF511" s="141"/>
      <c r="CG511" s="141"/>
      <c r="CH511" s="141"/>
      <c r="CI511" s="141"/>
      <c r="CJ511" s="141"/>
      <c r="CK511" s="141"/>
    </row>
    <row r="512" spans="74:89" ht="49.5" customHeight="1" x14ac:dyDescent="0.35">
      <c r="BV512" s="140"/>
      <c r="BY512" s="141"/>
      <c r="BZ512" s="141"/>
      <c r="CA512" s="141"/>
      <c r="CB512" s="141"/>
      <c r="CC512" s="141"/>
      <c r="CD512" s="141"/>
      <c r="CE512" s="141"/>
      <c r="CF512" s="141"/>
      <c r="CG512" s="141"/>
      <c r="CH512" s="141"/>
      <c r="CI512" s="141"/>
      <c r="CJ512" s="141"/>
      <c r="CK512" s="141"/>
    </row>
    <row r="513" spans="74:89" ht="49.5" customHeight="1" x14ac:dyDescent="0.35">
      <c r="BV513" s="140"/>
      <c r="BY513" s="141"/>
      <c r="BZ513" s="141"/>
      <c r="CA513" s="141"/>
      <c r="CB513" s="141"/>
      <c r="CC513" s="141"/>
      <c r="CD513" s="141"/>
      <c r="CE513" s="141"/>
      <c r="CF513" s="141"/>
      <c r="CG513" s="141"/>
      <c r="CH513" s="141"/>
      <c r="CI513" s="141"/>
      <c r="CJ513" s="141"/>
      <c r="CK513" s="141"/>
    </row>
    <row r="514" spans="74:89" ht="49.5" customHeight="1" x14ac:dyDescent="0.35">
      <c r="BV514" s="140"/>
      <c r="BY514" s="141"/>
      <c r="BZ514" s="141"/>
      <c r="CA514" s="141"/>
      <c r="CB514" s="141"/>
      <c r="CC514" s="141"/>
      <c r="CD514" s="141"/>
      <c r="CE514" s="141"/>
      <c r="CF514" s="141"/>
      <c r="CG514" s="141"/>
      <c r="CH514" s="141"/>
      <c r="CI514" s="141"/>
      <c r="CJ514" s="141"/>
      <c r="CK514" s="141"/>
    </row>
    <row r="515" spans="74:89" ht="49.5" customHeight="1" x14ac:dyDescent="0.35">
      <c r="BV515" s="140"/>
      <c r="BY515" s="141"/>
      <c r="BZ515" s="141"/>
      <c r="CA515" s="141"/>
      <c r="CB515" s="141"/>
      <c r="CC515" s="141"/>
      <c r="CD515" s="141"/>
      <c r="CE515" s="141"/>
      <c r="CF515" s="141"/>
      <c r="CG515" s="141"/>
      <c r="CH515" s="141"/>
      <c r="CI515" s="141"/>
      <c r="CJ515" s="141"/>
      <c r="CK515" s="141"/>
    </row>
    <row r="516" spans="74:89" ht="49.5" customHeight="1" x14ac:dyDescent="0.35">
      <c r="BV516" s="140"/>
      <c r="BY516" s="141"/>
      <c r="BZ516" s="141"/>
      <c r="CA516" s="141"/>
      <c r="CB516" s="141"/>
      <c r="CC516" s="141"/>
      <c r="CD516" s="141"/>
      <c r="CE516" s="141"/>
      <c r="CF516" s="141"/>
      <c r="CG516" s="141"/>
      <c r="CH516" s="141"/>
      <c r="CI516" s="141"/>
      <c r="CJ516" s="141"/>
      <c r="CK516" s="141"/>
    </row>
    <row r="517" spans="74:89" ht="49.5" customHeight="1" x14ac:dyDescent="0.35">
      <c r="BV517" s="140"/>
      <c r="BY517" s="141"/>
      <c r="BZ517" s="141"/>
      <c r="CA517" s="141"/>
      <c r="CB517" s="141"/>
      <c r="CC517" s="141"/>
      <c r="CD517" s="141"/>
      <c r="CE517" s="141"/>
      <c r="CF517" s="141"/>
      <c r="CG517" s="141"/>
      <c r="CH517" s="141"/>
      <c r="CI517" s="141"/>
      <c r="CJ517" s="141"/>
      <c r="CK517" s="141"/>
    </row>
    <row r="518" spans="74:89" ht="49.5" customHeight="1" x14ac:dyDescent="0.35">
      <c r="BV518" s="140"/>
      <c r="BY518" s="141"/>
      <c r="BZ518" s="141"/>
      <c r="CA518" s="141"/>
      <c r="CB518" s="141"/>
      <c r="CC518" s="141"/>
      <c r="CD518" s="141"/>
      <c r="CE518" s="141"/>
      <c r="CF518" s="141"/>
      <c r="CG518" s="141"/>
      <c r="CH518" s="141"/>
      <c r="CI518" s="141"/>
      <c r="CJ518" s="141"/>
      <c r="CK518" s="141"/>
    </row>
    <row r="519" spans="74:89" ht="49.5" customHeight="1" x14ac:dyDescent="0.35">
      <c r="BV519" s="140"/>
      <c r="BY519" s="141"/>
      <c r="BZ519" s="141"/>
      <c r="CA519" s="141"/>
      <c r="CB519" s="141"/>
      <c r="CC519" s="141"/>
      <c r="CD519" s="141"/>
      <c r="CE519" s="141"/>
      <c r="CF519" s="141"/>
      <c r="CG519" s="141"/>
      <c r="CH519" s="141"/>
      <c r="CI519" s="141"/>
      <c r="CJ519" s="141"/>
      <c r="CK519" s="141"/>
    </row>
    <row r="520" spans="74:89" ht="49.5" customHeight="1" x14ac:dyDescent="0.35">
      <c r="BV520" s="140"/>
      <c r="BY520" s="141"/>
      <c r="BZ520" s="141"/>
      <c r="CA520" s="141"/>
      <c r="CB520" s="141"/>
      <c r="CC520" s="141"/>
      <c r="CD520" s="141"/>
      <c r="CE520" s="141"/>
      <c r="CF520" s="141"/>
      <c r="CG520" s="141"/>
      <c r="CH520" s="141"/>
      <c r="CI520" s="141"/>
      <c r="CJ520" s="141"/>
      <c r="CK520" s="141"/>
    </row>
    <row r="521" spans="74:89" ht="49.5" customHeight="1" x14ac:dyDescent="0.35">
      <c r="BV521" s="140"/>
      <c r="BY521" s="141"/>
      <c r="BZ521" s="141"/>
      <c r="CA521" s="141"/>
      <c r="CB521" s="141"/>
      <c r="CC521" s="141"/>
      <c r="CD521" s="141"/>
      <c r="CE521" s="141"/>
      <c r="CF521" s="141"/>
      <c r="CG521" s="141"/>
      <c r="CH521" s="141"/>
      <c r="CI521" s="141"/>
      <c r="CJ521" s="141"/>
      <c r="CK521" s="141"/>
    </row>
    <row r="522" spans="74:89" ht="49.5" customHeight="1" x14ac:dyDescent="0.35">
      <c r="BV522" s="140"/>
      <c r="BY522" s="141"/>
      <c r="BZ522" s="141"/>
      <c r="CA522" s="141"/>
      <c r="CB522" s="141"/>
      <c r="CC522" s="141"/>
      <c r="CD522" s="141"/>
      <c r="CE522" s="141"/>
      <c r="CF522" s="141"/>
      <c r="CG522" s="141"/>
      <c r="CH522" s="141"/>
      <c r="CI522" s="141"/>
      <c r="CJ522" s="141"/>
      <c r="CK522" s="141"/>
    </row>
    <row r="523" spans="74:89" ht="49.5" customHeight="1" x14ac:dyDescent="0.35">
      <c r="BV523" s="140"/>
      <c r="BY523" s="141"/>
      <c r="BZ523" s="141"/>
      <c r="CA523" s="141"/>
      <c r="CB523" s="141"/>
      <c r="CC523" s="141"/>
      <c r="CD523" s="141"/>
      <c r="CE523" s="141"/>
      <c r="CF523" s="141"/>
      <c r="CG523" s="141"/>
      <c r="CH523" s="141"/>
      <c r="CI523" s="141"/>
      <c r="CJ523" s="141"/>
      <c r="CK523" s="141"/>
    </row>
    <row r="524" spans="74:89" ht="49.5" customHeight="1" x14ac:dyDescent="0.35">
      <c r="BV524" s="140"/>
      <c r="BY524" s="141"/>
      <c r="BZ524" s="141"/>
      <c r="CA524" s="141"/>
      <c r="CB524" s="141"/>
      <c r="CC524" s="141"/>
      <c r="CD524" s="141"/>
      <c r="CE524" s="141"/>
      <c r="CF524" s="141"/>
      <c r="CG524" s="141"/>
      <c r="CH524" s="141"/>
      <c r="CI524" s="141"/>
      <c r="CJ524" s="141"/>
      <c r="CK524" s="141"/>
    </row>
    <row r="525" spans="74:89" ht="49.5" customHeight="1" x14ac:dyDescent="0.35">
      <c r="BV525" s="140"/>
      <c r="BY525" s="141"/>
      <c r="BZ525" s="141"/>
      <c r="CA525" s="141"/>
      <c r="CB525" s="141"/>
      <c r="CC525" s="141"/>
      <c r="CD525" s="141"/>
      <c r="CE525" s="141"/>
      <c r="CF525" s="141"/>
      <c r="CG525" s="141"/>
      <c r="CH525" s="141"/>
      <c r="CI525" s="141"/>
      <c r="CJ525" s="141"/>
      <c r="CK525" s="141"/>
    </row>
    <row r="526" spans="74:89" ht="49.5" customHeight="1" x14ac:dyDescent="0.35">
      <c r="BV526" s="140"/>
      <c r="BY526" s="141"/>
      <c r="BZ526" s="141"/>
      <c r="CA526" s="141"/>
      <c r="CB526" s="141"/>
      <c r="CC526" s="141"/>
      <c r="CD526" s="141"/>
      <c r="CE526" s="141"/>
      <c r="CF526" s="141"/>
      <c r="CG526" s="141"/>
      <c r="CH526" s="141"/>
      <c r="CI526" s="141"/>
      <c r="CJ526" s="141"/>
      <c r="CK526" s="141"/>
    </row>
    <row r="527" spans="74:89" ht="49.5" customHeight="1" x14ac:dyDescent="0.35">
      <c r="BV527" s="140"/>
      <c r="BY527" s="141"/>
      <c r="BZ527" s="141"/>
      <c r="CA527" s="141"/>
      <c r="CB527" s="141"/>
      <c r="CC527" s="141"/>
      <c r="CD527" s="141"/>
      <c r="CE527" s="141"/>
      <c r="CF527" s="141"/>
      <c r="CG527" s="141"/>
      <c r="CH527" s="141"/>
      <c r="CI527" s="141"/>
      <c r="CJ527" s="141"/>
      <c r="CK527" s="141"/>
    </row>
    <row r="528" spans="74:89" ht="49.5" customHeight="1" x14ac:dyDescent="0.35">
      <c r="BV528" s="140"/>
      <c r="BY528" s="141"/>
      <c r="BZ528" s="141"/>
      <c r="CA528" s="141"/>
      <c r="CB528" s="141"/>
      <c r="CC528" s="141"/>
      <c r="CD528" s="141"/>
      <c r="CE528" s="141"/>
      <c r="CF528" s="141"/>
      <c r="CG528" s="141"/>
      <c r="CH528" s="141"/>
      <c r="CI528" s="141"/>
      <c r="CJ528" s="141"/>
      <c r="CK528" s="141"/>
    </row>
    <row r="529" spans="74:89" ht="49.5" customHeight="1" x14ac:dyDescent="0.35">
      <c r="BV529" s="140"/>
      <c r="BY529" s="141"/>
      <c r="BZ529" s="141"/>
      <c r="CA529" s="141"/>
      <c r="CB529" s="141"/>
      <c r="CC529" s="141"/>
      <c r="CD529" s="141"/>
      <c r="CE529" s="141"/>
      <c r="CF529" s="141"/>
      <c r="CG529" s="141"/>
      <c r="CH529" s="141"/>
      <c r="CI529" s="141"/>
      <c r="CJ529" s="141"/>
      <c r="CK529" s="141"/>
    </row>
    <row r="530" spans="74:89" ht="49.5" customHeight="1" x14ac:dyDescent="0.35">
      <c r="BV530" s="140"/>
      <c r="BY530" s="141"/>
      <c r="BZ530" s="141"/>
      <c r="CA530" s="141"/>
      <c r="CB530" s="141"/>
      <c r="CC530" s="141"/>
      <c r="CD530" s="141"/>
      <c r="CE530" s="141"/>
      <c r="CF530" s="141"/>
      <c r="CG530" s="141"/>
      <c r="CH530" s="141"/>
      <c r="CI530" s="141"/>
      <c r="CJ530" s="141"/>
      <c r="CK530" s="141"/>
    </row>
    <row r="531" spans="74:89" ht="49.5" customHeight="1" x14ac:dyDescent="0.35">
      <c r="BV531" s="140"/>
      <c r="BY531" s="141"/>
      <c r="BZ531" s="141"/>
      <c r="CA531" s="141"/>
      <c r="CB531" s="141"/>
      <c r="CC531" s="141"/>
      <c r="CD531" s="141"/>
      <c r="CE531" s="141"/>
      <c r="CF531" s="141"/>
      <c r="CG531" s="141"/>
      <c r="CH531" s="141"/>
      <c r="CI531" s="141"/>
      <c r="CJ531" s="141"/>
      <c r="CK531" s="141"/>
    </row>
    <row r="532" spans="74:89" ht="49.5" customHeight="1" x14ac:dyDescent="0.35">
      <c r="BV532" s="140"/>
      <c r="BY532" s="141"/>
      <c r="BZ532" s="141"/>
      <c r="CA532" s="141"/>
      <c r="CB532" s="141"/>
      <c r="CC532" s="141"/>
      <c r="CD532" s="141"/>
      <c r="CE532" s="141"/>
      <c r="CF532" s="141"/>
      <c r="CG532" s="141"/>
      <c r="CH532" s="141"/>
      <c r="CI532" s="141"/>
      <c r="CJ532" s="141"/>
      <c r="CK532" s="141"/>
    </row>
    <row r="533" spans="74:89" ht="49.5" customHeight="1" x14ac:dyDescent="0.35">
      <c r="BV533" s="140"/>
      <c r="BY533" s="141"/>
      <c r="BZ533" s="141"/>
      <c r="CA533" s="141"/>
      <c r="CB533" s="141"/>
      <c r="CC533" s="141"/>
      <c r="CD533" s="141"/>
      <c r="CE533" s="141"/>
      <c r="CF533" s="141"/>
      <c r="CG533" s="141"/>
      <c r="CH533" s="141"/>
      <c r="CI533" s="141"/>
      <c r="CJ533" s="141"/>
      <c r="CK533" s="141"/>
    </row>
    <row r="534" spans="74:89" ht="49.5" customHeight="1" x14ac:dyDescent="0.35">
      <c r="BV534" s="140"/>
      <c r="BY534" s="141"/>
      <c r="BZ534" s="141"/>
      <c r="CA534" s="141"/>
      <c r="CB534" s="141"/>
      <c r="CC534" s="141"/>
      <c r="CD534" s="141"/>
      <c r="CE534" s="141"/>
      <c r="CF534" s="141"/>
      <c r="CG534" s="141"/>
      <c r="CH534" s="141"/>
      <c r="CI534" s="141"/>
      <c r="CJ534" s="141"/>
      <c r="CK534" s="141"/>
    </row>
    <row r="535" spans="74:89" ht="49.5" customHeight="1" x14ac:dyDescent="0.35">
      <c r="BV535" s="140"/>
      <c r="BY535" s="141"/>
      <c r="BZ535" s="141"/>
      <c r="CA535" s="141"/>
      <c r="CB535" s="141"/>
      <c r="CC535" s="141"/>
      <c r="CD535" s="141"/>
      <c r="CE535" s="141"/>
      <c r="CF535" s="141"/>
      <c r="CG535" s="141"/>
      <c r="CH535" s="141"/>
      <c r="CI535" s="141"/>
      <c r="CJ535" s="141"/>
      <c r="CK535" s="141"/>
    </row>
    <row r="536" spans="74:89" ht="49.5" customHeight="1" x14ac:dyDescent="0.35">
      <c r="BV536" s="140"/>
      <c r="BY536" s="141"/>
      <c r="BZ536" s="141"/>
      <c r="CA536" s="141"/>
      <c r="CB536" s="141"/>
      <c r="CC536" s="141"/>
      <c r="CD536" s="141"/>
      <c r="CE536" s="141"/>
      <c r="CF536" s="141"/>
      <c r="CG536" s="141"/>
      <c r="CH536" s="141"/>
      <c r="CI536" s="141"/>
      <c r="CJ536" s="141"/>
      <c r="CK536" s="141"/>
    </row>
    <row r="537" spans="74:89" ht="49.5" customHeight="1" x14ac:dyDescent="0.35">
      <c r="BV537" s="140"/>
      <c r="BY537" s="141"/>
      <c r="BZ537" s="141"/>
      <c r="CA537" s="141"/>
      <c r="CB537" s="141"/>
      <c r="CC537" s="141"/>
      <c r="CD537" s="141"/>
      <c r="CE537" s="141"/>
      <c r="CF537" s="141"/>
      <c r="CG537" s="141"/>
      <c r="CH537" s="141"/>
      <c r="CI537" s="141"/>
      <c r="CJ537" s="141"/>
      <c r="CK537" s="141"/>
    </row>
    <row r="538" spans="74:89" ht="49.5" customHeight="1" x14ac:dyDescent="0.35">
      <c r="BV538" s="140"/>
      <c r="BY538" s="141"/>
      <c r="BZ538" s="141"/>
      <c r="CA538" s="141"/>
      <c r="CB538" s="141"/>
      <c r="CC538" s="141"/>
      <c r="CD538" s="141"/>
      <c r="CE538" s="141"/>
      <c r="CF538" s="141"/>
      <c r="CG538" s="141"/>
      <c r="CH538" s="141"/>
      <c r="CI538" s="141"/>
      <c r="CJ538" s="141"/>
      <c r="CK538" s="141"/>
    </row>
    <row r="539" spans="74:89" ht="49.5" customHeight="1" x14ac:dyDescent="0.35">
      <c r="BV539" s="140"/>
      <c r="BY539" s="141"/>
      <c r="BZ539" s="141"/>
      <c r="CA539" s="141"/>
      <c r="CB539" s="141"/>
      <c r="CC539" s="141"/>
      <c r="CD539" s="141"/>
      <c r="CE539" s="141"/>
      <c r="CF539" s="141"/>
      <c r="CG539" s="141"/>
      <c r="CH539" s="141"/>
      <c r="CI539" s="141"/>
      <c r="CJ539" s="141"/>
      <c r="CK539" s="141"/>
    </row>
    <row r="540" spans="74:89" ht="49.5" customHeight="1" x14ac:dyDescent="0.35">
      <c r="BV540" s="140"/>
      <c r="BY540" s="141"/>
      <c r="BZ540" s="141"/>
      <c r="CA540" s="141"/>
      <c r="CB540" s="141"/>
      <c r="CC540" s="141"/>
      <c r="CD540" s="141"/>
      <c r="CE540" s="141"/>
      <c r="CF540" s="141"/>
      <c r="CG540" s="141"/>
      <c r="CH540" s="141"/>
      <c r="CI540" s="141"/>
      <c r="CJ540" s="141"/>
      <c r="CK540" s="141"/>
    </row>
    <row r="541" spans="74:89" ht="49.5" customHeight="1" x14ac:dyDescent="0.35">
      <c r="BV541" s="140"/>
      <c r="BY541" s="141"/>
      <c r="BZ541" s="141"/>
      <c r="CA541" s="141"/>
      <c r="CB541" s="141"/>
      <c r="CC541" s="141"/>
      <c r="CD541" s="141"/>
      <c r="CE541" s="141"/>
      <c r="CF541" s="141"/>
      <c r="CG541" s="141"/>
      <c r="CH541" s="141"/>
      <c r="CI541" s="141"/>
      <c r="CJ541" s="141"/>
      <c r="CK541" s="141"/>
    </row>
    <row r="542" spans="74:89" ht="49.5" customHeight="1" x14ac:dyDescent="0.35">
      <c r="BV542" s="140"/>
      <c r="BY542" s="141"/>
      <c r="BZ542" s="141"/>
      <c r="CA542" s="141"/>
      <c r="CB542" s="141"/>
      <c r="CC542" s="141"/>
      <c r="CD542" s="141"/>
      <c r="CE542" s="141"/>
      <c r="CF542" s="141"/>
      <c r="CG542" s="141"/>
      <c r="CH542" s="141"/>
      <c r="CI542" s="141"/>
      <c r="CJ542" s="141"/>
      <c r="CK542" s="141"/>
    </row>
    <row r="543" spans="74:89" ht="49.5" customHeight="1" x14ac:dyDescent="0.35">
      <c r="BV543" s="140"/>
      <c r="BY543" s="141"/>
      <c r="BZ543" s="141"/>
      <c r="CA543" s="141"/>
      <c r="CB543" s="141"/>
      <c r="CC543" s="141"/>
      <c r="CD543" s="141"/>
      <c r="CE543" s="141"/>
      <c r="CF543" s="141"/>
      <c r="CG543" s="141"/>
      <c r="CH543" s="141"/>
      <c r="CI543" s="141"/>
      <c r="CJ543" s="141"/>
      <c r="CK543" s="141"/>
    </row>
    <row r="544" spans="74:89" ht="49.5" customHeight="1" x14ac:dyDescent="0.35">
      <c r="BV544" s="140"/>
      <c r="BY544" s="141"/>
      <c r="BZ544" s="141"/>
      <c r="CA544" s="141"/>
      <c r="CB544" s="141"/>
      <c r="CC544" s="141"/>
      <c r="CD544" s="141"/>
      <c r="CE544" s="141"/>
      <c r="CF544" s="141"/>
      <c r="CG544" s="141"/>
      <c r="CH544" s="141"/>
      <c r="CI544" s="141"/>
      <c r="CJ544" s="141"/>
      <c r="CK544" s="141"/>
    </row>
    <row r="545" spans="74:89" ht="49.5" customHeight="1" x14ac:dyDescent="0.35">
      <c r="BV545" s="140"/>
      <c r="BY545" s="141"/>
      <c r="BZ545" s="141"/>
      <c r="CA545" s="141"/>
      <c r="CB545" s="141"/>
      <c r="CC545" s="141"/>
      <c r="CD545" s="141"/>
      <c r="CE545" s="141"/>
      <c r="CF545" s="141"/>
      <c r="CG545" s="141"/>
      <c r="CH545" s="141"/>
      <c r="CI545" s="141"/>
      <c r="CJ545" s="141"/>
      <c r="CK545" s="141"/>
    </row>
    <row r="546" spans="74:89" ht="49.5" customHeight="1" x14ac:dyDescent="0.35">
      <c r="BV546" s="140"/>
      <c r="BY546" s="141"/>
      <c r="BZ546" s="141"/>
      <c r="CA546" s="141"/>
      <c r="CB546" s="141"/>
      <c r="CC546" s="141"/>
      <c r="CD546" s="141"/>
      <c r="CE546" s="141"/>
      <c r="CF546" s="141"/>
      <c r="CG546" s="141"/>
      <c r="CH546" s="141"/>
      <c r="CI546" s="141"/>
      <c r="CJ546" s="141"/>
      <c r="CK546" s="141"/>
    </row>
    <row r="547" spans="74:89" ht="49.5" customHeight="1" x14ac:dyDescent="0.35">
      <c r="BV547" s="140"/>
      <c r="BY547" s="141"/>
      <c r="BZ547" s="141"/>
      <c r="CA547" s="141"/>
      <c r="CB547" s="141"/>
      <c r="CC547" s="141"/>
      <c r="CD547" s="141"/>
      <c r="CE547" s="141"/>
      <c r="CF547" s="141"/>
      <c r="CG547" s="141"/>
      <c r="CH547" s="141"/>
      <c r="CI547" s="141"/>
      <c r="CJ547" s="141"/>
      <c r="CK547" s="141"/>
    </row>
    <row r="548" spans="74:89" ht="49.5" customHeight="1" x14ac:dyDescent="0.35">
      <c r="BV548" s="140"/>
      <c r="BY548" s="141"/>
      <c r="BZ548" s="141"/>
      <c r="CA548" s="141"/>
      <c r="CB548" s="141"/>
      <c r="CC548" s="141"/>
      <c r="CD548" s="141"/>
      <c r="CE548" s="141"/>
      <c r="CF548" s="141"/>
      <c r="CG548" s="141"/>
      <c r="CH548" s="141"/>
      <c r="CI548" s="141"/>
      <c r="CJ548" s="141"/>
      <c r="CK548" s="141"/>
    </row>
    <row r="549" spans="74:89" ht="49.5" customHeight="1" x14ac:dyDescent="0.35">
      <c r="BV549" s="140"/>
      <c r="BY549" s="141"/>
      <c r="BZ549" s="141"/>
      <c r="CA549" s="141"/>
      <c r="CB549" s="141"/>
      <c r="CC549" s="141"/>
      <c r="CD549" s="141"/>
      <c r="CE549" s="141"/>
      <c r="CF549" s="141"/>
      <c r="CG549" s="141"/>
      <c r="CH549" s="141"/>
      <c r="CI549" s="141"/>
      <c r="CJ549" s="141"/>
      <c r="CK549" s="141"/>
    </row>
    <row r="550" spans="74:89" ht="49.5" customHeight="1" x14ac:dyDescent="0.35">
      <c r="BV550" s="140"/>
      <c r="BY550" s="141"/>
      <c r="BZ550" s="141"/>
      <c r="CA550" s="141"/>
      <c r="CB550" s="141"/>
      <c r="CC550" s="141"/>
      <c r="CD550" s="141"/>
      <c r="CE550" s="141"/>
      <c r="CF550" s="141"/>
      <c r="CG550" s="141"/>
      <c r="CH550" s="141"/>
      <c r="CI550" s="141"/>
      <c r="CJ550" s="141"/>
      <c r="CK550" s="141"/>
    </row>
    <row r="551" spans="74:89" ht="49.5" customHeight="1" x14ac:dyDescent="0.35">
      <c r="BV551" s="140"/>
      <c r="BY551" s="141"/>
      <c r="BZ551" s="141"/>
      <c r="CA551" s="141"/>
      <c r="CB551" s="141"/>
      <c r="CC551" s="141"/>
      <c r="CD551" s="141"/>
      <c r="CE551" s="141"/>
      <c r="CF551" s="141"/>
      <c r="CG551" s="141"/>
      <c r="CH551" s="141"/>
      <c r="CI551" s="141"/>
      <c r="CJ551" s="141"/>
      <c r="CK551" s="141"/>
    </row>
    <row r="552" spans="74:89" ht="49.5" customHeight="1" x14ac:dyDescent="0.35">
      <c r="BV552" s="140"/>
      <c r="BY552" s="141"/>
      <c r="BZ552" s="141"/>
      <c r="CA552" s="141"/>
      <c r="CB552" s="141"/>
      <c r="CC552" s="141"/>
      <c r="CD552" s="141"/>
      <c r="CE552" s="141"/>
      <c r="CF552" s="141"/>
      <c r="CG552" s="141"/>
      <c r="CH552" s="141"/>
      <c r="CI552" s="141"/>
      <c r="CJ552" s="141"/>
      <c r="CK552" s="141"/>
    </row>
    <row r="553" spans="74:89" ht="49.5" customHeight="1" x14ac:dyDescent="0.35">
      <c r="BV553" s="140"/>
      <c r="BY553" s="141"/>
      <c r="BZ553" s="141"/>
      <c r="CA553" s="141"/>
      <c r="CB553" s="141"/>
      <c r="CC553" s="141"/>
      <c r="CD553" s="141"/>
      <c r="CE553" s="141"/>
      <c r="CF553" s="141"/>
      <c r="CG553" s="141"/>
      <c r="CH553" s="141"/>
      <c r="CI553" s="141"/>
      <c r="CJ553" s="141"/>
      <c r="CK553" s="141"/>
    </row>
    <row r="554" spans="74:89" ht="49.5" customHeight="1" x14ac:dyDescent="0.35">
      <c r="BV554" s="140"/>
      <c r="BY554" s="141"/>
      <c r="BZ554" s="141"/>
      <c r="CA554" s="141"/>
      <c r="CB554" s="141"/>
      <c r="CC554" s="141"/>
      <c r="CD554" s="141"/>
      <c r="CE554" s="141"/>
      <c r="CF554" s="141"/>
      <c r="CG554" s="141"/>
      <c r="CH554" s="141"/>
      <c r="CI554" s="141"/>
      <c r="CJ554" s="141"/>
      <c r="CK554" s="141"/>
    </row>
    <row r="555" spans="74:89" ht="49.5" customHeight="1" x14ac:dyDescent="0.35">
      <c r="BV555" s="140"/>
      <c r="BY555" s="141"/>
      <c r="BZ555" s="141"/>
      <c r="CA555" s="141"/>
      <c r="CB555" s="141"/>
      <c r="CC555" s="141"/>
      <c r="CD555" s="141"/>
      <c r="CE555" s="141"/>
      <c r="CF555" s="141"/>
      <c r="CG555" s="141"/>
      <c r="CH555" s="141"/>
      <c r="CI555" s="141"/>
      <c r="CJ555" s="141"/>
      <c r="CK555" s="141"/>
    </row>
    <row r="556" spans="74:89" ht="49.5" customHeight="1" x14ac:dyDescent="0.35">
      <c r="BV556" s="140"/>
      <c r="BY556" s="141"/>
      <c r="BZ556" s="141"/>
      <c r="CA556" s="141"/>
      <c r="CB556" s="141"/>
      <c r="CC556" s="141"/>
      <c r="CD556" s="141"/>
      <c r="CE556" s="141"/>
      <c r="CF556" s="141"/>
      <c r="CG556" s="141"/>
      <c r="CH556" s="141"/>
      <c r="CI556" s="141"/>
      <c r="CJ556" s="141"/>
      <c r="CK556" s="141"/>
    </row>
    <row r="557" spans="74:89" ht="49.5" customHeight="1" x14ac:dyDescent="0.35">
      <c r="BV557" s="140"/>
      <c r="BY557" s="141"/>
      <c r="BZ557" s="141"/>
      <c r="CA557" s="141"/>
      <c r="CB557" s="141"/>
      <c r="CC557" s="141"/>
      <c r="CD557" s="141"/>
      <c r="CE557" s="141"/>
      <c r="CF557" s="141"/>
      <c r="CG557" s="141"/>
      <c r="CH557" s="141"/>
      <c r="CI557" s="141"/>
      <c r="CJ557" s="141"/>
      <c r="CK557" s="141"/>
    </row>
    <row r="558" spans="74:89" ht="49.5" customHeight="1" x14ac:dyDescent="0.35">
      <c r="BV558" s="140"/>
      <c r="BY558" s="141"/>
      <c r="BZ558" s="141"/>
      <c r="CA558" s="141"/>
      <c r="CB558" s="141"/>
      <c r="CC558" s="141"/>
      <c r="CD558" s="141"/>
      <c r="CE558" s="141"/>
      <c r="CF558" s="141"/>
      <c r="CG558" s="141"/>
      <c r="CH558" s="141"/>
      <c r="CI558" s="141"/>
      <c r="CJ558" s="141"/>
      <c r="CK558" s="141"/>
    </row>
    <row r="559" spans="74:89" ht="49.5" customHeight="1" x14ac:dyDescent="0.35">
      <c r="BV559" s="140"/>
      <c r="BY559" s="141"/>
      <c r="BZ559" s="141"/>
      <c r="CA559" s="141"/>
      <c r="CB559" s="141"/>
      <c r="CC559" s="141"/>
      <c r="CD559" s="141"/>
      <c r="CE559" s="141"/>
      <c r="CF559" s="141"/>
      <c r="CG559" s="141"/>
      <c r="CH559" s="141"/>
      <c r="CI559" s="141"/>
      <c r="CJ559" s="141"/>
      <c r="CK559" s="141"/>
    </row>
    <row r="560" spans="74:89" ht="49.5" customHeight="1" x14ac:dyDescent="0.35">
      <c r="BV560" s="140"/>
      <c r="BY560" s="141"/>
      <c r="BZ560" s="141"/>
      <c r="CA560" s="141"/>
      <c r="CB560" s="141"/>
      <c r="CC560" s="141"/>
      <c r="CD560" s="141"/>
      <c r="CE560" s="141"/>
      <c r="CF560" s="141"/>
      <c r="CG560" s="141"/>
      <c r="CH560" s="141"/>
      <c r="CI560" s="141"/>
      <c r="CJ560" s="141"/>
      <c r="CK560" s="141"/>
    </row>
    <row r="561" spans="74:89" ht="49.5" customHeight="1" x14ac:dyDescent="0.35">
      <c r="BV561" s="140"/>
      <c r="BY561" s="141"/>
      <c r="BZ561" s="141"/>
      <c r="CA561" s="141"/>
      <c r="CB561" s="141"/>
      <c r="CC561" s="141"/>
      <c r="CD561" s="141"/>
      <c r="CE561" s="141"/>
      <c r="CF561" s="141"/>
      <c r="CG561" s="141"/>
      <c r="CH561" s="141"/>
      <c r="CI561" s="141"/>
      <c r="CJ561" s="141"/>
      <c r="CK561" s="141"/>
    </row>
    <row r="562" spans="74:89" ht="49.5" customHeight="1" x14ac:dyDescent="0.35">
      <c r="BV562" s="140"/>
      <c r="BY562" s="141"/>
      <c r="BZ562" s="141"/>
      <c r="CA562" s="141"/>
      <c r="CB562" s="141"/>
      <c r="CC562" s="141"/>
      <c r="CD562" s="141"/>
      <c r="CE562" s="141"/>
      <c r="CF562" s="141"/>
      <c r="CG562" s="141"/>
      <c r="CH562" s="141"/>
      <c r="CI562" s="141"/>
      <c r="CJ562" s="141"/>
      <c r="CK562" s="141"/>
    </row>
    <row r="563" spans="74:89" ht="49.5" customHeight="1" x14ac:dyDescent="0.35">
      <c r="BV563" s="140"/>
      <c r="BY563" s="141"/>
      <c r="BZ563" s="141"/>
      <c r="CA563" s="141"/>
      <c r="CB563" s="141"/>
      <c r="CC563" s="141"/>
      <c r="CD563" s="141"/>
      <c r="CE563" s="141"/>
      <c r="CF563" s="141"/>
      <c r="CG563" s="141"/>
      <c r="CH563" s="141"/>
      <c r="CI563" s="141"/>
      <c r="CJ563" s="141"/>
      <c r="CK563" s="141"/>
    </row>
    <row r="564" spans="74:89" ht="49.5" customHeight="1" x14ac:dyDescent="0.35">
      <c r="BV564" s="140"/>
      <c r="BY564" s="141"/>
      <c r="BZ564" s="141"/>
      <c r="CA564" s="141"/>
      <c r="CB564" s="141"/>
      <c r="CC564" s="141"/>
      <c r="CD564" s="141"/>
      <c r="CE564" s="141"/>
      <c r="CF564" s="141"/>
      <c r="CG564" s="141"/>
      <c r="CH564" s="141"/>
      <c r="CI564" s="141"/>
      <c r="CJ564" s="141"/>
      <c r="CK564" s="141"/>
    </row>
    <row r="565" spans="74:89" ht="49.5" customHeight="1" x14ac:dyDescent="0.35">
      <c r="BV565" s="140"/>
      <c r="BY565" s="141"/>
      <c r="BZ565" s="141"/>
      <c r="CA565" s="141"/>
      <c r="CB565" s="141"/>
      <c r="CC565" s="141"/>
      <c r="CD565" s="141"/>
      <c r="CE565" s="141"/>
      <c r="CF565" s="141"/>
      <c r="CG565" s="141"/>
      <c r="CH565" s="141"/>
      <c r="CI565" s="141"/>
      <c r="CJ565" s="141"/>
      <c r="CK565" s="141"/>
    </row>
    <row r="566" spans="74:89" ht="49.5" customHeight="1" x14ac:dyDescent="0.35">
      <c r="BV566" s="140"/>
      <c r="BY566" s="141"/>
      <c r="BZ566" s="141"/>
      <c r="CA566" s="141"/>
      <c r="CB566" s="141"/>
      <c r="CC566" s="141"/>
      <c r="CD566" s="141"/>
      <c r="CE566" s="141"/>
      <c r="CF566" s="141"/>
      <c r="CG566" s="141"/>
      <c r="CH566" s="141"/>
      <c r="CI566" s="141"/>
      <c r="CJ566" s="141"/>
      <c r="CK566" s="141"/>
    </row>
    <row r="567" spans="74:89" ht="49.5" customHeight="1" x14ac:dyDescent="0.35">
      <c r="BV567" s="140"/>
      <c r="BY567" s="141"/>
      <c r="BZ567" s="141"/>
      <c r="CA567" s="141"/>
      <c r="CB567" s="141"/>
      <c r="CC567" s="141"/>
      <c r="CD567" s="141"/>
      <c r="CE567" s="141"/>
      <c r="CF567" s="141"/>
      <c r="CG567" s="141"/>
      <c r="CH567" s="141"/>
      <c r="CI567" s="141"/>
      <c r="CJ567" s="141"/>
      <c r="CK567" s="141"/>
    </row>
    <row r="568" spans="74:89" ht="49.5" customHeight="1" x14ac:dyDescent="0.35">
      <c r="BV568" s="140"/>
      <c r="BY568" s="141"/>
      <c r="BZ568" s="141"/>
      <c r="CA568" s="141"/>
      <c r="CB568" s="141"/>
      <c r="CC568" s="141"/>
      <c r="CD568" s="141"/>
      <c r="CE568" s="141"/>
      <c r="CF568" s="141"/>
      <c r="CG568" s="141"/>
      <c r="CH568" s="141"/>
      <c r="CI568" s="141"/>
      <c r="CJ568" s="141"/>
      <c r="CK568" s="141"/>
    </row>
    <row r="569" spans="74:89" ht="49.5" customHeight="1" x14ac:dyDescent="0.35">
      <c r="BV569" s="140"/>
      <c r="BY569" s="141"/>
      <c r="BZ569" s="141"/>
      <c r="CA569" s="141"/>
      <c r="CB569" s="141"/>
      <c r="CC569" s="141"/>
      <c r="CD569" s="141"/>
      <c r="CE569" s="141"/>
      <c r="CF569" s="141"/>
      <c r="CG569" s="141"/>
      <c r="CH569" s="141"/>
      <c r="CI569" s="141"/>
      <c r="CJ569" s="141"/>
      <c r="CK569" s="141"/>
    </row>
    <row r="570" spans="74:89" ht="49.5" customHeight="1" x14ac:dyDescent="0.35">
      <c r="BV570" s="140"/>
      <c r="BY570" s="141"/>
      <c r="BZ570" s="141"/>
      <c r="CA570" s="141"/>
      <c r="CB570" s="141"/>
      <c r="CC570" s="141"/>
      <c r="CD570" s="141"/>
      <c r="CE570" s="141"/>
      <c r="CF570" s="141"/>
      <c r="CG570" s="141"/>
      <c r="CH570" s="141"/>
      <c r="CI570" s="141"/>
      <c r="CJ570" s="141"/>
      <c r="CK570" s="141"/>
    </row>
    <row r="571" spans="74:89" ht="49.5" customHeight="1" x14ac:dyDescent="0.35">
      <c r="BV571" s="140"/>
      <c r="BY571" s="141"/>
      <c r="BZ571" s="141"/>
      <c r="CA571" s="141"/>
      <c r="CB571" s="141"/>
      <c r="CC571" s="141"/>
      <c r="CD571" s="141"/>
      <c r="CE571" s="141"/>
      <c r="CF571" s="141"/>
      <c r="CG571" s="141"/>
      <c r="CH571" s="141"/>
      <c r="CI571" s="141"/>
      <c r="CJ571" s="141"/>
      <c r="CK571" s="141"/>
    </row>
    <row r="572" spans="74:89" ht="49.5" customHeight="1" x14ac:dyDescent="0.35">
      <c r="BV572" s="140"/>
      <c r="BY572" s="141"/>
      <c r="BZ572" s="141"/>
      <c r="CA572" s="141"/>
      <c r="CB572" s="141"/>
      <c r="CC572" s="141"/>
      <c r="CD572" s="141"/>
      <c r="CE572" s="141"/>
      <c r="CF572" s="141"/>
      <c r="CG572" s="141"/>
      <c r="CH572" s="141"/>
      <c r="CI572" s="141"/>
      <c r="CJ572" s="141"/>
      <c r="CK572" s="141"/>
    </row>
    <row r="573" spans="74:89" ht="49.5" customHeight="1" x14ac:dyDescent="0.35">
      <c r="BV573" s="140"/>
      <c r="BY573" s="141"/>
      <c r="BZ573" s="141"/>
      <c r="CA573" s="141"/>
      <c r="CB573" s="141"/>
      <c r="CC573" s="141"/>
      <c r="CD573" s="141"/>
      <c r="CE573" s="141"/>
      <c r="CF573" s="141"/>
      <c r="CG573" s="141"/>
      <c r="CH573" s="141"/>
      <c r="CI573" s="141"/>
      <c r="CJ573" s="141"/>
      <c r="CK573" s="141"/>
    </row>
    <row r="574" spans="74:89" ht="49.5" customHeight="1" x14ac:dyDescent="0.35">
      <c r="BV574" s="140"/>
      <c r="BY574" s="141"/>
      <c r="BZ574" s="141"/>
      <c r="CA574" s="141"/>
      <c r="CB574" s="141"/>
      <c r="CC574" s="141"/>
      <c r="CD574" s="141"/>
      <c r="CE574" s="141"/>
      <c r="CF574" s="141"/>
      <c r="CG574" s="141"/>
      <c r="CH574" s="141"/>
      <c r="CI574" s="141"/>
      <c r="CJ574" s="141"/>
      <c r="CK574" s="141"/>
    </row>
    <row r="575" spans="74:89" ht="49.5" customHeight="1" x14ac:dyDescent="0.35">
      <c r="BV575" s="140"/>
      <c r="BY575" s="141"/>
      <c r="BZ575" s="141"/>
      <c r="CA575" s="141"/>
      <c r="CB575" s="141"/>
      <c r="CC575" s="141"/>
      <c r="CD575" s="141"/>
      <c r="CE575" s="141"/>
      <c r="CF575" s="141"/>
      <c r="CG575" s="141"/>
      <c r="CH575" s="141"/>
      <c r="CI575" s="141"/>
      <c r="CJ575" s="141"/>
      <c r="CK575" s="141"/>
    </row>
    <row r="576" spans="74:89" ht="49.5" customHeight="1" x14ac:dyDescent="0.35">
      <c r="BV576" s="140"/>
      <c r="BY576" s="141"/>
      <c r="BZ576" s="141"/>
      <c r="CA576" s="141"/>
      <c r="CB576" s="141"/>
      <c r="CC576" s="141"/>
      <c r="CD576" s="141"/>
      <c r="CE576" s="141"/>
      <c r="CF576" s="141"/>
      <c r="CG576" s="141"/>
      <c r="CH576" s="141"/>
      <c r="CI576" s="141"/>
      <c r="CJ576" s="141"/>
      <c r="CK576" s="141"/>
    </row>
    <row r="577" spans="74:89" ht="49.5" customHeight="1" x14ac:dyDescent="0.35">
      <c r="BV577" s="140"/>
      <c r="BY577" s="141"/>
      <c r="BZ577" s="141"/>
      <c r="CA577" s="141"/>
      <c r="CB577" s="141"/>
      <c r="CC577" s="141"/>
      <c r="CD577" s="141"/>
      <c r="CE577" s="141"/>
      <c r="CF577" s="141"/>
      <c r="CG577" s="141"/>
      <c r="CH577" s="141"/>
      <c r="CI577" s="141"/>
      <c r="CJ577" s="141"/>
      <c r="CK577" s="141"/>
    </row>
    <row r="578" spans="74:89" ht="49.5" customHeight="1" x14ac:dyDescent="0.35">
      <c r="BV578" s="140"/>
      <c r="BY578" s="141"/>
      <c r="BZ578" s="141"/>
      <c r="CA578" s="141"/>
      <c r="CB578" s="141"/>
      <c r="CC578" s="141"/>
      <c r="CD578" s="141"/>
      <c r="CE578" s="141"/>
      <c r="CF578" s="141"/>
      <c r="CG578" s="141"/>
      <c r="CH578" s="141"/>
      <c r="CI578" s="141"/>
      <c r="CJ578" s="141"/>
      <c r="CK578" s="141"/>
    </row>
    <row r="579" spans="74:89" ht="49.5" customHeight="1" x14ac:dyDescent="0.35">
      <c r="BV579" s="140"/>
      <c r="BY579" s="141"/>
      <c r="BZ579" s="141"/>
      <c r="CA579" s="141"/>
      <c r="CB579" s="141"/>
      <c r="CC579" s="141"/>
      <c r="CD579" s="141"/>
      <c r="CE579" s="141"/>
      <c r="CF579" s="141"/>
      <c r="CG579" s="141"/>
      <c r="CH579" s="141"/>
      <c r="CI579" s="141"/>
      <c r="CJ579" s="141"/>
      <c r="CK579" s="141"/>
    </row>
    <row r="580" spans="74:89" ht="49.5" customHeight="1" x14ac:dyDescent="0.35">
      <c r="BV580" s="140"/>
      <c r="BY580" s="141"/>
      <c r="BZ580" s="141"/>
      <c r="CA580" s="141"/>
      <c r="CB580" s="141"/>
      <c r="CC580" s="141"/>
      <c r="CD580" s="141"/>
      <c r="CE580" s="141"/>
      <c r="CF580" s="141"/>
      <c r="CG580" s="141"/>
      <c r="CH580" s="141"/>
      <c r="CI580" s="141"/>
      <c r="CJ580" s="141"/>
      <c r="CK580" s="141"/>
    </row>
    <row r="581" spans="74:89" ht="49.5" customHeight="1" x14ac:dyDescent="0.35">
      <c r="BV581" s="140"/>
      <c r="BY581" s="141"/>
      <c r="BZ581" s="141"/>
      <c r="CA581" s="141"/>
      <c r="CB581" s="141"/>
      <c r="CC581" s="141"/>
      <c r="CD581" s="141"/>
      <c r="CE581" s="141"/>
      <c r="CF581" s="141"/>
      <c r="CG581" s="141"/>
      <c r="CH581" s="141"/>
      <c r="CI581" s="141"/>
      <c r="CJ581" s="141"/>
      <c r="CK581" s="141"/>
    </row>
    <row r="582" spans="74:89" ht="49.5" customHeight="1" x14ac:dyDescent="0.35">
      <c r="BV582" s="140"/>
      <c r="BY582" s="141"/>
      <c r="BZ582" s="141"/>
      <c r="CA582" s="141"/>
      <c r="CB582" s="141"/>
      <c r="CC582" s="141"/>
      <c r="CD582" s="141"/>
      <c r="CE582" s="141"/>
      <c r="CF582" s="141"/>
      <c r="CG582" s="141"/>
      <c r="CH582" s="141"/>
      <c r="CI582" s="141"/>
      <c r="CJ582" s="141"/>
      <c r="CK582" s="141"/>
    </row>
    <row r="583" spans="74:89" ht="49.5" customHeight="1" x14ac:dyDescent="0.35">
      <c r="BV583" s="140"/>
      <c r="BY583" s="141"/>
      <c r="BZ583" s="141"/>
      <c r="CA583" s="141"/>
      <c r="CB583" s="141"/>
      <c r="CC583" s="141"/>
      <c r="CD583" s="141"/>
      <c r="CE583" s="141"/>
      <c r="CF583" s="141"/>
      <c r="CG583" s="141"/>
      <c r="CH583" s="141"/>
      <c r="CI583" s="141"/>
      <c r="CJ583" s="141"/>
      <c r="CK583" s="141"/>
    </row>
    <row r="584" spans="74:89" ht="49.5" customHeight="1" x14ac:dyDescent="0.35">
      <c r="BV584" s="140"/>
      <c r="BY584" s="141"/>
      <c r="BZ584" s="141"/>
      <c r="CA584" s="141"/>
      <c r="CB584" s="141"/>
      <c r="CC584" s="141"/>
      <c r="CD584" s="141"/>
      <c r="CE584" s="141"/>
      <c r="CF584" s="141"/>
      <c r="CG584" s="141"/>
      <c r="CH584" s="141"/>
      <c r="CI584" s="141"/>
      <c r="CJ584" s="141"/>
      <c r="CK584" s="141"/>
    </row>
    <row r="585" spans="74:89" ht="49.5" customHeight="1" x14ac:dyDescent="0.35">
      <c r="BV585" s="140"/>
      <c r="BY585" s="141"/>
      <c r="BZ585" s="141"/>
      <c r="CA585" s="141"/>
      <c r="CB585" s="141"/>
      <c r="CC585" s="141"/>
      <c r="CD585" s="141"/>
      <c r="CE585" s="141"/>
      <c r="CF585" s="141"/>
      <c r="CG585" s="141"/>
      <c r="CH585" s="141"/>
      <c r="CI585" s="141"/>
      <c r="CJ585" s="141"/>
      <c r="CK585" s="141"/>
    </row>
    <row r="586" spans="74:89" ht="49.5" customHeight="1" x14ac:dyDescent="0.35">
      <c r="BV586" s="140"/>
      <c r="BY586" s="141"/>
      <c r="BZ586" s="141"/>
      <c r="CA586" s="141"/>
      <c r="CB586" s="141"/>
      <c r="CC586" s="141"/>
      <c r="CD586" s="141"/>
      <c r="CE586" s="141"/>
      <c r="CF586" s="141"/>
      <c r="CG586" s="141"/>
      <c r="CH586" s="141"/>
      <c r="CI586" s="141"/>
      <c r="CJ586" s="141"/>
      <c r="CK586" s="141"/>
    </row>
    <row r="587" spans="74:89" ht="49.5" customHeight="1" x14ac:dyDescent="0.35">
      <c r="BV587" s="140"/>
      <c r="BY587" s="141"/>
      <c r="BZ587" s="141"/>
      <c r="CA587" s="141"/>
      <c r="CB587" s="141"/>
      <c r="CC587" s="141"/>
      <c r="CD587" s="141"/>
      <c r="CE587" s="141"/>
      <c r="CF587" s="141"/>
      <c r="CG587" s="141"/>
      <c r="CH587" s="141"/>
      <c r="CI587" s="141"/>
      <c r="CJ587" s="141"/>
      <c r="CK587" s="141"/>
    </row>
    <row r="588" spans="74:89" ht="49.5" customHeight="1" x14ac:dyDescent="0.35">
      <c r="BV588" s="140"/>
      <c r="BY588" s="141"/>
      <c r="BZ588" s="141"/>
      <c r="CA588" s="141"/>
      <c r="CB588" s="141"/>
      <c r="CC588" s="141"/>
      <c r="CD588" s="141"/>
      <c r="CE588" s="141"/>
      <c r="CF588" s="141"/>
      <c r="CG588" s="141"/>
      <c r="CH588" s="141"/>
      <c r="CI588" s="141"/>
      <c r="CJ588" s="141"/>
      <c r="CK588" s="141"/>
    </row>
    <row r="589" spans="74:89" ht="49.5" customHeight="1" x14ac:dyDescent="0.35">
      <c r="BV589" s="140"/>
      <c r="BY589" s="141"/>
      <c r="BZ589" s="141"/>
      <c r="CA589" s="141"/>
      <c r="CB589" s="141"/>
      <c r="CC589" s="141"/>
      <c r="CD589" s="141"/>
      <c r="CE589" s="141"/>
      <c r="CF589" s="141"/>
      <c r="CG589" s="141"/>
      <c r="CH589" s="141"/>
      <c r="CI589" s="141"/>
      <c r="CJ589" s="141"/>
      <c r="CK589" s="141"/>
    </row>
    <row r="590" spans="74:89" ht="49.5" customHeight="1" x14ac:dyDescent="0.35">
      <c r="BV590" s="140"/>
      <c r="BY590" s="141"/>
      <c r="BZ590" s="141"/>
      <c r="CA590" s="141"/>
      <c r="CB590" s="141"/>
      <c r="CC590" s="141"/>
      <c r="CD590" s="141"/>
      <c r="CE590" s="141"/>
      <c r="CF590" s="141"/>
      <c r="CG590" s="141"/>
      <c r="CH590" s="141"/>
      <c r="CI590" s="141"/>
      <c r="CJ590" s="141"/>
      <c r="CK590" s="141"/>
    </row>
    <row r="591" spans="74:89" ht="49.5" customHeight="1" x14ac:dyDescent="0.35">
      <c r="BV591" s="140"/>
      <c r="BY591" s="141"/>
      <c r="BZ591" s="141"/>
      <c r="CA591" s="141"/>
      <c r="CB591" s="141"/>
      <c r="CC591" s="141"/>
      <c r="CD591" s="141"/>
      <c r="CE591" s="141"/>
      <c r="CF591" s="141"/>
      <c r="CG591" s="141"/>
      <c r="CH591" s="141"/>
      <c r="CI591" s="141"/>
      <c r="CJ591" s="141"/>
      <c r="CK591" s="141"/>
    </row>
    <row r="592" spans="74:89" ht="49.5" customHeight="1" x14ac:dyDescent="0.35">
      <c r="BV592" s="140"/>
      <c r="BY592" s="141"/>
      <c r="BZ592" s="141"/>
      <c r="CA592" s="141"/>
      <c r="CB592" s="141"/>
      <c r="CC592" s="141"/>
      <c r="CD592" s="141"/>
      <c r="CE592" s="141"/>
      <c r="CF592" s="141"/>
      <c r="CG592" s="141"/>
      <c r="CH592" s="141"/>
      <c r="CI592" s="141"/>
      <c r="CJ592" s="141"/>
      <c r="CK592" s="141"/>
    </row>
    <row r="593" spans="74:89" ht="49.5" customHeight="1" x14ac:dyDescent="0.35">
      <c r="BV593" s="140"/>
      <c r="BY593" s="141"/>
      <c r="BZ593" s="141"/>
      <c r="CA593" s="141"/>
      <c r="CB593" s="141"/>
      <c r="CC593" s="141"/>
      <c r="CD593" s="141"/>
      <c r="CE593" s="141"/>
      <c r="CF593" s="141"/>
      <c r="CG593" s="141"/>
      <c r="CH593" s="141"/>
      <c r="CI593" s="141"/>
      <c r="CJ593" s="141"/>
      <c r="CK593" s="141"/>
    </row>
    <row r="594" spans="74:89" ht="49.5" customHeight="1" x14ac:dyDescent="0.35">
      <c r="BV594" s="140"/>
      <c r="BY594" s="141"/>
      <c r="BZ594" s="141"/>
      <c r="CA594" s="141"/>
      <c r="CB594" s="141"/>
      <c r="CC594" s="141"/>
      <c r="CD594" s="141"/>
      <c r="CE594" s="141"/>
      <c r="CF594" s="141"/>
      <c r="CG594" s="141"/>
      <c r="CH594" s="141"/>
      <c r="CI594" s="141"/>
      <c r="CJ594" s="141"/>
      <c r="CK594" s="141"/>
    </row>
    <row r="595" spans="74:89" ht="49.5" customHeight="1" x14ac:dyDescent="0.35">
      <c r="BV595" s="140"/>
      <c r="BY595" s="141"/>
      <c r="BZ595" s="141"/>
      <c r="CA595" s="141"/>
      <c r="CB595" s="141"/>
      <c r="CC595" s="141"/>
      <c r="CD595" s="141"/>
      <c r="CE595" s="141"/>
      <c r="CF595" s="141"/>
      <c r="CG595" s="141"/>
      <c r="CH595" s="141"/>
      <c r="CI595" s="141"/>
      <c r="CJ595" s="141"/>
      <c r="CK595" s="141"/>
    </row>
    <row r="596" spans="74:89" ht="49.5" customHeight="1" x14ac:dyDescent="0.35">
      <c r="BV596" s="140"/>
      <c r="BY596" s="141"/>
      <c r="BZ596" s="141"/>
      <c r="CA596" s="141"/>
      <c r="CB596" s="141"/>
      <c r="CC596" s="141"/>
      <c r="CD596" s="141"/>
      <c r="CE596" s="141"/>
      <c r="CF596" s="141"/>
      <c r="CG596" s="141"/>
      <c r="CH596" s="141"/>
      <c r="CI596" s="141"/>
      <c r="CJ596" s="141"/>
      <c r="CK596" s="141"/>
    </row>
    <row r="597" spans="74:89" ht="49.5" customHeight="1" x14ac:dyDescent="0.35">
      <c r="BV597" s="140"/>
      <c r="BY597" s="141"/>
      <c r="BZ597" s="141"/>
      <c r="CA597" s="141"/>
      <c r="CB597" s="141"/>
      <c r="CC597" s="141"/>
      <c r="CD597" s="141"/>
      <c r="CE597" s="141"/>
      <c r="CF597" s="141"/>
      <c r="CG597" s="141"/>
      <c r="CH597" s="141"/>
      <c r="CI597" s="141"/>
      <c r="CJ597" s="141"/>
      <c r="CK597" s="141"/>
    </row>
    <row r="598" spans="74:89" ht="49.5" customHeight="1" x14ac:dyDescent="0.35">
      <c r="BV598" s="140"/>
      <c r="BY598" s="141"/>
      <c r="BZ598" s="141"/>
      <c r="CA598" s="141"/>
      <c r="CB598" s="141"/>
      <c r="CC598" s="141"/>
      <c r="CD598" s="141"/>
      <c r="CE598" s="141"/>
      <c r="CF598" s="141"/>
      <c r="CG598" s="141"/>
      <c r="CH598" s="141"/>
      <c r="CI598" s="141"/>
      <c r="CJ598" s="141"/>
      <c r="CK598" s="141"/>
    </row>
    <row r="599" spans="74:89" ht="49.5" customHeight="1" x14ac:dyDescent="0.35">
      <c r="BV599" s="140"/>
      <c r="BY599" s="141"/>
      <c r="BZ599" s="141"/>
      <c r="CA599" s="141"/>
      <c r="CB599" s="141"/>
      <c r="CC599" s="141"/>
      <c r="CD599" s="141"/>
      <c r="CE599" s="141"/>
      <c r="CF599" s="141"/>
      <c r="CG599" s="141"/>
      <c r="CH599" s="141"/>
      <c r="CI599" s="141"/>
      <c r="CJ599" s="141"/>
      <c r="CK599" s="141"/>
    </row>
    <row r="600" spans="74:89" ht="49.5" customHeight="1" x14ac:dyDescent="0.35">
      <c r="BV600" s="140"/>
      <c r="BY600" s="141"/>
      <c r="BZ600" s="141"/>
      <c r="CA600" s="141"/>
      <c r="CB600" s="141"/>
      <c r="CC600" s="141"/>
      <c r="CD600" s="141"/>
      <c r="CE600" s="141"/>
      <c r="CF600" s="141"/>
      <c r="CG600" s="141"/>
      <c r="CH600" s="141"/>
      <c r="CI600" s="141"/>
      <c r="CJ600" s="141"/>
      <c r="CK600" s="141"/>
    </row>
    <row r="601" spans="74:89" ht="49.5" customHeight="1" x14ac:dyDescent="0.35">
      <c r="BV601" s="140"/>
      <c r="BY601" s="141"/>
      <c r="BZ601" s="141"/>
      <c r="CA601" s="141"/>
      <c r="CB601" s="141"/>
      <c r="CC601" s="141"/>
      <c r="CD601" s="141"/>
      <c r="CE601" s="141"/>
      <c r="CF601" s="141"/>
      <c r="CG601" s="141"/>
      <c r="CH601" s="141"/>
      <c r="CI601" s="141"/>
      <c r="CJ601" s="141"/>
      <c r="CK601" s="141"/>
    </row>
    <row r="602" spans="74:89" ht="49.5" customHeight="1" x14ac:dyDescent="0.35">
      <c r="BV602" s="140"/>
      <c r="BY602" s="141"/>
      <c r="BZ602" s="141"/>
      <c r="CA602" s="141"/>
      <c r="CB602" s="141"/>
      <c r="CC602" s="141"/>
      <c r="CD602" s="141"/>
      <c r="CE602" s="141"/>
      <c r="CF602" s="141"/>
      <c r="CG602" s="141"/>
      <c r="CH602" s="141"/>
      <c r="CI602" s="141"/>
      <c r="CJ602" s="141"/>
      <c r="CK602" s="141"/>
    </row>
    <row r="603" spans="74:89" ht="49.5" customHeight="1" x14ac:dyDescent="0.35">
      <c r="BV603" s="140"/>
      <c r="BY603" s="141"/>
      <c r="BZ603" s="141"/>
      <c r="CA603" s="141"/>
      <c r="CB603" s="141"/>
      <c r="CC603" s="141"/>
      <c r="CD603" s="141"/>
      <c r="CE603" s="141"/>
      <c r="CF603" s="141"/>
      <c r="CG603" s="141"/>
      <c r="CH603" s="141"/>
      <c r="CI603" s="141"/>
      <c r="CJ603" s="141"/>
      <c r="CK603" s="141"/>
    </row>
    <row r="604" spans="74:89" ht="49.5" customHeight="1" x14ac:dyDescent="0.35">
      <c r="BV604" s="140"/>
      <c r="BY604" s="141"/>
      <c r="BZ604" s="141"/>
      <c r="CA604" s="141"/>
      <c r="CB604" s="141"/>
      <c r="CC604" s="141"/>
      <c r="CD604" s="141"/>
      <c r="CE604" s="141"/>
      <c r="CF604" s="141"/>
      <c r="CG604" s="141"/>
      <c r="CH604" s="141"/>
      <c r="CI604" s="141"/>
      <c r="CJ604" s="141"/>
      <c r="CK604" s="141"/>
    </row>
    <row r="605" spans="74:89" ht="49.5" customHeight="1" x14ac:dyDescent="0.35">
      <c r="BV605" s="140"/>
      <c r="BY605" s="141"/>
      <c r="BZ605" s="141"/>
      <c r="CA605" s="141"/>
      <c r="CB605" s="141"/>
      <c r="CC605" s="141"/>
      <c r="CD605" s="141"/>
      <c r="CE605" s="141"/>
      <c r="CF605" s="141"/>
      <c r="CG605" s="141"/>
      <c r="CH605" s="141"/>
      <c r="CI605" s="141"/>
      <c r="CJ605" s="141"/>
      <c r="CK605" s="141"/>
    </row>
    <row r="606" spans="74:89" ht="49.5" customHeight="1" x14ac:dyDescent="0.35">
      <c r="BV606" s="140"/>
      <c r="BY606" s="141"/>
      <c r="BZ606" s="141"/>
      <c r="CA606" s="141"/>
      <c r="CB606" s="141"/>
      <c r="CC606" s="141"/>
      <c r="CD606" s="141"/>
      <c r="CE606" s="141"/>
      <c r="CF606" s="141"/>
      <c r="CG606" s="141"/>
      <c r="CH606" s="141"/>
      <c r="CI606" s="141"/>
      <c r="CJ606" s="141"/>
      <c r="CK606" s="141"/>
    </row>
    <row r="607" spans="74:89" ht="49.5" customHeight="1" x14ac:dyDescent="0.35">
      <c r="BV607" s="140"/>
      <c r="BY607" s="141"/>
      <c r="BZ607" s="141"/>
      <c r="CA607" s="141"/>
      <c r="CB607" s="141"/>
      <c r="CC607" s="141"/>
      <c r="CD607" s="141"/>
      <c r="CE607" s="141"/>
      <c r="CF607" s="141"/>
      <c r="CG607" s="141"/>
      <c r="CH607" s="141"/>
      <c r="CI607" s="141"/>
      <c r="CJ607" s="141"/>
      <c r="CK607" s="141"/>
    </row>
    <row r="608" spans="74:89" ht="49.5" customHeight="1" x14ac:dyDescent="0.35">
      <c r="BV608" s="140"/>
      <c r="BY608" s="141"/>
      <c r="BZ608" s="141"/>
      <c r="CA608" s="141"/>
      <c r="CB608" s="141"/>
      <c r="CC608" s="141"/>
      <c r="CD608" s="141"/>
      <c r="CE608" s="141"/>
      <c r="CF608" s="141"/>
      <c r="CG608" s="141"/>
      <c r="CH608" s="141"/>
      <c r="CI608" s="141"/>
      <c r="CJ608" s="141"/>
      <c r="CK608" s="141"/>
    </row>
    <row r="609" spans="74:89" ht="49.5" customHeight="1" x14ac:dyDescent="0.35">
      <c r="BV609" s="140"/>
      <c r="BY609" s="141"/>
      <c r="BZ609" s="141"/>
      <c r="CA609" s="141"/>
      <c r="CB609" s="141"/>
      <c r="CC609" s="141"/>
      <c r="CD609" s="141"/>
      <c r="CE609" s="141"/>
      <c r="CF609" s="141"/>
      <c r="CG609" s="141"/>
      <c r="CH609" s="141"/>
      <c r="CI609" s="141"/>
      <c r="CJ609" s="141"/>
      <c r="CK609" s="141"/>
    </row>
    <row r="610" spans="74:89" ht="49.5" customHeight="1" x14ac:dyDescent="0.35">
      <c r="BV610" s="140"/>
      <c r="BY610" s="141"/>
      <c r="BZ610" s="141"/>
      <c r="CA610" s="141"/>
      <c r="CB610" s="141"/>
      <c r="CC610" s="141"/>
      <c r="CD610" s="141"/>
      <c r="CE610" s="141"/>
      <c r="CF610" s="141"/>
      <c r="CG610" s="141"/>
      <c r="CH610" s="141"/>
      <c r="CI610" s="141"/>
      <c r="CJ610" s="141"/>
      <c r="CK610" s="141"/>
    </row>
    <row r="611" spans="74:89" ht="49.5" customHeight="1" x14ac:dyDescent="0.35">
      <c r="BV611" s="140"/>
      <c r="BY611" s="141"/>
      <c r="BZ611" s="141"/>
      <c r="CA611" s="141"/>
      <c r="CB611" s="141"/>
      <c r="CC611" s="141"/>
      <c r="CD611" s="141"/>
      <c r="CE611" s="141"/>
      <c r="CF611" s="141"/>
      <c r="CG611" s="141"/>
      <c r="CH611" s="141"/>
      <c r="CI611" s="141"/>
      <c r="CJ611" s="141"/>
      <c r="CK611" s="141"/>
    </row>
    <row r="612" spans="74:89" ht="49.5" customHeight="1" x14ac:dyDescent="0.35">
      <c r="BV612" s="140"/>
      <c r="BY612" s="141"/>
      <c r="BZ612" s="141"/>
      <c r="CA612" s="141"/>
      <c r="CB612" s="141"/>
      <c r="CC612" s="141"/>
      <c r="CD612" s="141"/>
      <c r="CE612" s="141"/>
      <c r="CF612" s="141"/>
      <c r="CG612" s="141"/>
      <c r="CH612" s="141"/>
      <c r="CI612" s="141"/>
      <c r="CJ612" s="141"/>
      <c r="CK612" s="141"/>
    </row>
    <row r="613" spans="74:89" ht="49.5" customHeight="1" x14ac:dyDescent="0.35">
      <c r="BV613" s="140"/>
      <c r="BY613" s="141"/>
      <c r="BZ613" s="141"/>
      <c r="CA613" s="141"/>
      <c r="CB613" s="141"/>
      <c r="CC613" s="141"/>
      <c r="CD613" s="141"/>
      <c r="CE613" s="141"/>
      <c r="CF613" s="141"/>
      <c r="CG613" s="141"/>
      <c r="CH613" s="141"/>
      <c r="CI613" s="141"/>
      <c r="CJ613" s="141"/>
      <c r="CK613" s="141"/>
    </row>
    <row r="614" spans="74:89" ht="49.5" customHeight="1" x14ac:dyDescent="0.35">
      <c r="BV614" s="140"/>
      <c r="BY614" s="141"/>
      <c r="BZ614" s="141"/>
      <c r="CA614" s="141"/>
      <c r="CB614" s="141"/>
      <c r="CC614" s="141"/>
      <c r="CD614" s="141"/>
      <c r="CE614" s="141"/>
      <c r="CF614" s="141"/>
      <c r="CG614" s="141"/>
      <c r="CH614" s="141"/>
      <c r="CI614" s="141"/>
      <c r="CJ614" s="141"/>
      <c r="CK614" s="141"/>
    </row>
    <row r="615" spans="74:89" ht="49.5" customHeight="1" x14ac:dyDescent="0.35">
      <c r="BV615" s="140"/>
      <c r="BY615" s="141"/>
      <c r="BZ615" s="141"/>
      <c r="CA615" s="141"/>
      <c r="CB615" s="141"/>
      <c r="CC615" s="141"/>
      <c r="CD615" s="141"/>
      <c r="CE615" s="141"/>
      <c r="CF615" s="141"/>
      <c r="CG615" s="141"/>
      <c r="CH615" s="141"/>
      <c r="CI615" s="141"/>
      <c r="CJ615" s="141"/>
      <c r="CK615" s="141"/>
    </row>
    <row r="616" spans="74:89" ht="49.5" customHeight="1" x14ac:dyDescent="0.35">
      <c r="BV616" s="140"/>
      <c r="BY616" s="141"/>
      <c r="BZ616" s="141"/>
      <c r="CA616" s="141"/>
      <c r="CB616" s="141"/>
      <c r="CC616" s="141"/>
      <c r="CD616" s="141"/>
      <c r="CE616" s="141"/>
      <c r="CF616" s="141"/>
      <c r="CG616" s="141"/>
      <c r="CH616" s="141"/>
      <c r="CI616" s="141"/>
      <c r="CJ616" s="141"/>
      <c r="CK616" s="141"/>
    </row>
    <row r="617" spans="74:89" ht="49.5" customHeight="1" x14ac:dyDescent="0.35">
      <c r="BV617" s="140"/>
      <c r="BY617" s="141"/>
      <c r="BZ617" s="141"/>
      <c r="CA617" s="141"/>
      <c r="CB617" s="141"/>
      <c r="CC617" s="141"/>
      <c r="CD617" s="141"/>
      <c r="CE617" s="141"/>
      <c r="CF617" s="141"/>
      <c r="CG617" s="141"/>
      <c r="CH617" s="141"/>
      <c r="CI617" s="141"/>
      <c r="CJ617" s="141"/>
      <c r="CK617" s="141"/>
    </row>
    <row r="618" spans="74:89" ht="49.5" customHeight="1" x14ac:dyDescent="0.35">
      <c r="BV618" s="140"/>
      <c r="BY618" s="141"/>
      <c r="BZ618" s="141"/>
      <c r="CA618" s="141"/>
      <c r="CB618" s="141"/>
      <c r="CC618" s="141"/>
      <c r="CD618" s="141"/>
      <c r="CE618" s="141"/>
      <c r="CF618" s="141"/>
      <c r="CG618" s="141"/>
      <c r="CH618" s="141"/>
      <c r="CI618" s="141"/>
      <c r="CJ618" s="141"/>
      <c r="CK618" s="141"/>
    </row>
    <row r="619" spans="74:89" ht="49.5" customHeight="1" x14ac:dyDescent="0.35">
      <c r="BV619" s="140"/>
      <c r="BY619" s="141"/>
      <c r="BZ619" s="141"/>
      <c r="CA619" s="141"/>
      <c r="CB619" s="141"/>
      <c r="CC619" s="141"/>
      <c r="CD619" s="141"/>
      <c r="CE619" s="141"/>
      <c r="CF619" s="141"/>
      <c r="CG619" s="141"/>
      <c r="CH619" s="141"/>
      <c r="CI619" s="141"/>
      <c r="CJ619" s="141"/>
      <c r="CK619" s="141"/>
    </row>
    <row r="620" spans="74:89" ht="49.5" customHeight="1" x14ac:dyDescent="0.35">
      <c r="BV620" s="140"/>
      <c r="BY620" s="141"/>
      <c r="BZ620" s="141"/>
      <c r="CA620" s="141"/>
      <c r="CB620" s="141"/>
      <c r="CC620" s="141"/>
      <c r="CD620" s="141"/>
      <c r="CE620" s="141"/>
      <c r="CF620" s="141"/>
      <c r="CG620" s="141"/>
      <c r="CH620" s="141"/>
      <c r="CI620" s="141"/>
      <c r="CJ620" s="141"/>
      <c r="CK620" s="141"/>
    </row>
    <row r="621" spans="74:89" ht="49.5" customHeight="1" x14ac:dyDescent="0.35">
      <c r="BV621" s="140"/>
      <c r="BY621" s="141"/>
      <c r="BZ621" s="141"/>
      <c r="CA621" s="141"/>
      <c r="CB621" s="141"/>
      <c r="CC621" s="141"/>
      <c r="CD621" s="141"/>
      <c r="CE621" s="141"/>
      <c r="CF621" s="141"/>
      <c r="CG621" s="141"/>
      <c r="CH621" s="141"/>
      <c r="CI621" s="141"/>
      <c r="CJ621" s="141"/>
      <c r="CK621" s="141"/>
    </row>
    <row r="622" spans="74:89" ht="49.5" customHeight="1" x14ac:dyDescent="0.35">
      <c r="BV622" s="140"/>
      <c r="BY622" s="141"/>
      <c r="BZ622" s="141"/>
      <c r="CA622" s="141"/>
      <c r="CB622" s="141"/>
      <c r="CC622" s="141"/>
      <c r="CD622" s="141"/>
      <c r="CE622" s="141"/>
      <c r="CF622" s="141"/>
      <c r="CG622" s="141"/>
      <c r="CH622" s="141"/>
      <c r="CI622" s="141"/>
      <c r="CJ622" s="141"/>
      <c r="CK622" s="141"/>
    </row>
    <row r="623" spans="74:89" ht="49.5" customHeight="1" x14ac:dyDescent="0.35">
      <c r="BV623" s="140"/>
      <c r="BY623" s="141"/>
      <c r="BZ623" s="141"/>
      <c r="CA623" s="141"/>
      <c r="CB623" s="141"/>
      <c r="CC623" s="141"/>
      <c r="CD623" s="141"/>
      <c r="CE623" s="141"/>
      <c r="CF623" s="141"/>
      <c r="CG623" s="141"/>
      <c r="CH623" s="141"/>
      <c r="CI623" s="141"/>
      <c r="CJ623" s="141"/>
      <c r="CK623" s="141"/>
    </row>
    <row r="624" spans="74:89" ht="49.5" customHeight="1" x14ac:dyDescent="0.35">
      <c r="BV624" s="140"/>
      <c r="BY624" s="141"/>
      <c r="BZ624" s="141"/>
      <c r="CA624" s="141"/>
      <c r="CB624" s="141"/>
      <c r="CC624" s="141"/>
      <c r="CD624" s="141"/>
      <c r="CE624" s="141"/>
      <c r="CF624" s="141"/>
      <c r="CG624" s="141"/>
      <c r="CH624" s="141"/>
      <c r="CI624" s="141"/>
      <c r="CJ624" s="141"/>
      <c r="CK624" s="141"/>
    </row>
    <row r="625" spans="74:89" ht="49.5" customHeight="1" x14ac:dyDescent="0.35">
      <c r="BV625" s="140"/>
      <c r="BY625" s="141"/>
      <c r="BZ625" s="141"/>
      <c r="CA625" s="141"/>
      <c r="CB625" s="141"/>
      <c r="CC625" s="141"/>
      <c r="CD625" s="141"/>
      <c r="CE625" s="141"/>
      <c r="CF625" s="141"/>
      <c r="CG625" s="141"/>
      <c r="CH625" s="141"/>
      <c r="CI625" s="141"/>
      <c r="CJ625" s="141"/>
      <c r="CK625" s="141"/>
    </row>
    <row r="626" spans="74:89" ht="49.5" customHeight="1" x14ac:dyDescent="0.35">
      <c r="BV626" s="140"/>
      <c r="BY626" s="141"/>
      <c r="BZ626" s="141"/>
      <c r="CA626" s="141"/>
      <c r="CB626" s="141"/>
      <c r="CC626" s="141"/>
      <c r="CD626" s="141"/>
      <c r="CE626" s="141"/>
      <c r="CF626" s="141"/>
      <c r="CG626" s="141"/>
      <c r="CH626" s="141"/>
      <c r="CI626" s="141"/>
      <c r="CJ626" s="141"/>
      <c r="CK626" s="141"/>
    </row>
    <row r="627" spans="74:89" ht="49.5" customHeight="1" x14ac:dyDescent="0.35">
      <c r="BV627" s="140"/>
      <c r="BY627" s="141"/>
      <c r="BZ627" s="141"/>
      <c r="CA627" s="141"/>
      <c r="CB627" s="141"/>
      <c r="CC627" s="141"/>
      <c r="CD627" s="141"/>
      <c r="CE627" s="141"/>
      <c r="CF627" s="141"/>
      <c r="CG627" s="141"/>
      <c r="CH627" s="141"/>
      <c r="CI627" s="141"/>
      <c r="CJ627" s="141"/>
      <c r="CK627" s="141"/>
    </row>
    <row r="628" spans="74:89" ht="49.5" customHeight="1" x14ac:dyDescent="0.35">
      <c r="BV628" s="140"/>
      <c r="BY628" s="141"/>
      <c r="BZ628" s="141"/>
      <c r="CA628" s="141"/>
      <c r="CB628" s="141"/>
      <c r="CC628" s="141"/>
      <c r="CD628" s="141"/>
      <c r="CE628" s="141"/>
      <c r="CF628" s="141"/>
      <c r="CG628" s="141"/>
      <c r="CH628" s="141"/>
      <c r="CI628" s="141"/>
      <c r="CJ628" s="141"/>
      <c r="CK628" s="141"/>
    </row>
    <row r="629" spans="74:89" ht="49.5" customHeight="1" x14ac:dyDescent="0.35">
      <c r="BV629" s="140"/>
      <c r="BY629" s="141"/>
      <c r="BZ629" s="141"/>
      <c r="CA629" s="141"/>
      <c r="CB629" s="141"/>
      <c r="CC629" s="141"/>
      <c r="CD629" s="141"/>
      <c r="CE629" s="141"/>
      <c r="CF629" s="141"/>
      <c r="CG629" s="141"/>
      <c r="CH629" s="141"/>
      <c r="CI629" s="141"/>
      <c r="CJ629" s="141"/>
      <c r="CK629" s="141"/>
    </row>
    <row r="630" spans="74:89" ht="49.5" customHeight="1" x14ac:dyDescent="0.35">
      <c r="BV630" s="140"/>
      <c r="BY630" s="141"/>
      <c r="BZ630" s="141"/>
      <c r="CA630" s="141"/>
      <c r="CB630" s="141"/>
      <c r="CC630" s="141"/>
      <c r="CD630" s="141"/>
      <c r="CE630" s="141"/>
      <c r="CF630" s="141"/>
      <c r="CG630" s="141"/>
      <c r="CH630" s="141"/>
      <c r="CI630" s="141"/>
      <c r="CJ630" s="141"/>
      <c r="CK630" s="141"/>
    </row>
    <row r="631" spans="74:89" ht="49.5" customHeight="1" x14ac:dyDescent="0.35">
      <c r="BV631" s="140"/>
      <c r="BY631" s="141"/>
      <c r="BZ631" s="141"/>
      <c r="CA631" s="141"/>
      <c r="CB631" s="141"/>
      <c r="CC631" s="141"/>
      <c r="CD631" s="141"/>
      <c r="CE631" s="141"/>
      <c r="CF631" s="141"/>
      <c r="CG631" s="141"/>
      <c r="CH631" s="141"/>
      <c r="CI631" s="141"/>
      <c r="CJ631" s="141"/>
      <c r="CK631" s="141"/>
    </row>
    <row r="632" spans="74:89" ht="49.5" customHeight="1" x14ac:dyDescent="0.35">
      <c r="BV632" s="140"/>
      <c r="BY632" s="141"/>
      <c r="BZ632" s="141"/>
      <c r="CA632" s="141"/>
      <c r="CB632" s="141"/>
      <c r="CC632" s="141"/>
      <c r="CD632" s="141"/>
      <c r="CE632" s="141"/>
      <c r="CF632" s="141"/>
      <c r="CG632" s="141"/>
      <c r="CH632" s="141"/>
      <c r="CI632" s="141"/>
      <c r="CJ632" s="141"/>
      <c r="CK632" s="141"/>
    </row>
    <row r="633" spans="74:89" ht="49.5" customHeight="1" x14ac:dyDescent="0.35">
      <c r="BV633" s="140"/>
      <c r="BY633" s="141"/>
      <c r="BZ633" s="141"/>
      <c r="CA633" s="141"/>
      <c r="CB633" s="141"/>
      <c r="CC633" s="141"/>
      <c r="CD633" s="141"/>
      <c r="CE633" s="141"/>
      <c r="CF633" s="141"/>
      <c r="CG633" s="141"/>
      <c r="CH633" s="141"/>
      <c r="CI633" s="141"/>
      <c r="CJ633" s="141"/>
      <c r="CK633" s="141"/>
    </row>
    <row r="634" spans="74:89" ht="49.5" customHeight="1" x14ac:dyDescent="0.35">
      <c r="BV634" s="140"/>
      <c r="BY634" s="141"/>
      <c r="BZ634" s="141"/>
      <c r="CA634" s="141"/>
      <c r="CB634" s="141"/>
      <c r="CC634" s="141"/>
      <c r="CD634" s="141"/>
      <c r="CE634" s="141"/>
      <c r="CF634" s="141"/>
      <c r="CG634" s="141"/>
      <c r="CH634" s="141"/>
      <c r="CI634" s="141"/>
      <c r="CJ634" s="141"/>
      <c r="CK634" s="141"/>
    </row>
    <row r="635" spans="74:89" ht="49.5" customHeight="1" x14ac:dyDescent="0.35">
      <c r="BV635" s="140"/>
      <c r="BY635" s="141"/>
      <c r="BZ635" s="141"/>
      <c r="CA635" s="141"/>
      <c r="CB635" s="141"/>
      <c r="CC635" s="141"/>
      <c r="CD635" s="141"/>
      <c r="CE635" s="141"/>
      <c r="CF635" s="141"/>
      <c r="CG635" s="141"/>
      <c r="CH635" s="141"/>
      <c r="CI635" s="141"/>
      <c r="CJ635" s="141"/>
      <c r="CK635" s="141"/>
    </row>
    <row r="636" spans="74:89" ht="49.5" customHeight="1" x14ac:dyDescent="0.35">
      <c r="BV636" s="140"/>
      <c r="BY636" s="141"/>
      <c r="BZ636" s="141"/>
      <c r="CA636" s="141"/>
      <c r="CB636" s="141"/>
      <c r="CC636" s="141"/>
      <c r="CD636" s="141"/>
      <c r="CE636" s="141"/>
      <c r="CF636" s="141"/>
      <c r="CG636" s="141"/>
      <c r="CH636" s="141"/>
      <c r="CI636" s="141"/>
      <c r="CJ636" s="141"/>
      <c r="CK636" s="141"/>
    </row>
    <row r="637" spans="74:89" ht="49.5" customHeight="1" x14ac:dyDescent="0.35">
      <c r="BV637" s="140"/>
      <c r="BY637" s="141"/>
      <c r="BZ637" s="141"/>
      <c r="CA637" s="141"/>
      <c r="CB637" s="141"/>
      <c r="CC637" s="141"/>
      <c r="CD637" s="141"/>
      <c r="CE637" s="141"/>
      <c r="CF637" s="141"/>
      <c r="CG637" s="141"/>
      <c r="CH637" s="141"/>
      <c r="CI637" s="141"/>
      <c r="CJ637" s="141"/>
      <c r="CK637" s="141"/>
    </row>
    <row r="638" spans="74:89" ht="49.5" customHeight="1" x14ac:dyDescent="0.35">
      <c r="BV638" s="140"/>
      <c r="BY638" s="141"/>
      <c r="BZ638" s="141"/>
      <c r="CA638" s="141"/>
      <c r="CB638" s="141"/>
      <c r="CC638" s="141"/>
      <c r="CD638" s="141"/>
      <c r="CE638" s="141"/>
      <c r="CF638" s="141"/>
      <c r="CG638" s="141"/>
      <c r="CH638" s="141"/>
      <c r="CI638" s="141"/>
      <c r="CJ638" s="141"/>
      <c r="CK638" s="141"/>
    </row>
    <row r="639" spans="74:89" ht="49.5" customHeight="1" x14ac:dyDescent="0.35">
      <c r="BV639" s="140"/>
      <c r="BY639" s="141"/>
      <c r="BZ639" s="141"/>
      <c r="CA639" s="141"/>
      <c r="CB639" s="141"/>
      <c r="CC639" s="141"/>
      <c r="CD639" s="141"/>
      <c r="CE639" s="141"/>
      <c r="CF639" s="141"/>
      <c r="CG639" s="141"/>
      <c r="CH639" s="141"/>
      <c r="CI639" s="141"/>
      <c r="CJ639" s="141"/>
      <c r="CK639" s="141"/>
    </row>
    <row r="640" spans="74:89" ht="49.5" customHeight="1" x14ac:dyDescent="0.35">
      <c r="BV640" s="140"/>
      <c r="BY640" s="141"/>
      <c r="BZ640" s="141"/>
      <c r="CA640" s="141"/>
      <c r="CB640" s="141"/>
      <c r="CC640" s="141"/>
      <c r="CD640" s="141"/>
      <c r="CE640" s="141"/>
      <c r="CF640" s="141"/>
      <c r="CG640" s="141"/>
      <c r="CH640" s="141"/>
      <c r="CI640" s="141"/>
      <c r="CJ640" s="141"/>
      <c r="CK640" s="141"/>
    </row>
    <row r="641" spans="74:89" ht="49.5" customHeight="1" x14ac:dyDescent="0.35">
      <c r="BV641" s="140"/>
      <c r="BY641" s="141"/>
      <c r="BZ641" s="141"/>
      <c r="CA641" s="141"/>
      <c r="CB641" s="141"/>
      <c r="CC641" s="141"/>
      <c r="CD641" s="141"/>
      <c r="CE641" s="141"/>
      <c r="CF641" s="141"/>
      <c r="CG641" s="141"/>
      <c r="CH641" s="141"/>
      <c r="CI641" s="141"/>
      <c r="CJ641" s="141"/>
      <c r="CK641" s="141"/>
    </row>
    <row r="642" spans="74:89" ht="49.5" customHeight="1" x14ac:dyDescent="0.35">
      <c r="BV642" s="140"/>
      <c r="BY642" s="141"/>
      <c r="BZ642" s="141"/>
      <c r="CA642" s="141"/>
      <c r="CB642" s="141"/>
      <c r="CC642" s="141"/>
      <c r="CD642" s="141"/>
      <c r="CE642" s="141"/>
      <c r="CF642" s="141"/>
      <c r="CG642" s="141"/>
      <c r="CH642" s="141"/>
      <c r="CI642" s="141"/>
      <c r="CJ642" s="141"/>
      <c r="CK642" s="141"/>
    </row>
    <row r="643" spans="74:89" ht="49.5" customHeight="1" x14ac:dyDescent="0.35">
      <c r="BV643" s="140"/>
      <c r="BY643" s="141"/>
      <c r="BZ643" s="141"/>
      <c r="CA643" s="141"/>
      <c r="CB643" s="141"/>
      <c r="CC643" s="141"/>
      <c r="CD643" s="141"/>
      <c r="CE643" s="141"/>
      <c r="CF643" s="141"/>
      <c r="CG643" s="141"/>
      <c r="CH643" s="141"/>
      <c r="CI643" s="141"/>
      <c r="CJ643" s="141"/>
      <c r="CK643" s="141"/>
    </row>
    <row r="644" spans="74:89" ht="49.5" customHeight="1" x14ac:dyDescent="0.35">
      <c r="BV644" s="140"/>
      <c r="BY644" s="141"/>
      <c r="BZ644" s="141"/>
      <c r="CA644" s="141"/>
      <c r="CB644" s="141"/>
      <c r="CC644" s="141"/>
      <c r="CD644" s="141"/>
      <c r="CE644" s="141"/>
      <c r="CF644" s="141"/>
      <c r="CG644" s="141"/>
      <c r="CH644" s="141"/>
      <c r="CI644" s="141"/>
      <c r="CJ644" s="141"/>
      <c r="CK644" s="141"/>
    </row>
    <row r="645" spans="74:89" ht="49.5" customHeight="1" x14ac:dyDescent="0.35">
      <c r="BV645" s="140"/>
      <c r="BY645" s="141"/>
      <c r="BZ645" s="141"/>
      <c r="CA645" s="141"/>
      <c r="CB645" s="141"/>
      <c r="CC645" s="141"/>
      <c r="CD645" s="141"/>
      <c r="CE645" s="141"/>
      <c r="CF645" s="141"/>
      <c r="CG645" s="141"/>
      <c r="CH645" s="141"/>
      <c r="CI645" s="141"/>
      <c r="CJ645" s="141"/>
      <c r="CK645" s="141"/>
    </row>
    <row r="646" spans="74:89" ht="49.5" customHeight="1" x14ac:dyDescent="0.35">
      <c r="BV646" s="140"/>
      <c r="BY646" s="141"/>
      <c r="BZ646" s="141"/>
      <c r="CA646" s="141"/>
      <c r="CB646" s="141"/>
      <c r="CC646" s="141"/>
      <c r="CD646" s="141"/>
      <c r="CE646" s="141"/>
      <c r="CF646" s="141"/>
      <c r="CG646" s="141"/>
      <c r="CH646" s="141"/>
      <c r="CI646" s="141"/>
      <c r="CJ646" s="141"/>
      <c r="CK646" s="141"/>
    </row>
    <row r="647" spans="74:89" ht="49.5" customHeight="1" x14ac:dyDescent="0.35">
      <c r="BV647" s="140"/>
      <c r="BY647" s="141"/>
      <c r="BZ647" s="141"/>
      <c r="CA647" s="141"/>
      <c r="CB647" s="141"/>
      <c r="CC647" s="141"/>
      <c r="CD647" s="141"/>
      <c r="CE647" s="141"/>
      <c r="CF647" s="141"/>
      <c r="CG647" s="141"/>
      <c r="CH647" s="141"/>
      <c r="CI647" s="141"/>
      <c r="CJ647" s="141"/>
      <c r="CK647" s="141"/>
    </row>
    <row r="648" spans="74:89" ht="49.5" customHeight="1" x14ac:dyDescent="0.35">
      <c r="BV648" s="140"/>
      <c r="BY648" s="141"/>
      <c r="BZ648" s="141"/>
      <c r="CA648" s="141"/>
      <c r="CB648" s="141"/>
      <c r="CC648" s="141"/>
      <c r="CD648" s="141"/>
      <c r="CE648" s="141"/>
      <c r="CF648" s="141"/>
      <c r="CG648" s="141"/>
      <c r="CH648" s="141"/>
      <c r="CI648" s="141"/>
      <c r="CJ648" s="141"/>
      <c r="CK648" s="141"/>
    </row>
    <row r="649" spans="74:89" ht="49.5" customHeight="1" x14ac:dyDescent="0.35">
      <c r="BV649" s="140"/>
      <c r="BY649" s="141"/>
      <c r="BZ649" s="141"/>
      <c r="CA649" s="141"/>
      <c r="CB649" s="141"/>
      <c r="CC649" s="141"/>
      <c r="CD649" s="141"/>
      <c r="CE649" s="141"/>
      <c r="CF649" s="141"/>
      <c r="CG649" s="141"/>
      <c r="CH649" s="141"/>
      <c r="CI649" s="141"/>
      <c r="CJ649" s="141"/>
      <c r="CK649" s="141"/>
    </row>
    <row r="650" spans="74:89" ht="49.5" customHeight="1" x14ac:dyDescent="0.35">
      <c r="BV650" s="140"/>
      <c r="BY650" s="141"/>
      <c r="BZ650" s="141"/>
      <c r="CA650" s="141"/>
      <c r="CB650" s="141"/>
      <c r="CC650" s="141"/>
      <c r="CD650" s="141"/>
      <c r="CE650" s="141"/>
      <c r="CF650" s="141"/>
      <c r="CG650" s="141"/>
      <c r="CH650" s="141"/>
      <c r="CI650" s="141"/>
      <c r="CJ650" s="141"/>
      <c r="CK650" s="141"/>
    </row>
    <row r="651" spans="74:89" ht="49.5" customHeight="1" x14ac:dyDescent="0.35">
      <c r="BV651" s="140"/>
      <c r="BY651" s="141"/>
      <c r="BZ651" s="141"/>
      <c r="CA651" s="141"/>
      <c r="CB651" s="141"/>
      <c r="CC651" s="141"/>
      <c r="CD651" s="141"/>
      <c r="CE651" s="141"/>
      <c r="CF651" s="141"/>
      <c r="CG651" s="141"/>
      <c r="CH651" s="141"/>
      <c r="CI651" s="141"/>
      <c r="CJ651" s="141"/>
      <c r="CK651" s="141"/>
    </row>
    <row r="652" spans="74:89" ht="49.5" customHeight="1" x14ac:dyDescent="0.35">
      <c r="BV652" s="140"/>
      <c r="BY652" s="141"/>
      <c r="BZ652" s="141"/>
      <c r="CA652" s="141"/>
      <c r="CB652" s="141"/>
      <c r="CC652" s="141"/>
      <c r="CD652" s="141"/>
      <c r="CE652" s="141"/>
      <c r="CF652" s="141"/>
      <c r="CG652" s="141"/>
      <c r="CH652" s="141"/>
      <c r="CI652" s="141"/>
      <c r="CJ652" s="141"/>
      <c r="CK652" s="141"/>
    </row>
    <row r="653" spans="74:89" ht="49.5" customHeight="1" x14ac:dyDescent="0.35">
      <c r="BV653" s="140"/>
      <c r="BY653" s="141"/>
      <c r="BZ653" s="141"/>
      <c r="CA653" s="141"/>
      <c r="CB653" s="141"/>
      <c r="CC653" s="141"/>
      <c r="CD653" s="141"/>
      <c r="CE653" s="141"/>
      <c r="CF653" s="141"/>
      <c r="CG653" s="141"/>
      <c r="CH653" s="141"/>
      <c r="CI653" s="141"/>
      <c r="CJ653" s="141"/>
      <c r="CK653" s="141"/>
    </row>
    <row r="654" spans="74:89" ht="49.5" customHeight="1" x14ac:dyDescent="0.35">
      <c r="BV654" s="140"/>
      <c r="BY654" s="141"/>
      <c r="BZ654" s="141"/>
      <c r="CA654" s="141"/>
      <c r="CB654" s="141"/>
      <c r="CC654" s="141"/>
      <c r="CD654" s="141"/>
      <c r="CE654" s="141"/>
      <c r="CF654" s="141"/>
      <c r="CG654" s="141"/>
      <c r="CH654" s="141"/>
      <c r="CI654" s="141"/>
      <c r="CJ654" s="141"/>
      <c r="CK654" s="141"/>
    </row>
    <row r="655" spans="74:89" ht="49.5" customHeight="1" x14ac:dyDescent="0.35">
      <c r="BV655" s="140"/>
      <c r="BY655" s="141"/>
      <c r="BZ655" s="141"/>
      <c r="CA655" s="141"/>
      <c r="CB655" s="141"/>
      <c r="CC655" s="141"/>
      <c r="CD655" s="141"/>
      <c r="CE655" s="141"/>
      <c r="CF655" s="141"/>
      <c r="CG655" s="141"/>
      <c r="CH655" s="141"/>
      <c r="CI655" s="141"/>
      <c r="CJ655" s="141"/>
      <c r="CK655" s="141"/>
    </row>
    <row r="656" spans="74:89" ht="49.5" customHeight="1" x14ac:dyDescent="0.35">
      <c r="BV656" s="140"/>
      <c r="BY656" s="141"/>
      <c r="BZ656" s="141"/>
      <c r="CA656" s="141"/>
      <c r="CB656" s="141"/>
      <c r="CC656" s="141"/>
      <c r="CD656" s="141"/>
      <c r="CE656" s="141"/>
      <c r="CF656" s="141"/>
      <c r="CG656" s="141"/>
      <c r="CH656" s="141"/>
      <c r="CI656" s="141"/>
      <c r="CJ656" s="141"/>
      <c r="CK656" s="141"/>
    </row>
    <row r="657" spans="74:89" ht="49.5" customHeight="1" x14ac:dyDescent="0.35">
      <c r="BV657" s="140"/>
      <c r="BY657" s="141"/>
      <c r="BZ657" s="141"/>
      <c r="CA657" s="141"/>
      <c r="CB657" s="141"/>
      <c r="CC657" s="141"/>
      <c r="CD657" s="141"/>
      <c r="CE657" s="141"/>
      <c r="CF657" s="141"/>
      <c r="CG657" s="141"/>
      <c r="CH657" s="141"/>
      <c r="CI657" s="141"/>
      <c r="CJ657" s="141"/>
      <c r="CK657" s="141"/>
    </row>
    <row r="658" spans="74:89" ht="49.5" customHeight="1" x14ac:dyDescent="0.35">
      <c r="BV658" s="140"/>
      <c r="BY658" s="141"/>
      <c r="BZ658" s="141"/>
      <c r="CA658" s="141"/>
      <c r="CB658" s="141"/>
      <c r="CC658" s="141"/>
      <c r="CD658" s="141"/>
      <c r="CE658" s="141"/>
      <c r="CF658" s="141"/>
      <c r="CG658" s="141"/>
      <c r="CH658" s="141"/>
      <c r="CI658" s="141"/>
      <c r="CJ658" s="141"/>
      <c r="CK658" s="141"/>
    </row>
    <row r="659" spans="74:89" ht="49.5" customHeight="1" x14ac:dyDescent="0.35">
      <c r="BV659" s="140"/>
      <c r="BY659" s="141"/>
      <c r="BZ659" s="141"/>
      <c r="CA659" s="141"/>
      <c r="CB659" s="141"/>
      <c r="CC659" s="141"/>
      <c r="CD659" s="141"/>
      <c r="CE659" s="141"/>
      <c r="CF659" s="141"/>
      <c r="CG659" s="141"/>
      <c r="CH659" s="141"/>
      <c r="CI659" s="141"/>
      <c r="CJ659" s="141"/>
      <c r="CK659" s="141"/>
    </row>
    <row r="660" spans="74:89" ht="49.5" customHeight="1" x14ac:dyDescent="0.35">
      <c r="BV660" s="140"/>
      <c r="BY660" s="141"/>
      <c r="BZ660" s="141"/>
      <c r="CA660" s="141"/>
      <c r="CB660" s="141"/>
      <c r="CC660" s="141"/>
      <c r="CD660" s="141"/>
      <c r="CE660" s="141"/>
      <c r="CF660" s="141"/>
      <c r="CG660" s="141"/>
      <c r="CH660" s="141"/>
      <c r="CI660" s="141"/>
      <c r="CJ660" s="141"/>
      <c r="CK660" s="141"/>
    </row>
    <row r="661" spans="74:89" ht="49.5" customHeight="1" x14ac:dyDescent="0.35">
      <c r="BV661" s="140"/>
      <c r="BY661" s="141"/>
      <c r="BZ661" s="141"/>
      <c r="CA661" s="141"/>
      <c r="CB661" s="141"/>
      <c r="CC661" s="141"/>
      <c r="CD661" s="141"/>
      <c r="CE661" s="141"/>
      <c r="CF661" s="141"/>
      <c r="CG661" s="141"/>
      <c r="CH661" s="141"/>
      <c r="CI661" s="141"/>
      <c r="CJ661" s="141"/>
      <c r="CK661" s="141"/>
    </row>
    <row r="662" spans="74:89" ht="49.5" customHeight="1" x14ac:dyDescent="0.35">
      <c r="BV662" s="140"/>
      <c r="BY662" s="141"/>
      <c r="BZ662" s="141"/>
      <c r="CA662" s="141"/>
      <c r="CB662" s="141"/>
      <c r="CC662" s="141"/>
      <c r="CD662" s="141"/>
      <c r="CE662" s="141"/>
      <c r="CF662" s="141"/>
      <c r="CG662" s="141"/>
      <c r="CH662" s="141"/>
      <c r="CI662" s="141"/>
      <c r="CJ662" s="141"/>
      <c r="CK662" s="141"/>
    </row>
    <row r="663" spans="74:89" ht="49.5" customHeight="1" x14ac:dyDescent="0.35">
      <c r="BV663" s="140"/>
      <c r="BY663" s="141"/>
      <c r="BZ663" s="141"/>
      <c r="CA663" s="141"/>
      <c r="CB663" s="141"/>
      <c r="CC663" s="141"/>
      <c r="CD663" s="141"/>
      <c r="CE663" s="141"/>
      <c r="CF663" s="141"/>
      <c r="CG663" s="141"/>
      <c r="CH663" s="141"/>
      <c r="CI663" s="141"/>
      <c r="CJ663" s="141"/>
      <c r="CK663" s="141"/>
    </row>
    <row r="664" spans="74:89" ht="49.5" customHeight="1" x14ac:dyDescent="0.35">
      <c r="BV664" s="140"/>
      <c r="BY664" s="141"/>
      <c r="BZ664" s="141"/>
      <c r="CA664" s="141"/>
      <c r="CB664" s="141"/>
      <c r="CC664" s="141"/>
      <c r="CD664" s="141"/>
      <c r="CE664" s="141"/>
      <c r="CF664" s="141"/>
      <c r="CG664" s="141"/>
      <c r="CH664" s="141"/>
      <c r="CI664" s="141"/>
      <c r="CJ664" s="141"/>
      <c r="CK664" s="141"/>
    </row>
    <row r="665" spans="74:89" ht="49.5" customHeight="1" x14ac:dyDescent="0.35">
      <c r="BV665" s="140"/>
      <c r="BY665" s="141"/>
      <c r="BZ665" s="141"/>
      <c r="CA665" s="141"/>
      <c r="CB665" s="141"/>
      <c r="CC665" s="141"/>
      <c r="CD665" s="141"/>
      <c r="CE665" s="141"/>
      <c r="CF665" s="141"/>
      <c r="CG665" s="141"/>
      <c r="CH665" s="141"/>
      <c r="CI665" s="141"/>
      <c r="CJ665" s="141"/>
      <c r="CK665" s="141"/>
    </row>
    <row r="666" spans="74:89" ht="49.5" customHeight="1" x14ac:dyDescent="0.35">
      <c r="BV666" s="140"/>
      <c r="BY666" s="141"/>
      <c r="BZ666" s="141"/>
      <c r="CA666" s="141"/>
      <c r="CB666" s="141"/>
      <c r="CC666" s="141"/>
      <c r="CD666" s="141"/>
      <c r="CE666" s="141"/>
      <c r="CF666" s="141"/>
      <c r="CG666" s="141"/>
      <c r="CH666" s="141"/>
      <c r="CI666" s="141"/>
      <c r="CJ666" s="141"/>
      <c r="CK666" s="141"/>
    </row>
    <row r="667" spans="74:89" ht="49.5" customHeight="1" x14ac:dyDescent="0.35">
      <c r="BV667" s="140"/>
      <c r="BY667" s="141"/>
      <c r="BZ667" s="141"/>
      <c r="CA667" s="141"/>
      <c r="CB667" s="141"/>
      <c r="CC667" s="141"/>
      <c r="CD667" s="141"/>
      <c r="CE667" s="141"/>
      <c r="CF667" s="141"/>
      <c r="CG667" s="141"/>
      <c r="CH667" s="141"/>
      <c r="CI667" s="141"/>
      <c r="CJ667" s="141"/>
      <c r="CK667" s="141"/>
    </row>
    <row r="668" spans="74:89" ht="49.5" customHeight="1" x14ac:dyDescent="0.35">
      <c r="BV668" s="140"/>
      <c r="BY668" s="141"/>
      <c r="BZ668" s="141"/>
      <c r="CA668" s="141"/>
      <c r="CB668" s="141"/>
      <c r="CC668" s="141"/>
      <c r="CD668" s="141"/>
      <c r="CE668" s="141"/>
      <c r="CF668" s="141"/>
      <c r="CG668" s="141"/>
      <c r="CH668" s="141"/>
      <c r="CI668" s="141"/>
      <c r="CJ668" s="141"/>
      <c r="CK668" s="141"/>
    </row>
    <row r="669" spans="74:89" ht="49.5" customHeight="1" x14ac:dyDescent="0.35">
      <c r="BV669" s="140"/>
      <c r="BY669" s="141"/>
      <c r="BZ669" s="141"/>
      <c r="CA669" s="141"/>
      <c r="CB669" s="141"/>
      <c r="CC669" s="141"/>
      <c r="CD669" s="141"/>
      <c r="CE669" s="141"/>
      <c r="CF669" s="141"/>
      <c r="CG669" s="141"/>
      <c r="CH669" s="141"/>
      <c r="CI669" s="141"/>
      <c r="CJ669" s="141"/>
      <c r="CK669" s="141"/>
    </row>
    <row r="670" spans="74:89" ht="49.5" customHeight="1" x14ac:dyDescent="0.35">
      <c r="BV670" s="140"/>
      <c r="BY670" s="141"/>
      <c r="BZ670" s="141"/>
      <c r="CA670" s="141"/>
      <c r="CB670" s="141"/>
      <c r="CC670" s="141"/>
      <c r="CD670" s="141"/>
      <c r="CE670" s="141"/>
      <c r="CF670" s="141"/>
      <c r="CG670" s="141"/>
      <c r="CH670" s="141"/>
      <c r="CI670" s="141"/>
      <c r="CJ670" s="141"/>
      <c r="CK670" s="141"/>
    </row>
    <row r="671" spans="74:89" ht="49.5" customHeight="1" x14ac:dyDescent="0.35">
      <c r="BV671" s="140"/>
      <c r="BY671" s="141"/>
      <c r="BZ671" s="141"/>
      <c r="CA671" s="141"/>
      <c r="CB671" s="141"/>
      <c r="CC671" s="141"/>
      <c r="CD671" s="141"/>
      <c r="CE671" s="141"/>
      <c r="CF671" s="141"/>
      <c r="CG671" s="141"/>
      <c r="CH671" s="141"/>
      <c r="CI671" s="141"/>
      <c r="CJ671" s="141"/>
      <c r="CK671" s="141"/>
    </row>
    <row r="672" spans="74:89" ht="49.5" customHeight="1" x14ac:dyDescent="0.35">
      <c r="BV672" s="140"/>
      <c r="BY672" s="141"/>
      <c r="BZ672" s="141"/>
      <c r="CA672" s="141"/>
      <c r="CB672" s="141"/>
      <c r="CC672" s="141"/>
      <c r="CD672" s="141"/>
      <c r="CE672" s="141"/>
      <c r="CF672" s="141"/>
      <c r="CG672" s="141"/>
      <c r="CH672" s="141"/>
      <c r="CI672" s="141"/>
      <c r="CJ672" s="141"/>
      <c r="CK672" s="141"/>
    </row>
    <row r="673" spans="74:89" ht="49.5" customHeight="1" x14ac:dyDescent="0.35">
      <c r="BV673" s="140"/>
      <c r="BY673" s="141"/>
      <c r="BZ673" s="141"/>
      <c r="CA673" s="141"/>
      <c r="CB673" s="141"/>
      <c r="CC673" s="141"/>
      <c r="CD673" s="141"/>
      <c r="CE673" s="141"/>
      <c r="CF673" s="141"/>
      <c r="CG673" s="141"/>
      <c r="CH673" s="141"/>
      <c r="CI673" s="141"/>
      <c r="CJ673" s="141"/>
      <c r="CK673" s="141"/>
    </row>
    <row r="674" spans="74:89" ht="49.5" customHeight="1" x14ac:dyDescent="0.35">
      <c r="BV674" s="140"/>
      <c r="BY674" s="141"/>
      <c r="BZ674" s="141"/>
      <c r="CA674" s="141"/>
      <c r="CB674" s="141"/>
      <c r="CC674" s="141"/>
      <c r="CD674" s="141"/>
      <c r="CE674" s="141"/>
      <c r="CF674" s="141"/>
      <c r="CG674" s="141"/>
      <c r="CH674" s="141"/>
      <c r="CI674" s="141"/>
      <c r="CJ674" s="141"/>
      <c r="CK674" s="141"/>
    </row>
    <row r="675" spans="74:89" ht="49.5" customHeight="1" x14ac:dyDescent="0.35">
      <c r="BV675" s="140"/>
      <c r="BY675" s="141"/>
      <c r="BZ675" s="141"/>
      <c r="CA675" s="141"/>
      <c r="CB675" s="141"/>
      <c r="CC675" s="141"/>
      <c r="CD675" s="141"/>
      <c r="CE675" s="141"/>
      <c r="CF675" s="141"/>
      <c r="CG675" s="141"/>
      <c r="CH675" s="141"/>
      <c r="CI675" s="141"/>
      <c r="CJ675" s="141"/>
      <c r="CK675" s="141"/>
    </row>
    <row r="676" spans="74:89" ht="49.5" customHeight="1" x14ac:dyDescent="0.35">
      <c r="BV676" s="140"/>
      <c r="BY676" s="141"/>
      <c r="BZ676" s="141"/>
      <c r="CA676" s="141"/>
      <c r="CB676" s="141"/>
      <c r="CC676" s="141"/>
      <c r="CD676" s="141"/>
      <c r="CE676" s="141"/>
      <c r="CF676" s="141"/>
      <c r="CG676" s="141"/>
      <c r="CH676" s="141"/>
      <c r="CI676" s="141"/>
      <c r="CJ676" s="141"/>
      <c r="CK676" s="141"/>
    </row>
    <row r="677" spans="74:89" ht="49.5" customHeight="1" x14ac:dyDescent="0.35">
      <c r="BV677" s="140"/>
      <c r="BY677" s="141"/>
      <c r="BZ677" s="141"/>
      <c r="CA677" s="141"/>
      <c r="CB677" s="141"/>
      <c r="CC677" s="141"/>
      <c r="CD677" s="141"/>
      <c r="CE677" s="141"/>
      <c r="CF677" s="141"/>
      <c r="CG677" s="141"/>
      <c r="CH677" s="141"/>
      <c r="CI677" s="141"/>
      <c r="CJ677" s="141"/>
      <c r="CK677" s="141"/>
    </row>
    <row r="678" spans="74:89" ht="49.5" customHeight="1" x14ac:dyDescent="0.35">
      <c r="BV678" s="140"/>
      <c r="BY678" s="141"/>
      <c r="BZ678" s="141"/>
      <c r="CA678" s="141"/>
      <c r="CB678" s="141"/>
      <c r="CC678" s="141"/>
      <c r="CD678" s="141"/>
      <c r="CE678" s="141"/>
      <c r="CF678" s="141"/>
      <c r="CG678" s="141"/>
      <c r="CH678" s="141"/>
      <c r="CI678" s="141"/>
      <c r="CJ678" s="141"/>
      <c r="CK678" s="141"/>
    </row>
    <row r="679" spans="74:89" ht="49.5" customHeight="1" x14ac:dyDescent="0.35">
      <c r="BV679" s="140"/>
      <c r="BY679" s="141"/>
      <c r="BZ679" s="141"/>
      <c r="CA679" s="141"/>
      <c r="CB679" s="141"/>
      <c r="CC679" s="141"/>
      <c r="CD679" s="141"/>
      <c r="CE679" s="141"/>
      <c r="CF679" s="141"/>
      <c r="CG679" s="141"/>
      <c r="CH679" s="141"/>
      <c r="CI679" s="141"/>
      <c r="CJ679" s="141"/>
      <c r="CK679" s="141"/>
    </row>
    <row r="680" spans="74:89" ht="49.5" customHeight="1" x14ac:dyDescent="0.35">
      <c r="BV680" s="140"/>
      <c r="BY680" s="141"/>
      <c r="BZ680" s="141"/>
      <c r="CA680" s="141"/>
      <c r="CB680" s="141"/>
      <c r="CC680" s="141"/>
      <c r="CD680" s="141"/>
      <c r="CE680" s="141"/>
      <c r="CF680" s="141"/>
      <c r="CG680" s="141"/>
      <c r="CH680" s="141"/>
      <c r="CI680" s="141"/>
      <c r="CJ680" s="141"/>
      <c r="CK680" s="141"/>
    </row>
    <row r="681" spans="74:89" ht="49.5" customHeight="1" x14ac:dyDescent="0.35">
      <c r="BV681" s="140"/>
      <c r="BY681" s="141"/>
      <c r="BZ681" s="141"/>
      <c r="CA681" s="141"/>
      <c r="CB681" s="141"/>
      <c r="CC681" s="141"/>
      <c r="CD681" s="141"/>
      <c r="CE681" s="141"/>
      <c r="CF681" s="141"/>
      <c r="CG681" s="141"/>
      <c r="CH681" s="141"/>
      <c r="CI681" s="141"/>
      <c r="CJ681" s="141"/>
      <c r="CK681" s="141"/>
    </row>
    <row r="682" spans="74:89" ht="49.5" customHeight="1" x14ac:dyDescent="0.35">
      <c r="BV682" s="140"/>
      <c r="BY682" s="141"/>
      <c r="BZ682" s="141"/>
      <c r="CA682" s="141"/>
      <c r="CB682" s="141"/>
      <c r="CC682" s="141"/>
      <c r="CD682" s="141"/>
      <c r="CE682" s="141"/>
      <c r="CF682" s="141"/>
      <c r="CG682" s="141"/>
      <c r="CH682" s="141"/>
      <c r="CI682" s="141"/>
      <c r="CJ682" s="141"/>
      <c r="CK682" s="141"/>
    </row>
    <row r="683" spans="74:89" ht="49.5" customHeight="1" x14ac:dyDescent="0.35">
      <c r="BV683" s="140"/>
      <c r="BY683" s="141"/>
      <c r="BZ683" s="141"/>
      <c r="CA683" s="141"/>
      <c r="CB683" s="141"/>
      <c r="CC683" s="141"/>
      <c r="CD683" s="141"/>
      <c r="CE683" s="141"/>
      <c r="CF683" s="141"/>
      <c r="CG683" s="141"/>
      <c r="CH683" s="141"/>
      <c r="CI683" s="141"/>
      <c r="CJ683" s="141"/>
      <c r="CK683" s="141"/>
    </row>
    <row r="684" spans="74:89" ht="49.5" customHeight="1" x14ac:dyDescent="0.35">
      <c r="BV684" s="140"/>
      <c r="BY684" s="141"/>
      <c r="BZ684" s="141"/>
      <c r="CA684" s="141"/>
      <c r="CB684" s="141"/>
      <c r="CC684" s="141"/>
      <c r="CD684" s="141"/>
      <c r="CE684" s="141"/>
      <c r="CF684" s="141"/>
      <c r="CG684" s="141"/>
      <c r="CH684" s="141"/>
      <c r="CI684" s="141"/>
      <c r="CJ684" s="141"/>
      <c r="CK684" s="141"/>
    </row>
    <row r="685" spans="74:89" ht="49.5" customHeight="1" x14ac:dyDescent="0.35">
      <c r="BV685" s="140"/>
      <c r="BY685" s="141"/>
      <c r="BZ685" s="141"/>
      <c r="CA685" s="141"/>
      <c r="CB685" s="141"/>
      <c r="CC685" s="141"/>
      <c r="CD685" s="141"/>
      <c r="CE685" s="141"/>
      <c r="CF685" s="141"/>
      <c r="CG685" s="141"/>
      <c r="CH685" s="141"/>
      <c r="CI685" s="141"/>
      <c r="CJ685" s="141"/>
      <c r="CK685" s="141"/>
    </row>
    <row r="686" spans="74:89" ht="49.5" customHeight="1" x14ac:dyDescent="0.35">
      <c r="BV686" s="140"/>
      <c r="BY686" s="141"/>
      <c r="BZ686" s="141"/>
      <c r="CA686" s="141"/>
      <c r="CB686" s="141"/>
      <c r="CC686" s="141"/>
      <c r="CD686" s="141"/>
      <c r="CE686" s="141"/>
      <c r="CF686" s="141"/>
      <c r="CG686" s="141"/>
      <c r="CH686" s="141"/>
      <c r="CI686" s="141"/>
      <c r="CJ686" s="141"/>
      <c r="CK686" s="141"/>
    </row>
    <row r="687" spans="74:89" ht="49.5" customHeight="1" x14ac:dyDescent="0.35">
      <c r="BV687" s="140"/>
      <c r="BY687" s="141"/>
      <c r="BZ687" s="141"/>
      <c r="CA687" s="141"/>
      <c r="CB687" s="141"/>
      <c r="CC687" s="141"/>
      <c r="CD687" s="141"/>
      <c r="CE687" s="141"/>
      <c r="CF687" s="141"/>
      <c r="CG687" s="141"/>
      <c r="CH687" s="141"/>
      <c r="CI687" s="141"/>
      <c r="CJ687" s="141"/>
      <c r="CK687" s="141"/>
    </row>
    <row r="688" spans="74:89" ht="49.5" customHeight="1" x14ac:dyDescent="0.35">
      <c r="BV688" s="140"/>
      <c r="BY688" s="141"/>
      <c r="BZ688" s="141"/>
      <c r="CA688" s="141"/>
      <c r="CB688" s="141"/>
      <c r="CC688" s="141"/>
      <c r="CD688" s="141"/>
      <c r="CE688" s="141"/>
      <c r="CF688" s="141"/>
      <c r="CG688" s="141"/>
      <c r="CH688" s="141"/>
      <c r="CI688" s="141"/>
      <c r="CJ688" s="141"/>
      <c r="CK688" s="141"/>
    </row>
    <row r="689" spans="74:89" ht="49.5" customHeight="1" x14ac:dyDescent="0.35">
      <c r="BV689" s="140"/>
      <c r="BY689" s="141"/>
      <c r="BZ689" s="141"/>
      <c r="CA689" s="141"/>
      <c r="CB689" s="141"/>
      <c r="CC689" s="141"/>
      <c r="CD689" s="141"/>
      <c r="CE689" s="141"/>
      <c r="CF689" s="141"/>
      <c r="CG689" s="141"/>
      <c r="CH689" s="141"/>
      <c r="CI689" s="141"/>
      <c r="CJ689" s="141"/>
      <c r="CK689" s="141"/>
    </row>
    <row r="690" spans="74:89" ht="49.5" customHeight="1" x14ac:dyDescent="0.35">
      <c r="BV690" s="140"/>
      <c r="BY690" s="141"/>
      <c r="BZ690" s="141"/>
      <c r="CA690" s="141"/>
      <c r="CB690" s="141"/>
      <c r="CC690" s="141"/>
      <c r="CD690" s="141"/>
      <c r="CE690" s="141"/>
      <c r="CF690" s="141"/>
      <c r="CG690" s="141"/>
      <c r="CH690" s="141"/>
      <c r="CI690" s="141"/>
      <c r="CJ690" s="141"/>
      <c r="CK690" s="141"/>
    </row>
    <row r="691" spans="74:89" ht="49.5" customHeight="1" x14ac:dyDescent="0.35">
      <c r="BV691" s="140"/>
      <c r="BY691" s="141"/>
      <c r="BZ691" s="141"/>
      <c r="CA691" s="141"/>
      <c r="CB691" s="141"/>
      <c r="CC691" s="141"/>
      <c r="CD691" s="141"/>
      <c r="CE691" s="141"/>
      <c r="CF691" s="141"/>
      <c r="CG691" s="141"/>
      <c r="CH691" s="141"/>
      <c r="CI691" s="141"/>
      <c r="CJ691" s="141"/>
      <c r="CK691" s="141"/>
    </row>
    <row r="692" spans="74:89" ht="49.5" customHeight="1" x14ac:dyDescent="0.35">
      <c r="BV692" s="140"/>
      <c r="BY692" s="141"/>
      <c r="BZ692" s="141"/>
      <c r="CA692" s="141"/>
      <c r="CB692" s="141"/>
      <c r="CC692" s="141"/>
      <c r="CD692" s="141"/>
      <c r="CE692" s="141"/>
      <c r="CF692" s="141"/>
      <c r="CG692" s="141"/>
      <c r="CH692" s="141"/>
      <c r="CI692" s="141"/>
      <c r="CJ692" s="141"/>
      <c r="CK692" s="141"/>
    </row>
    <row r="693" spans="74:89" ht="49.5" customHeight="1" x14ac:dyDescent="0.35">
      <c r="BV693" s="140"/>
      <c r="BY693" s="141"/>
      <c r="BZ693" s="141"/>
      <c r="CA693" s="141"/>
      <c r="CB693" s="141"/>
      <c r="CC693" s="141"/>
      <c r="CD693" s="141"/>
      <c r="CE693" s="141"/>
      <c r="CF693" s="141"/>
      <c r="CG693" s="141"/>
      <c r="CH693" s="141"/>
      <c r="CI693" s="141"/>
      <c r="CJ693" s="141"/>
      <c r="CK693" s="141"/>
    </row>
    <row r="694" spans="74:89" ht="49.5" customHeight="1" x14ac:dyDescent="0.35">
      <c r="BV694" s="140"/>
      <c r="BY694" s="141"/>
      <c r="BZ694" s="141"/>
      <c r="CA694" s="141"/>
      <c r="CB694" s="141"/>
      <c r="CC694" s="141"/>
      <c r="CD694" s="141"/>
      <c r="CE694" s="141"/>
      <c r="CF694" s="141"/>
      <c r="CG694" s="141"/>
      <c r="CH694" s="141"/>
      <c r="CI694" s="141"/>
      <c r="CJ694" s="141"/>
      <c r="CK694" s="141"/>
    </row>
    <row r="695" spans="74:89" ht="49.5" customHeight="1" x14ac:dyDescent="0.35">
      <c r="BV695" s="140"/>
      <c r="BY695" s="141"/>
      <c r="BZ695" s="141"/>
      <c r="CA695" s="141"/>
      <c r="CB695" s="141"/>
      <c r="CC695" s="141"/>
      <c r="CD695" s="141"/>
      <c r="CE695" s="141"/>
      <c r="CF695" s="141"/>
      <c r="CG695" s="141"/>
      <c r="CH695" s="141"/>
      <c r="CI695" s="141"/>
      <c r="CJ695" s="141"/>
      <c r="CK695" s="141"/>
    </row>
    <row r="696" spans="74:89" ht="49.5" customHeight="1" x14ac:dyDescent="0.35">
      <c r="BV696" s="140"/>
      <c r="BY696" s="141"/>
      <c r="BZ696" s="141"/>
      <c r="CA696" s="141"/>
      <c r="CB696" s="141"/>
      <c r="CC696" s="141"/>
      <c r="CD696" s="141"/>
      <c r="CE696" s="141"/>
      <c r="CF696" s="141"/>
      <c r="CG696" s="141"/>
      <c r="CH696" s="141"/>
      <c r="CI696" s="141"/>
      <c r="CJ696" s="141"/>
      <c r="CK696" s="141"/>
    </row>
    <row r="697" spans="74:89" ht="49.5" customHeight="1" x14ac:dyDescent="0.35">
      <c r="BV697" s="140"/>
      <c r="BY697" s="141"/>
      <c r="BZ697" s="141"/>
      <c r="CA697" s="141"/>
      <c r="CB697" s="141"/>
      <c r="CC697" s="141"/>
      <c r="CD697" s="141"/>
      <c r="CE697" s="141"/>
      <c r="CF697" s="141"/>
      <c r="CG697" s="141"/>
      <c r="CH697" s="141"/>
      <c r="CI697" s="141"/>
      <c r="CJ697" s="141"/>
      <c r="CK697" s="141"/>
    </row>
    <row r="698" spans="74:89" ht="49.5" customHeight="1" x14ac:dyDescent="0.35">
      <c r="BV698" s="140"/>
      <c r="BY698" s="141"/>
      <c r="BZ698" s="141"/>
      <c r="CA698" s="141"/>
      <c r="CB698" s="141"/>
      <c r="CC698" s="141"/>
      <c r="CD698" s="141"/>
      <c r="CE698" s="141"/>
      <c r="CF698" s="141"/>
      <c r="CG698" s="141"/>
      <c r="CH698" s="141"/>
      <c r="CI698" s="141"/>
      <c r="CJ698" s="141"/>
      <c r="CK698" s="141"/>
    </row>
    <row r="699" spans="74:89" ht="49.5" customHeight="1" x14ac:dyDescent="0.35">
      <c r="BV699" s="140"/>
      <c r="BY699" s="141"/>
      <c r="BZ699" s="141"/>
      <c r="CA699" s="141"/>
      <c r="CB699" s="141"/>
      <c r="CC699" s="141"/>
      <c r="CD699" s="141"/>
      <c r="CE699" s="141"/>
      <c r="CF699" s="141"/>
      <c r="CG699" s="141"/>
      <c r="CH699" s="141"/>
      <c r="CI699" s="141"/>
      <c r="CJ699" s="141"/>
      <c r="CK699" s="141"/>
    </row>
    <row r="700" spans="74:89" ht="49.5" customHeight="1" x14ac:dyDescent="0.35">
      <c r="BV700" s="140"/>
      <c r="BY700" s="141"/>
      <c r="BZ700" s="141"/>
      <c r="CA700" s="141"/>
      <c r="CB700" s="141"/>
      <c r="CC700" s="141"/>
      <c r="CD700" s="141"/>
      <c r="CE700" s="141"/>
      <c r="CF700" s="141"/>
      <c r="CG700" s="141"/>
      <c r="CH700" s="141"/>
      <c r="CI700" s="141"/>
      <c r="CJ700" s="141"/>
      <c r="CK700" s="141"/>
    </row>
    <row r="701" spans="74:89" ht="49.5" customHeight="1" x14ac:dyDescent="0.35">
      <c r="BV701" s="140"/>
      <c r="BY701" s="141"/>
      <c r="BZ701" s="141"/>
      <c r="CA701" s="141"/>
      <c r="CB701" s="141"/>
      <c r="CC701" s="141"/>
      <c r="CD701" s="141"/>
      <c r="CE701" s="141"/>
      <c r="CF701" s="141"/>
      <c r="CG701" s="141"/>
      <c r="CH701" s="141"/>
      <c r="CI701" s="141"/>
      <c r="CJ701" s="141"/>
      <c r="CK701" s="141"/>
    </row>
    <row r="702" spans="74:89" ht="49.5" customHeight="1" x14ac:dyDescent="0.35">
      <c r="BV702" s="140"/>
      <c r="BY702" s="141"/>
      <c r="BZ702" s="141"/>
      <c r="CA702" s="141"/>
      <c r="CB702" s="141"/>
      <c r="CC702" s="141"/>
      <c r="CD702" s="141"/>
      <c r="CE702" s="141"/>
      <c r="CF702" s="141"/>
      <c r="CG702" s="141"/>
      <c r="CH702" s="141"/>
      <c r="CI702" s="141"/>
      <c r="CJ702" s="141"/>
      <c r="CK702" s="141"/>
    </row>
    <row r="703" spans="74:89" ht="49.5" customHeight="1" x14ac:dyDescent="0.35">
      <c r="BV703" s="140"/>
      <c r="BY703" s="141"/>
      <c r="BZ703" s="141"/>
      <c r="CA703" s="141"/>
      <c r="CB703" s="141"/>
      <c r="CC703" s="141"/>
      <c r="CD703" s="141"/>
      <c r="CE703" s="141"/>
      <c r="CF703" s="141"/>
      <c r="CG703" s="141"/>
      <c r="CH703" s="141"/>
      <c r="CI703" s="141"/>
      <c r="CJ703" s="141"/>
      <c r="CK703" s="141"/>
    </row>
    <row r="704" spans="74:89" ht="49.5" customHeight="1" x14ac:dyDescent="0.35">
      <c r="BV704" s="140"/>
      <c r="BY704" s="141"/>
      <c r="BZ704" s="141"/>
      <c r="CA704" s="141"/>
      <c r="CB704" s="141"/>
      <c r="CC704" s="141"/>
      <c r="CD704" s="141"/>
      <c r="CE704" s="141"/>
      <c r="CF704" s="141"/>
      <c r="CG704" s="141"/>
      <c r="CH704" s="141"/>
      <c r="CI704" s="141"/>
      <c r="CJ704" s="141"/>
      <c r="CK704" s="141"/>
    </row>
    <row r="705" spans="74:89" ht="49.5" customHeight="1" x14ac:dyDescent="0.35">
      <c r="BV705" s="140"/>
      <c r="BY705" s="141"/>
      <c r="BZ705" s="141"/>
      <c r="CA705" s="141"/>
      <c r="CB705" s="141"/>
      <c r="CC705" s="141"/>
      <c r="CD705" s="141"/>
      <c r="CE705" s="141"/>
      <c r="CF705" s="141"/>
      <c r="CG705" s="141"/>
      <c r="CH705" s="141"/>
      <c r="CI705" s="141"/>
      <c r="CJ705" s="141"/>
      <c r="CK705" s="141"/>
    </row>
    <row r="706" spans="74:89" ht="49.5" customHeight="1" x14ac:dyDescent="0.35">
      <c r="BV706" s="140"/>
      <c r="BY706" s="141"/>
      <c r="BZ706" s="141"/>
      <c r="CA706" s="141"/>
      <c r="CB706" s="141"/>
      <c r="CC706" s="141"/>
      <c r="CD706" s="141"/>
      <c r="CE706" s="141"/>
      <c r="CF706" s="141"/>
      <c r="CG706" s="141"/>
      <c r="CH706" s="141"/>
      <c r="CI706" s="141"/>
      <c r="CJ706" s="141"/>
      <c r="CK706" s="141"/>
    </row>
    <row r="707" spans="74:89" ht="49.5" customHeight="1" x14ac:dyDescent="0.35">
      <c r="BV707" s="140"/>
      <c r="BY707" s="141"/>
      <c r="BZ707" s="141"/>
      <c r="CA707" s="141"/>
      <c r="CB707" s="141"/>
      <c r="CC707" s="141"/>
      <c r="CD707" s="141"/>
      <c r="CE707" s="141"/>
      <c r="CF707" s="141"/>
      <c r="CG707" s="141"/>
      <c r="CH707" s="141"/>
      <c r="CI707" s="141"/>
      <c r="CJ707" s="141"/>
      <c r="CK707" s="141"/>
    </row>
    <row r="708" spans="74:89" ht="49.5" customHeight="1" x14ac:dyDescent="0.35">
      <c r="BV708" s="140"/>
      <c r="BY708" s="141"/>
      <c r="BZ708" s="141"/>
      <c r="CA708" s="141"/>
      <c r="CB708" s="141"/>
      <c r="CC708" s="141"/>
      <c r="CD708" s="141"/>
      <c r="CE708" s="141"/>
      <c r="CF708" s="141"/>
      <c r="CG708" s="141"/>
      <c r="CH708" s="141"/>
      <c r="CI708" s="141"/>
      <c r="CJ708" s="141"/>
      <c r="CK708" s="141"/>
    </row>
    <row r="709" spans="74:89" ht="49.5" customHeight="1" x14ac:dyDescent="0.35">
      <c r="BV709" s="140"/>
      <c r="BY709" s="141"/>
      <c r="BZ709" s="141"/>
      <c r="CA709" s="141"/>
      <c r="CB709" s="141"/>
      <c r="CC709" s="141"/>
      <c r="CD709" s="141"/>
      <c r="CE709" s="141"/>
      <c r="CF709" s="141"/>
      <c r="CG709" s="141"/>
      <c r="CH709" s="141"/>
      <c r="CI709" s="141"/>
      <c r="CJ709" s="141"/>
      <c r="CK709" s="141"/>
    </row>
    <row r="710" spans="74:89" ht="49.5" customHeight="1" x14ac:dyDescent="0.35">
      <c r="BV710" s="140"/>
      <c r="BY710" s="141"/>
      <c r="BZ710" s="141"/>
      <c r="CA710" s="141"/>
      <c r="CB710" s="141"/>
      <c r="CC710" s="141"/>
      <c r="CD710" s="141"/>
      <c r="CE710" s="141"/>
      <c r="CF710" s="141"/>
      <c r="CG710" s="141"/>
      <c r="CH710" s="141"/>
      <c r="CI710" s="141"/>
      <c r="CJ710" s="141"/>
      <c r="CK710" s="141"/>
    </row>
    <row r="711" spans="74:89" ht="49.5" customHeight="1" x14ac:dyDescent="0.35">
      <c r="BV711" s="140"/>
      <c r="BY711" s="141"/>
      <c r="BZ711" s="141"/>
      <c r="CA711" s="141"/>
      <c r="CB711" s="141"/>
      <c r="CC711" s="141"/>
      <c r="CD711" s="141"/>
      <c r="CE711" s="141"/>
      <c r="CF711" s="141"/>
      <c r="CG711" s="141"/>
      <c r="CH711" s="141"/>
      <c r="CI711" s="141"/>
      <c r="CJ711" s="141"/>
      <c r="CK711" s="141"/>
    </row>
    <row r="712" spans="74:89" ht="49.5" customHeight="1" x14ac:dyDescent="0.35">
      <c r="BV712" s="140"/>
      <c r="BY712" s="141"/>
      <c r="BZ712" s="141"/>
      <c r="CA712" s="141"/>
      <c r="CB712" s="141"/>
      <c r="CC712" s="141"/>
      <c r="CD712" s="141"/>
      <c r="CE712" s="141"/>
      <c r="CF712" s="141"/>
      <c r="CG712" s="141"/>
      <c r="CH712" s="141"/>
      <c r="CI712" s="141"/>
      <c r="CJ712" s="141"/>
      <c r="CK712" s="141"/>
    </row>
    <row r="713" spans="74:89" ht="49.5" customHeight="1" x14ac:dyDescent="0.35">
      <c r="BV713" s="140"/>
      <c r="BY713" s="141"/>
      <c r="BZ713" s="141"/>
      <c r="CA713" s="141"/>
      <c r="CB713" s="141"/>
      <c r="CC713" s="141"/>
      <c r="CD713" s="141"/>
      <c r="CE713" s="141"/>
      <c r="CF713" s="141"/>
      <c r="CG713" s="141"/>
      <c r="CH713" s="141"/>
      <c r="CI713" s="141"/>
      <c r="CJ713" s="141"/>
      <c r="CK713" s="141"/>
    </row>
    <row r="714" spans="74:89" ht="49.5" customHeight="1" x14ac:dyDescent="0.35">
      <c r="BV714" s="140"/>
      <c r="BY714" s="141"/>
      <c r="BZ714" s="141"/>
      <c r="CA714" s="141"/>
      <c r="CB714" s="141"/>
      <c r="CC714" s="141"/>
      <c r="CD714" s="141"/>
      <c r="CE714" s="141"/>
      <c r="CF714" s="141"/>
      <c r="CG714" s="141"/>
      <c r="CH714" s="141"/>
      <c r="CI714" s="141"/>
      <c r="CJ714" s="141"/>
      <c r="CK714" s="141"/>
    </row>
    <row r="715" spans="74:89" ht="49.5" customHeight="1" x14ac:dyDescent="0.35">
      <c r="BV715" s="140"/>
      <c r="BY715" s="141"/>
      <c r="BZ715" s="141"/>
      <c r="CA715" s="141"/>
      <c r="CB715" s="141"/>
      <c r="CC715" s="141"/>
      <c r="CD715" s="141"/>
      <c r="CE715" s="141"/>
      <c r="CF715" s="141"/>
      <c r="CG715" s="141"/>
      <c r="CH715" s="141"/>
      <c r="CI715" s="141"/>
      <c r="CJ715" s="141"/>
      <c r="CK715" s="141"/>
    </row>
    <row r="716" spans="74:89" ht="49.5" customHeight="1" x14ac:dyDescent="0.35">
      <c r="BV716" s="140"/>
      <c r="BY716" s="141"/>
      <c r="BZ716" s="141"/>
      <c r="CA716" s="141"/>
      <c r="CB716" s="141"/>
      <c r="CC716" s="141"/>
      <c r="CD716" s="141"/>
      <c r="CE716" s="141"/>
      <c r="CF716" s="141"/>
      <c r="CG716" s="141"/>
      <c r="CH716" s="141"/>
      <c r="CI716" s="141"/>
      <c r="CJ716" s="141"/>
      <c r="CK716" s="141"/>
    </row>
    <row r="717" spans="74:89" ht="49.5" customHeight="1" x14ac:dyDescent="0.35">
      <c r="BV717" s="140"/>
      <c r="BY717" s="141"/>
      <c r="BZ717" s="141"/>
      <c r="CA717" s="141"/>
      <c r="CB717" s="141"/>
      <c r="CC717" s="141"/>
      <c r="CD717" s="141"/>
      <c r="CE717" s="141"/>
      <c r="CF717" s="141"/>
      <c r="CG717" s="141"/>
      <c r="CH717" s="141"/>
      <c r="CI717" s="141"/>
      <c r="CJ717" s="141"/>
      <c r="CK717" s="141"/>
    </row>
    <row r="718" spans="74:89" ht="49.5" customHeight="1" x14ac:dyDescent="0.35">
      <c r="BV718" s="140"/>
      <c r="BY718" s="141"/>
      <c r="BZ718" s="141"/>
      <c r="CA718" s="141"/>
      <c r="CB718" s="141"/>
      <c r="CC718" s="141"/>
      <c r="CD718" s="141"/>
      <c r="CE718" s="141"/>
      <c r="CF718" s="141"/>
      <c r="CG718" s="141"/>
      <c r="CH718" s="141"/>
      <c r="CI718" s="141"/>
      <c r="CJ718" s="141"/>
      <c r="CK718" s="141"/>
    </row>
    <row r="719" spans="74:89" ht="49.5" customHeight="1" x14ac:dyDescent="0.35">
      <c r="BV719" s="140"/>
      <c r="BY719" s="141"/>
      <c r="BZ719" s="141"/>
      <c r="CA719" s="141"/>
      <c r="CB719" s="141"/>
      <c r="CC719" s="141"/>
      <c r="CD719" s="141"/>
      <c r="CE719" s="141"/>
      <c r="CF719" s="141"/>
      <c r="CG719" s="141"/>
      <c r="CH719" s="141"/>
      <c r="CI719" s="141"/>
      <c r="CJ719" s="141"/>
      <c r="CK719" s="141"/>
    </row>
    <row r="720" spans="74:89" ht="49.5" customHeight="1" x14ac:dyDescent="0.35">
      <c r="BV720" s="140"/>
      <c r="BY720" s="141"/>
      <c r="BZ720" s="141"/>
      <c r="CA720" s="141"/>
      <c r="CB720" s="141"/>
      <c r="CC720" s="141"/>
      <c r="CD720" s="141"/>
      <c r="CE720" s="141"/>
      <c r="CF720" s="141"/>
      <c r="CG720" s="141"/>
      <c r="CH720" s="141"/>
      <c r="CI720" s="141"/>
      <c r="CJ720" s="141"/>
      <c r="CK720" s="141"/>
    </row>
    <row r="721" spans="74:89" ht="49.5" customHeight="1" x14ac:dyDescent="0.35">
      <c r="BV721" s="140"/>
      <c r="BY721" s="141"/>
      <c r="BZ721" s="141"/>
      <c r="CA721" s="141"/>
      <c r="CB721" s="141"/>
      <c r="CC721" s="141"/>
      <c r="CD721" s="141"/>
      <c r="CE721" s="141"/>
      <c r="CF721" s="141"/>
      <c r="CG721" s="141"/>
      <c r="CH721" s="141"/>
      <c r="CI721" s="141"/>
      <c r="CJ721" s="141"/>
      <c r="CK721" s="141"/>
    </row>
    <row r="722" spans="74:89" ht="49.5" customHeight="1" x14ac:dyDescent="0.35">
      <c r="BV722" s="140"/>
      <c r="BY722" s="141"/>
      <c r="BZ722" s="141"/>
      <c r="CA722" s="141"/>
      <c r="CB722" s="141"/>
      <c r="CC722" s="141"/>
      <c r="CD722" s="141"/>
      <c r="CE722" s="141"/>
      <c r="CF722" s="141"/>
      <c r="CG722" s="141"/>
      <c r="CH722" s="141"/>
      <c r="CI722" s="141"/>
      <c r="CJ722" s="141"/>
      <c r="CK722" s="141"/>
    </row>
    <row r="723" spans="74:89" ht="49.5" customHeight="1" x14ac:dyDescent="0.35">
      <c r="BV723" s="140"/>
      <c r="BY723" s="141"/>
      <c r="BZ723" s="141"/>
      <c r="CA723" s="141"/>
      <c r="CB723" s="141"/>
      <c r="CC723" s="141"/>
      <c r="CD723" s="141"/>
      <c r="CE723" s="141"/>
      <c r="CF723" s="141"/>
      <c r="CG723" s="141"/>
      <c r="CH723" s="141"/>
      <c r="CI723" s="141"/>
      <c r="CJ723" s="141"/>
      <c r="CK723" s="141"/>
    </row>
    <row r="724" spans="74:89" ht="49.5" customHeight="1" x14ac:dyDescent="0.35">
      <c r="BV724" s="140"/>
      <c r="BY724" s="141"/>
      <c r="BZ724" s="141"/>
      <c r="CA724" s="141"/>
      <c r="CB724" s="141"/>
      <c r="CC724" s="141"/>
      <c r="CD724" s="141"/>
      <c r="CE724" s="141"/>
      <c r="CF724" s="141"/>
      <c r="CG724" s="141"/>
      <c r="CH724" s="141"/>
      <c r="CI724" s="141"/>
      <c r="CJ724" s="141"/>
      <c r="CK724" s="141"/>
    </row>
    <row r="725" spans="74:89" ht="49.5" customHeight="1" x14ac:dyDescent="0.35">
      <c r="BV725" s="140"/>
      <c r="BY725" s="141"/>
      <c r="BZ725" s="141"/>
      <c r="CA725" s="141"/>
      <c r="CB725" s="141"/>
      <c r="CC725" s="141"/>
      <c r="CD725" s="141"/>
      <c r="CE725" s="141"/>
      <c r="CF725" s="141"/>
      <c r="CG725" s="141"/>
      <c r="CH725" s="141"/>
      <c r="CI725" s="141"/>
      <c r="CJ725" s="141"/>
      <c r="CK725" s="141"/>
    </row>
    <row r="726" spans="74:89" ht="49.5" customHeight="1" x14ac:dyDescent="0.35">
      <c r="BV726" s="140"/>
      <c r="BY726" s="141"/>
      <c r="BZ726" s="141"/>
      <c r="CA726" s="141"/>
      <c r="CB726" s="141"/>
      <c r="CC726" s="141"/>
      <c r="CD726" s="141"/>
      <c r="CE726" s="141"/>
      <c r="CF726" s="141"/>
      <c r="CG726" s="141"/>
      <c r="CH726" s="141"/>
      <c r="CI726" s="141"/>
      <c r="CJ726" s="141"/>
      <c r="CK726" s="141"/>
    </row>
    <row r="727" spans="74:89" ht="49.5" customHeight="1" x14ac:dyDescent="0.35">
      <c r="BV727" s="140"/>
      <c r="BY727" s="141"/>
      <c r="BZ727" s="141"/>
      <c r="CA727" s="141"/>
      <c r="CB727" s="141"/>
      <c r="CC727" s="141"/>
      <c r="CD727" s="141"/>
      <c r="CE727" s="141"/>
      <c r="CF727" s="141"/>
      <c r="CG727" s="141"/>
      <c r="CH727" s="141"/>
      <c r="CI727" s="141"/>
      <c r="CJ727" s="141"/>
      <c r="CK727" s="141"/>
    </row>
    <row r="728" spans="74:89" ht="49.5" customHeight="1" x14ac:dyDescent="0.35">
      <c r="BV728" s="140"/>
      <c r="BY728" s="141"/>
      <c r="BZ728" s="141"/>
      <c r="CA728" s="141"/>
      <c r="CB728" s="141"/>
      <c r="CC728" s="141"/>
      <c r="CD728" s="141"/>
      <c r="CE728" s="141"/>
      <c r="CF728" s="141"/>
      <c r="CG728" s="141"/>
      <c r="CH728" s="141"/>
      <c r="CI728" s="141"/>
      <c r="CJ728" s="141"/>
      <c r="CK728" s="141"/>
    </row>
    <row r="729" spans="74:89" ht="49.5" customHeight="1" x14ac:dyDescent="0.35">
      <c r="BV729" s="140"/>
      <c r="BY729" s="141"/>
      <c r="BZ729" s="141"/>
      <c r="CA729" s="141"/>
      <c r="CB729" s="141"/>
      <c r="CC729" s="141"/>
      <c r="CD729" s="141"/>
      <c r="CE729" s="141"/>
      <c r="CF729" s="141"/>
      <c r="CG729" s="141"/>
      <c r="CH729" s="141"/>
      <c r="CI729" s="141"/>
      <c r="CJ729" s="141"/>
      <c r="CK729" s="141"/>
    </row>
    <row r="730" spans="74:89" ht="49.5" customHeight="1" x14ac:dyDescent="0.35">
      <c r="BV730" s="140"/>
      <c r="BY730" s="141"/>
      <c r="BZ730" s="141"/>
      <c r="CA730" s="141"/>
      <c r="CB730" s="141"/>
      <c r="CC730" s="141"/>
      <c r="CD730" s="141"/>
      <c r="CE730" s="141"/>
      <c r="CF730" s="141"/>
      <c r="CG730" s="141"/>
      <c r="CH730" s="141"/>
      <c r="CI730" s="141"/>
      <c r="CJ730" s="141"/>
      <c r="CK730" s="141"/>
    </row>
    <row r="731" spans="74:89" ht="49.5" customHeight="1" x14ac:dyDescent="0.35">
      <c r="BV731" s="140"/>
      <c r="BY731" s="141"/>
      <c r="BZ731" s="141"/>
      <c r="CA731" s="141"/>
      <c r="CB731" s="141"/>
      <c r="CC731" s="141"/>
      <c r="CD731" s="141"/>
      <c r="CE731" s="141"/>
      <c r="CF731" s="141"/>
      <c r="CG731" s="141"/>
      <c r="CH731" s="141"/>
      <c r="CI731" s="141"/>
      <c r="CJ731" s="141"/>
      <c r="CK731" s="141"/>
    </row>
    <row r="732" spans="74:89" ht="49.5" customHeight="1" x14ac:dyDescent="0.35">
      <c r="BV732" s="140"/>
      <c r="BY732" s="141"/>
      <c r="BZ732" s="141"/>
      <c r="CA732" s="141"/>
      <c r="CB732" s="141"/>
      <c r="CC732" s="141"/>
      <c r="CD732" s="141"/>
      <c r="CE732" s="141"/>
      <c r="CF732" s="141"/>
      <c r="CG732" s="141"/>
      <c r="CH732" s="141"/>
      <c r="CI732" s="141"/>
      <c r="CJ732" s="141"/>
      <c r="CK732" s="141"/>
    </row>
    <row r="733" spans="74:89" ht="49.5" customHeight="1" x14ac:dyDescent="0.35">
      <c r="BV733" s="140"/>
      <c r="BY733" s="141"/>
      <c r="BZ733" s="141"/>
      <c r="CA733" s="141"/>
      <c r="CB733" s="141"/>
      <c r="CC733" s="141"/>
      <c r="CD733" s="141"/>
      <c r="CE733" s="141"/>
      <c r="CF733" s="141"/>
      <c r="CG733" s="141"/>
      <c r="CH733" s="141"/>
      <c r="CI733" s="141"/>
      <c r="CJ733" s="141"/>
      <c r="CK733" s="141"/>
    </row>
    <row r="734" spans="74:89" ht="49.5" customHeight="1" x14ac:dyDescent="0.35">
      <c r="BV734" s="140"/>
      <c r="BY734" s="141"/>
      <c r="BZ734" s="141"/>
      <c r="CA734" s="141"/>
      <c r="CB734" s="141"/>
      <c r="CC734" s="141"/>
      <c r="CD734" s="141"/>
      <c r="CE734" s="141"/>
      <c r="CF734" s="141"/>
      <c r="CG734" s="141"/>
      <c r="CH734" s="141"/>
      <c r="CI734" s="141"/>
      <c r="CJ734" s="141"/>
      <c r="CK734" s="141"/>
    </row>
    <row r="735" spans="74:89" ht="49.5" customHeight="1" x14ac:dyDescent="0.35">
      <c r="BV735" s="140"/>
      <c r="BY735" s="141"/>
      <c r="BZ735" s="141"/>
      <c r="CA735" s="141"/>
      <c r="CB735" s="141"/>
      <c r="CC735" s="141"/>
      <c r="CD735" s="141"/>
      <c r="CE735" s="141"/>
      <c r="CF735" s="141"/>
      <c r="CG735" s="141"/>
      <c r="CH735" s="141"/>
      <c r="CI735" s="141"/>
      <c r="CJ735" s="141"/>
      <c r="CK735" s="141"/>
    </row>
    <row r="736" spans="74:89" ht="49.5" customHeight="1" x14ac:dyDescent="0.35">
      <c r="BV736" s="140"/>
      <c r="BY736" s="141"/>
      <c r="BZ736" s="141"/>
      <c r="CA736" s="141"/>
      <c r="CB736" s="141"/>
      <c r="CC736" s="141"/>
      <c r="CD736" s="141"/>
      <c r="CE736" s="141"/>
      <c r="CF736" s="141"/>
      <c r="CG736" s="141"/>
      <c r="CH736" s="141"/>
      <c r="CI736" s="141"/>
      <c r="CJ736" s="141"/>
      <c r="CK736" s="141"/>
    </row>
    <row r="737" spans="74:89" ht="49.5" customHeight="1" x14ac:dyDescent="0.35">
      <c r="BV737" s="140"/>
      <c r="BY737" s="141"/>
      <c r="BZ737" s="141"/>
      <c r="CA737" s="141"/>
      <c r="CB737" s="141"/>
      <c r="CC737" s="141"/>
      <c r="CD737" s="141"/>
      <c r="CE737" s="141"/>
      <c r="CF737" s="141"/>
      <c r="CG737" s="141"/>
      <c r="CH737" s="141"/>
      <c r="CI737" s="141"/>
      <c r="CJ737" s="141"/>
      <c r="CK737" s="141"/>
    </row>
    <row r="738" spans="74:89" ht="49.5" customHeight="1" x14ac:dyDescent="0.35">
      <c r="BV738" s="140"/>
      <c r="BY738" s="141"/>
      <c r="BZ738" s="141"/>
      <c r="CA738" s="141"/>
      <c r="CB738" s="141"/>
      <c r="CC738" s="141"/>
      <c r="CD738" s="141"/>
      <c r="CE738" s="141"/>
      <c r="CF738" s="141"/>
      <c r="CG738" s="141"/>
      <c r="CH738" s="141"/>
      <c r="CI738" s="141"/>
      <c r="CJ738" s="141"/>
      <c r="CK738" s="141"/>
    </row>
    <row r="739" spans="74:89" ht="49.5" customHeight="1" x14ac:dyDescent="0.35">
      <c r="BV739" s="140"/>
      <c r="BY739" s="141"/>
      <c r="BZ739" s="141"/>
      <c r="CA739" s="141"/>
      <c r="CB739" s="141"/>
      <c r="CC739" s="141"/>
      <c r="CD739" s="141"/>
      <c r="CE739" s="141"/>
      <c r="CF739" s="141"/>
      <c r="CG739" s="141"/>
      <c r="CH739" s="141"/>
      <c r="CI739" s="141"/>
      <c r="CJ739" s="141"/>
      <c r="CK739" s="141"/>
    </row>
    <row r="740" spans="74:89" ht="49.5" customHeight="1" x14ac:dyDescent="0.35">
      <c r="BV740" s="140"/>
      <c r="BY740" s="141"/>
      <c r="BZ740" s="141"/>
      <c r="CA740" s="141"/>
      <c r="CB740" s="141"/>
      <c r="CC740" s="141"/>
      <c r="CD740" s="141"/>
      <c r="CE740" s="141"/>
      <c r="CF740" s="141"/>
      <c r="CG740" s="141"/>
      <c r="CH740" s="141"/>
      <c r="CI740" s="141"/>
      <c r="CJ740" s="141"/>
      <c r="CK740" s="141"/>
    </row>
    <row r="741" spans="74:89" ht="49.5" customHeight="1" x14ac:dyDescent="0.35">
      <c r="BV741" s="140"/>
      <c r="BY741" s="141"/>
      <c r="BZ741" s="141"/>
      <c r="CA741" s="141"/>
      <c r="CB741" s="141"/>
      <c r="CC741" s="141"/>
      <c r="CD741" s="141"/>
      <c r="CE741" s="141"/>
      <c r="CF741" s="141"/>
      <c r="CG741" s="141"/>
      <c r="CH741" s="141"/>
      <c r="CI741" s="141"/>
      <c r="CJ741" s="141"/>
      <c r="CK741" s="141"/>
    </row>
    <row r="742" spans="74:89" ht="49.5" customHeight="1" x14ac:dyDescent="0.35">
      <c r="BV742" s="140"/>
      <c r="BY742" s="141"/>
      <c r="BZ742" s="141"/>
      <c r="CA742" s="141"/>
      <c r="CB742" s="141"/>
      <c r="CC742" s="141"/>
      <c r="CD742" s="141"/>
      <c r="CE742" s="141"/>
      <c r="CF742" s="141"/>
      <c r="CG742" s="141"/>
      <c r="CH742" s="141"/>
      <c r="CI742" s="141"/>
      <c r="CJ742" s="141"/>
      <c r="CK742" s="141"/>
    </row>
    <row r="743" spans="74:89" ht="49.5" customHeight="1" x14ac:dyDescent="0.35">
      <c r="BV743" s="140"/>
      <c r="BY743" s="141"/>
      <c r="BZ743" s="141"/>
      <c r="CA743" s="141"/>
      <c r="CB743" s="141"/>
      <c r="CC743" s="141"/>
      <c r="CD743" s="141"/>
      <c r="CE743" s="141"/>
      <c r="CF743" s="141"/>
      <c r="CG743" s="141"/>
      <c r="CH743" s="141"/>
      <c r="CI743" s="141"/>
      <c r="CJ743" s="141"/>
      <c r="CK743" s="141"/>
    </row>
    <row r="744" spans="74:89" ht="49.5" customHeight="1" x14ac:dyDescent="0.35">
      <c r="BV744" s="140"/>
      <c r="BY744" s="141"/>
      <c r="BZ744" s="141"/>
      <c r="CA744" s="141"/>
      <c r="CB744" s="141"/>
      <c r="CC744" s="141"/>
      <c r="CD744" s="141"/>
      <c r="CE744" s="141"/>
      <c r="CF744" s="141"/>
      <c r="CG744" s="141"/>
      <c r="CH744" s="141"/>
      <c r="CI744" s="141"/>
      <c r="CJ744" s="141"/>
      <c r="CK744" s="141"/>
    </row>
    <row r="745" spans="74:89" ht="49.5" customHeight="1" x14ac:dyDescent="0.35">
      <c r="BV745" s="140"/>
      <c r="BY745" s="141"/>
      <c r="BZ745" s="141"/>
      <c r="CA745" s="141"/>
      <c r="CB745" s="141"/>
      <c r="CC745" s="141"/>
      <c r="CD745" s="141"/>
      <c r="CE745" s="141"/>
      <c r="CF745" s="141"/>
      <c r="CG745" s="141"/>
      <c r="CH745" s="141"/>
      <c r="CI745" s="141"/>
      <c r="CJ745" s="141"/>
      <c r="CK745" s="141"/>
    </row>
    <row r="746" spans="74:89" ht="49.5" customHeight="1" x14ac:dyDescent="0.35">
      <c r="BV746" s="140"/>
      <c r="BY746" s="141"/>
      <c r="BZ746" s="141"/>
      <c r="CA746" s="141"/>
      <c r="CB746" s="141"/>
      <c r="CC746" s="141"/>
      <c r="CD746" s="141"/>
      <c r="CE746" s="141"/>
      <c r="CF746" s="141"/>
      <c r="CG746" s="141"/>
      <c r="CH746" s="141"/>
      <c r="CI746" s="141"/>
      <c r="CJ746" s="141"/>
      <c r="CK746" s="141"/>
    </row>
    <row r="747" spans="74:89" ht="49.5" customHeight="1" x14ac:dyDescent="0.35">
      <c r="BV747" s="140"/>
      <c r="BY747" s="141"/>
      <c r="BZ747" s="141"/>
      <c r="CA747" s="141"/>
      <c r="CB747" s="141"/>
      <c r="CC747" s="141"/>
      <c r="CD747" s="141"/>
      <c r="CE747" s="141"/>
      <c r="CF747" s="141"/>
      <c r="CG747" s="141"/>
      <c r="CH747" s="141"/>
      <c r="CI747" s="141"/>
      <c r="CJ747" s="141"/>
      <c r="CK747" s="141"/>
    </row>
    <row r="748" spans="74:89" ht="49.5" customHeight="1" x14ac:dyDescent="0.35">
      <c r="BV748" s="140"/>
      <c r="BY748" s="141"/>
      <c r="BZ748" s="141"/>
      <c r="CA748" s="141"/>
      <c r="CB748" s="141"/>
      <c r="CC748" s="141"/>
      <c r="CD748" s="141"/>
      <c r="CE748" s="141"/>
      <c r="CF748" s="141"/>
      <c r="CG748" s="141"/>
      <c r="CH748" s="141"/>
      <c r="CI748" s="141"/>
      <c r="CJ748" s="141"/>
      <c r="CK748" s="141"/>
    </row>
    <row r="749" spans="74:89" ht="49.5" customHeight="1" x14ac:dyDescent="0.35">
      <c r="BV749" s="140"/>
      <c r="BY749" s="141"/>
      <c r="BZ749" s="141"/>
      <c r="CA749" s="141"/>
      <c r="CB749" s="141"/>
      <c r="CC749" s="141"/>
      <c r="CD749" s="141"/>
      <c r="CE749" s="141"/>
      <c r="CF749" s="141"/>
      <c r="CG749" s="141"/>
      <c r="CH749" s="141"/>
      <c r="CI749" s="141"/>
      <c r="CJ749" s="141"/>
      <c r="CK749" s="141"/>
    </row>
    <row r="750" spans="74:89" ht="49.5" customHeight="1" x14ac:dyDescent="0.35">
      <c r="BV750" s="140"/>
      <c r="BY750" s="141"/>
      <c r="BZ750" s="141"/>
      <c r="CA750" s="141"/>
      <c r="CB750" s="141"/>
      <c r="CC750" s="141"/>
      <c r="CD750" s="141"/>
      <c r="CE750" s="141"/>
      <c r="CF750" s="141"/>
      <c r="CG750" s="141"/>
      <c r="CH750" s="141"/>
      <c r="CI750" s="141"/>
      <c r="CJ750" s="141"/>
      <c r="CK750" s="141"/>
    </row>
    <row r="751" spans="74:89" ht="49.5" customHeight="1" x14ac:dyDescent="0.35">
      <c r="BV751" s="140"/>
      <c r="BY751" s="141"/>
      <c r="BZ751" s="141"/>
      <c r="CA751" s="141"/>
      <c r="CB751" s="141"/>
      <c r="CC751" s="141"/>
      <c r="CD751" s="141"/>
      <c r="CE751" s="141"/>
      <c r="CF751" s="141"/>
      <c r="CG751" s="141"/>
      <c r="CH751" s="141"/>
      <c r="CI751" s="141"/>
      <c r="CJ751" s="141"/>
      <c r="CK751" s="141"/>
    </row>
    <row r="752" spans="74:89" ht="49.5" customHeight="1" x14ac:dyDescent="0.35">
      <c r="BV752" s="140"/>
      <c r="BY752" s="141"/>
      <c r="BZ752" s="141"/>
      <c r="CA752" s="141"/>
      <c r="CB752" s="141"/>
      <c r="CC752" s="141"/>
      <c r="CD752" s="141"/>
      <c r="CE752" s="141"/>
      <c r="CF752" s="141"/>
      <c r="CG752" s="141"/>
      <c r="CH752" s="141"/>
      <c r="CI752" s="141"/>
      <c r="CJ752" s="141"/>
      <c r="CK752" s="141"/>
    </row>
    <row r="753" spans="74:89" ht="49.5" customHeight="1" x14ac:dyDescent="0.35">
      <c r="BV753" s="140"/>
      <c r="BY753" s="141"/>
      <c r="BZ753" s="141"/>
      <c r="CA753" s="141"/>
      <c r="CB753" s="141"/>
      <c r="CC753" s="141"/>
      <c r="CD753" s="141"/>
      <c r="CE753" s="141"/>
      <c r="CF753" s="141"/>
      <c r="CG753" s="141"/>
      <c r="CH753" s="141"/>
      <c r="CI753" s="141"/>
      <c r="CJ753" s="141"/>
      <c r="CK753" s="141"/>
    </row>
    <row r="754" spans="74:89" ht="49.5" customHeight="1" x14ac:dyDescent="0.35">
      <c r="BV754" s="140"/>
      <c r="BY754" s="141"/>
      <c r="BZ754" s="141"/>
      <c r="CA754" s="141"/>
      <c r="CB754" s="141"/>
      <c r="CC754" s="141"/>
      <c r="CD754" s="141"/>
      <c r="CE754" s="141"/>
      <c r="CF754" s="141"/>
      <c r="CG754" s="141"/>
      <c r="CH754" s="141"/>
      <c r="CI754" s="141"/>
      <c r="CJ754" s="141"/>
      <c r="CK754" s="141"/>
    </row>
    <row r="755" spans="74:89" ht="49.5" customHeight="1" x14ac:dyDescent="0.35">
      <c r="BV755" s="140"/>
      <c r="BY755" s="141"/>
      <c r="BZ755" s="141"/>
      <c r="CA755" s="141"/>
      <c r="CB755" s="141"/>
      <c r="CC755" s="141"/>
      <c r="CD755" s="141"/>
      <c r="CE755" s="141"/>
      <c r="CF755" s="141"/>
      <c r="CG755" s="141"/>
      <c r="CH755" s="141"/>
      <c r="CI755" s="141"/>
      <c r="CJ755" s="141"/>
      <c r="CK755" s="141"/>
    </row>
    <row r="756" spans="74:89" ht="49.5" customHeight="1" x14ac:dyDescent="0.35">
      <c r="BV756" s="140"/>
      <c r="BY756" s="141"/>
      <c r="BZ756" s="141"/>
      <c r="CA756" s="141"/>
      <c r="CB756" s="141"/>
      <c r="CC756" s="141"/>
      <c r="CD756" s="141"/>
      <c r="CE756" s="141"/>
      <c r="CF756" s="141"/>
      <c r="CG756" s="141"/>
      <c r="CH756" s="141"/>
      <c r="CI756" s="141"/>
      <c r="CJ756" s="141"/>
      <c r="CK756" s="141"/>
    </row>
    <row r="757" spans="74:89" ht="49.5" customHeight="1" x14ac:dyDescent="0.35">
      <c r="BV757" s="140"/>
      <c r="BY757" s="141"/>
      <c r="BZ757" s="141"/>
      <c r="CA757" s="141"/>
      <c r="CB757" s="141"/>
      <c r="CC757" s="141"/>
      <c r="CD757" s="141"/>
      <c r="CE757" s="141"/>
      <c r="CF757" s="141"/>
      <c r="CG757" s="141"/>
      <c r="CH757" s="141"/>
      <c r="CI757" s="141"/>
      <c r="CJ757" s="141"/>
      <c r="CK757" s="141"/>
    </row>
    <row r="758" spans="74:89" ht="49.5" customHeight="1" x14ac:dyDescent="0.35">
      <c r="BV758" s="140"/>
      <c r="BY758" s="141"/>
      <c r="BZ758" s="141"/>
      <c r="CA758" s="141"/>
      <c r="CB758" s="141"/>
      <c r="CC758" s="141"/>
      <c r="CD758" s="141"/>
      <c r="CE758" s="141"/>
      <c r="CF758" s="141"/>
      <c r="CG758" s="141"/>
      <c r="CH758" s="141"/>
      <c r="CI758" s="141"/>
      <c r="CJ758" s="141"/>
      <c r="CK758" s="141"/>
    </row>
    <row r="759" spans="74:89" ht="49.5" customHeight="1" x14ac:dyDescent="0.35">
      <c r="BV759" s="140"/>
      <c r="BY759" s="141"/>
      <c r="BZ759" s="141"/>
      <c r="CA759" s="141"/>
      <c r="CB759" s="141"/>
      <c r="CC759" s="141"/>
      <c r="CD759" s="141"/>
      <c r="CE759" s="141"/>
      <c r="CF759" s="141"/>
      <c r="CG759" s="141"/>
      <c r="CH759" s="141"/>
      <c r="CI759" s="141"/>
      <c r="CJ759" s="141"/>
      <c r="CK759" s="141"/>
    </row>
    <row r="760" spans="74:89" ht="49.5" customHeight="1" x14ac:dyDescent="0.35">
      <c r="BV760" s="140"/>
      <c r="BY760" s="141"/>
      <c r="BZ760" s="141"/>
      <c r="CA760" s="141"/>
      <c r="CB760" s="141"/>
      <c r="CC760" s="141"/>
      <c r="CD760" s="141"/>
      <c r="CE760" s="141"/>
      <c r="CF760" s="141"/>
      <c r="CG760" s="141"/>
      <c r="CH760" s="141"/>
      <c r="CI760" s="141"/>
      <c r="CJ760" s="141"/>
      <c r="CK760" s="141"/>
    </row>
    <row r="761" spans="74:89" ht="49.5" customHeight="1" x14ac:dyDescent="0.35">
      <c r="BV761" s="140"/>
      <c r="BY761" s="141"/>
      <c r="BZ761" s="141"/>
      <c r="CA761" s="141"/>
      <c r="CB761" s="141"/>
      <c r="CC761" s="141"/>
      <c r="CD761" s="141"/>
      <c r="CE761" s="141"/>
      <c r="CF761" s="141"/>
      <c r="CG761" s="141"/>
      <c r="CH761" s="141"/>
      <c r="CI761" s="141"/>
      <c r="CJ761" s="141"/>
      <c r="CK761" s="141"/>
    </row>
    <row r="762" spans="74:89" ht="49.5" customHeight="1" x14ac:dyDescent="0.35">
      <c r="BV762" s="140"/>
      <c r="BY762" s="141"/>
      <c r="BZ762" s="141"/>
      <c r="CA762" s="141"/>
      <c r="CB762" s="141"/>
      <c r="CC762" s="141"/>
      <c r="CD762" s="141"/>
      <c r="CE762" s="141"/>
      <c r="CF762" s="141"/>
      <c r="CG762" s="141"/>
      <c r="CH762" s="141"/>
      <c r="CI762" s="141"/>
      <c r="CJ762" s="141"/>
      <c r="CK762" s="141"/>
    </row>
    <row r="763" spans="74:89" ht="49.5" customHeight="1" x14ac:dyDescent="0.35">
      <c r="BV763" s="140"/>
      <c r="BY763" s="141"/>
      <c r="BZ763" s="141"/>
      <c r="CA763" s="141"/>
      <c r="CB763" s="141"/>
      <c r="CC763" s="141"/>
      <c r="CD763" s="141"/>
      <c r="CE763" s="141"/>
      <c r="CF763" s="141"/>
      <c r="CG763" s="141"/>
      <c r="CH763" s="141"/>
      <c r="CI763" s="141"/>
      <c r="CJ763" s="141"/>
      <c r="CK763" s="141"/>
    </row>
    <row r="764" spans="74:89" ht="49.5" customHeight="1" x14ac:dyDescent="0.35">
      <c r="BV764" s="140"/>
      <c r="BY764" s="141"/>
      <c r="BZ764" s="141"/>
      <c r="CA764" s="141"/>
      <c r="CB764" s="141"/>
      <c r="CC764" s="141"/>
      <c r="CD764" s="141"/>
      <c r="CE764" s="141"/>
      <c r="CF764" s="141"/>
      <c r="CG764" s="141"/>
      <c r="CH764" s="141"/>
      <c r="CI764" s="141"/>
      <c r="CJ764" s="141"/>
      <c r="CK764" s="141"/>
    </row>
    <row r="765" spans="74:89" ht="49.5" customHeight="1" x14ac:dyDescent="0.35">
      <c r="BV765" s="140"/>
      <c r="BY765" s="141"/>
      <c r="BZ765" s="141"/>
      <c r="CA765" s="141"/>
      <c r="CB765" s="141"/>
      <c r="CC765" s="141"/>
      <c r="CD765" s="141"/>
      <c r="CE765" s="141"/>
      <c r="CF765" s="141"/>
      <c r="CG765" s="141"/>
      <c r="CH765" s="141"/>
      <c r="CI765" s="141"/>
      <c r="CJ765" s="141"/>
      <c r="CK765" s="141"/>
    </row>
    <row r="766" spans="74:89" ht="49.5" customHeight="1" x14ac:dyDescent="0.35">
      <c r="BV766" s="140"/>
      <c r="BY766" s="141"/>
      <c r="BZ766" s="141"/>
      <c r="CA766" s="141"/>
      <c r="CB766" s="141"/>
      <c r="CC766" s="141"/>
      <c r="CD766" s="141"/>
      <c r="CE766" s="141"/>
      <c r="CF766" s="141"/>
      <c r="CG766" s="141"/>
      <c r="CH766" s="141"/>
      <c r="CI766" s="141"/>
      <c r="CJ766" s="141"/>
      <c r="CK766" s="141"/>
    </row>
    <row r="767" spans="74:89" ht="49.5" customHeight="1" x14ac:dyDescent="0.35">
      <c r="BV767" s="140"/>
      <c r="BY767" s="141"/>
      <c r="BZ767" s="141"/>
      <c r="CA767" s="141"/>
      <c r="CB767" s="141"/>
      <c r="CC767" s="141"/>
      <c r="CD767" s="141"/>
      <c r="CE767" s="141"/>
      <c r="CF767" s="141"/>
      <c r="CG767" s="141"/>
      <c r="CH767" s="141"/>
      <c r="CI767" s="141"/>
      <c r="CJ767" s="141"/>
      <c r="CK767" s="141"/>
    </row>
    <row r="768" spans="74:89" ht="49.5" customHeight="1" x14ac:dyDescent="0.35">
      <c r="BV768" s="140"/>
      <c r="BY768" s="141"/>
      <c r="BZ768" s="141"/>
      <c r="CA768" s="141"/>
      <c r="CB768" s="141"/>
      <c r="CC768" s="141"/>
      <c r="CD768" s="141"/>
      <c r="CE768" s="141"/>
      <c r="CF768" s="141"/>
      <c r="CG768" s="141"/>
      <c r="CH768" s="141"/>
      <c r="CI768" s="141"/>
      <c r="CJ768" s="141"/>
      <c r="CK768" s="141"/>
    </row>
    <row r="769" spans="74:89" ht="49.5" customHeight="1" x14ac:dyDescent="0.35">
      <c r="BV769" s="140"/>
      <c r="BY769" s="141"/>
      <c r="BZ769" s="141"/>
      <c r="CA769" s="141"/>
      <c r="CB769" s="141"/>
      <c r="CC769" s="141"/>
      <c r="CD769" s="141"/>
      <c r="CE769" s="141"/>
      <c r="CF769" s="141"/>
      <c r="CG769" s="141"/>
      <c r="CH769" s="141"/>
      <c r="CI769" s="141"/>
      <c r="CJ769" s="141"/>
      <c r="CK769" s="141"/>
    </row>
    <row r="770" spans="74:89" ht="49.5" customHeight="1" x14ac:dyDescent="0.35">
      <c r="BV770" s="140"/>
      <c r="BY770" s="141"/>
      <c r="BZ770" s="141"/>
      <c r="CA770" s="141"/>
      <c r="CB770" s="141"/>
      <c r="CC770" s="141"/>
      <c r="CD770" s="141"/>
      <c r="CE770" s="141"/>
      <c r="CF770" s="141"/>
      <c r="CG770" s="141"/>
      <c r="CH770" s="141"/>
      <c r="CI770" s="141"/>
      <c r="CJ770" s="141"/>
      <c r="CK770" s="141"/>
    </row>
    <row r="771" spans="74:89" ht="49.5" customHeight="1" x14ac:dyDescent="0.35">
      <c r="BV771" s="140"/>
      <c r="BY771" s="141"/>
      <c r="BZ771" s="141"/>
      <c r="CA771" s="141"/>
      <c r="CB771" s="141"/>
      <c r="CC771" s="141"/>
      <c r="CD771" s="141"/>
      <c r="CE771" s="141"/>
      <c r="CF771" s="141"/>
      <c r="CG771" s="141"/>
      <c r="CH771" s="141"/>
      <c r="CI771" s="141"/>
      <c r="CJ771" s="141"/>
      <c r="CK771" s="141"/>
    </row>
    <row r="772" spans="74:89" ht="49.5" customHeight="1" x14ac:dyDescent="0.35">
      <c r="BV772" s="140"/>
      <c r="BY772" s="141"/>
      <c r="BZ772" s="141"/>
      <c r="CA772" s="141"/>
      <c r="CB772" s="141"/>
      <c r="CC772" s="141"/>
      <c r="CD772" s="141"/>
      <c r="CE772" s="141"/>
      <c r="CF772" s="141"/>
      <c r="CG772" s="141"/>
      <c r="CH772" s="141"/>
      <c r="CI772" s="141"/>
      <c r="CJ772" s="141"/>
      <c r="CK772" s="141"/>
    </row>
    <row r="773" spans="74:89" ht="49.5" customHeight="1" x14ac:dyDescent="0.35">
      <c r="BV773" s="140"/>
      <c r="BY773" s="141"/>
      <c r="BZ773" s="141"/>
      <c r="CA773" s="141"/>
      <c r="CB773" s="141"/>
      <c r="CC773" s="141"/>
      <c r="CD773" s="141"/>
      <c r="CE773" s="141"/>
      <c r="CF773" s="141"/>
      <c r="CG773" s="141"/>
      <c r="CH773" s="141"/>
      <c r="CI773" s="141"/>
      <c r="CJ773" s="141"/>
      <c r="CK773" s="141"/>
    </row>
    <row r="774" spans="74:89" ht="49.5" customHeight="1" x14ac:dyDescent="0.35">
      <c r="BV774" s="140"/>
      <c r="BY774" s="141"/>
      <c r="BZ774" s="141"/>
      <c r="CA774" s="141"/>
      <c r="CB774" s="141"/>
      <c r="CC774" s="141"/>
      <c r="CD774" s="141"/>
      <c r="CE774" s="141"/>
      <c r="CF774" s="141"/>
      <c r="CG774" s="141"/>
      <c r="CH774" s="141"/>
      <c r="CI774" s="141"/>
      <c r="CJ774" s="141"/>
      <c r="CK774" s="141"/>
    </row>
    <row r="775" spans="74:89" ht="49.5" customHeight="1" x14ac:dyDescent="0.35">
      <c r="BV775" s="140"/>
      <c r="BY775" s="141"/>
      <c r="BZ775" s="141"/>
      <c r="CA775" s="141"/>
      <c r="CB775" s="141"/>
      <c r="CC775" s="141"/>
      <c r="CD775" s="141"/>
      <c r="CE775" s="141"/>
      <c r="CF775" s="141"/>
      <c r="CG775" s="141"/>
      <c r="CH775" s="141"/>
      <c r="CI775" s="141"/>
      <c r="CJ775" s="141"/>
      <c r="CK775" s="141"/>
    </row>
    <row r="776" spans="74:89" ht="49.5" customHeight="1" x14ac:dyDescent="0.35">
      <c r="BV776" s="140"/>
      <c r="BY776" s="141"/>
      <c r="BZ776" s="141"/>
      <c r="CA776" s="141"/>
      <c r="CB776" s="141"/>
      <c r="CC776" s="141"/>
      <c r="CD776" s="141"/>
      <c r="CE776" s="141"/>
      <c r="CF776" s="141"/>
      <c r="CG776" s="141"/>
      <c r="CH776" s="141"/>
      <c r="CI776" s="141"/>
      <c r="CJ776" s="141"/>
      <c r="CK776" s="141"/>
    </row>
    <row r="777" spans="74:89" ht="49.5" customHeight="1" x14ac:dyDescent="0.35">
      <c r="BV777" s="140"/>
      <c r="BY777" s="141"/>
      <c r="BZ777" s="141"/>
      <c r="CA777" s="141"/>
      <c r="CB777" s="141"/>
      <c r="CC777" s="141"/>
      <c r="CD777" s="141"/>
      <c r="CE777" s="141"/>
      <c r="CF777" s="141"/>
      <c r="CG777" s="141"/>
      <c r="CH777" s="141"/>
      <c r="CI777" s="141"/>
      <c r="CJ777" s="141"/>
      <c r="CK777" s="141"/>
    </row>
    <row r="778" spans="74:89" ht="49.5" customHeight="1" x14ac:dyDescent="0.35">
      <c r="BV778" s="140"/>
      <c r="BY778" s="141"/>
      <c r="BZ778" s="141"/>
      <c r="CA778" s="141"/>
      <c r="CB778" s="141"/>
      <c r="CC778" s="141"/>
      <c r="CD778" s="141"/>
      <c r="CE778" s="141"/>
      <c r="CF778" s="141"/>
      <c r="CG778" s="141"/>
      <c r="CH778" s="141"/>
      <c r="CI778" s="141"/>
      <c r="CJ778" s="141"/>
      <c r="CK778" s="141"/>
    </row>
    <row r="779" spans="74:89" ht="49.5" customHeight="1" x14ac:dyDescent="0.35">
      <c r="BV779" s="140"/>
      <c r="BY779" s="141"/>
      <c r="BZ779" s="141"/>
      <c r="CA779" s="141"/>
      <c r="CB779" s="141"/>
      <c r="CC779" s="141"/>
      <c r="CD779" s="141"/>
      <c r="CE779" s="141"/>
      <c r="CF779" s="141"/>
      <c r="CG779" s="141"/>
      <c r="CH779" s="141"/>
      <c r="CI779" s="141"/>
      <c r="CJ779" s="141"/>
      <c r="CK779" s="141"/>
    </row>
    <row r="780" spans="74:89" ht="49.5" customHeight="1" x14ac:dyDescent="0.35">
      <c r="BV780" s="140"/>
      <c r="BY780" s="141"/>
      <c r="BZ780" s="141"/>
      <c r="CA780" s="141"/>
      <c r="CB780" s="141"/>
      <c r="CC780" s="141"/>
      <c r="CD780" s="141"/>
      <c r="CE780" s="141"/>
      <c r="CF780" s="141"/>
      <c r="CG780" s="141"/>
      <c r="CH780" s="141"/>
      <c r="CI780" s="141"/>
      <c r="CJ780" s="141"/>
      <c r="CK780" s="141"/>
    </row>
    <row r="781" spans="74:89" ht="49.5" customHeight="1" x14ac:dyDescent="0.35">
      <c r="BV781" s="140"/>
      <c r="BY781" s="141"/>
      <c r="BZ781" s="141"/>
      <c r="CA781" s="141"/>
      <c r="CB781" s="141"/>
      <c r="CC781" s="141"/>
      <c r="CD781" s="141"/>
      <c r="CE781" s="141"/>
      <c r="CF781" s="141"/>
      <c r="CG781" s="141"/>
      <c r="CH781" s="141"/>
      <c r="CI781" s="141"/>
      <c r="CJ781" s="141"/>
      <c r="CK781" s="141"/>
    </row>
    <row r="782" spans="74:89" ht="49.5" customHeight="1" x14ac:dyDescent="0.35">
      <c r="BV782" s="140"/>
      <c r="BY782" s="141"/>
      <c r="BZ782" s="141"/>
      <c r="CA782" s="141"/>
      <c r="CB782" s="141"/>
      <c r="CC782" s="141"/>
      <c r="CD782" s="141"/>
      <c r="CE782" s="141"/>
      <c r="CF782" s="141"/>
      <c r="CG782" s="141"/>
      <c r="CH782" s="141"/>
      <c r="CI782" s="141"/>
      <c r="CJ782" s="141"/>
      <c r="CK782" s="141"/>
    </row>
    <row r="783" spans="74:89" ht="49.5" customHeight="1" x14ac:dyDescent="0.35">
      <c r="BV783" s="140"/>
      <c r="BY783" s="141"/>
      <c r="BZ783" s="141"/>
      <c r="CA783" s="141"/>
      <c r="CB783" s="141"/>
      <c r="CC783" s="141"/>
      <c r="CD783" s="141"/>
      <c r="CE783" s="141"/>
      <c r="CF783" s="141"/>
      <c r="CG783" s="141"/>
      <c r="CH783" s="141"/>
      <c r="CI783" s="141"/>
      <c r="CJ783" s="141"/>
      <c r="CK783" s="141"/>
    </row>
    <row r="784" spans="74:89" ht="49.5" customHeight="1" x14ac:dyDescent="0.35">
      <c r="BV784" s="140"/>
      <c r="BY784" s="141"/>
      <c r="BZ784" s="141"/>
      <c r="CA784" s="141"/>
      <c r="CB784" s="141"/>
      <c r="CC784" s="141"/>
      <c r="CD784" s="141"/>
      <c r="CE784" s="141"/>
      <c r="CF784" s="141"/>
      <c r="CG784" s="141"/>
      <c r="CH784" s="141"/>
      <c r="CI784" s="141"/>
      <c r="CJ784" s="141"/>
      <c r="CK784" s="141"/>
    </row>
    <row r="785" spans="74:89" ht="49.5" customHeight="1" x14ac:dyDescent="0.35">
      <c r="BV785" s="140"/>
      <c r="BY785" s="141"/>
      <c r="BZ785" s="141"/>
      <c r="CA785" s="141"/>
      <c r="CB785" s="141"/>
      <c r="CC785" s="141"/>
      <c r="CD785" s="141"/>
      <c r="CE785" s="141"/>
      <c r="CF785" s="141"/>
      <c r="CG785" s="141"/>
      <c r="CH785" s="141"/>
      <c r="CI785" s="141"/>
      <c r="CJ785" s="141"/>
      <c r="CK785" s="141"/>
    </row>
    <row r="786" spans="74:89" ht="49.5" customHeight="1" x14ac:dyDescent="0.35">
      <c r="BV786" s="140"/>
      <c r="BY786" s="141"/>
      <c r="BZ786" s="141"/>
      <c r="CA786" s="141"/>
      <c r="CB786" s="141"/>
      <c r="CC786" s="141"/>
      <c r="CD786" s="141"/>
      <c r="CE786" s="141"/>
      <c r="CF786" s="141"/>
      <c r="CG786" s="141"/>
      <c r="CH786" s="141"/>
      <c r="CI786" s="141"/>
      <c r="CJ786" s="141"/>
      <c r="CK786" s="141"/>
    </row>
    <row r="787" spans="74:89" ht="49.5" customHeight="1" x14ac:dyDescent="0.35">
      <c r="BV787" s="140"/>
      <c r="BY787" s="141"/>
      <c r="BZ787" s="141"/>
      <c r="CA787" s="141"/>
      <c r="CB787" s="141"/>
      <c r="CC787" s="141"/>
      <c r="CD787" s="141"/>
      <c r="CE787" s="141"/>
      <c r="CF787" s="141"/>
      <c r="CG787" s="141"/>
      <c r="CH787" s="141"/>
      <c r="CI787" s="141"/>
      <c r="CJ787" s="141"/>
      <c r="CK787" s="141"/>
    </row>
    <row r="788" spans="74:89" ht="49.5" customHeight="1" x14ac:dyDescent="0.35">
      <c r="BV788" s="140"/>
      <c r="BY788" s="141"/>
      <c r="BZ788" s="141"/>
      <c r="CA788" s="141"/>
      <c r="CB788" s="141"/>
      <c r="CC788" s="141"/>
      <c r="CD788" s="141"/>
      <c r="CE788" s="141"/>
      <c r="CF788" s="141"/>
      <c r="CG788" s="141"/>
      <c r="CH788" s="141"/>
      <c r="CI788" s="141"/>
      <c r="CJ788" s="141"/>
      <c r="CK788" s="141"/>
    </row>
    <row r="789" spans="74:89" ht="49.5" customHeight="1" x14ac:dyDescent="0.35">
      <c r="BV789" s="140"/>
      <c r="BY789" s="141"/>
      <c r="BZ789" s="141"/>
      <c r="CA789" s="141"/>
      <c r="CB789" s="141"/>
      <c r="CC789" s="141"/>
      <c r="CD789" s="141"/>
      <c r="CE789" s="141"/>
      <c r="CF789" s="141"/>
      <c r="CG789" s="141"/>
      <c r="CH789" s="141"/>
      <c r="CI789" s="141"/>
      <c r="CJ789" s="141"/>
      <c r="CK789" s="141"/>
    </row>
    <row r="790" spans="74:89" ht="49.5" customHeight="1" x14ac:dyDescent="0.35">
      <c r="BV790" s="140"/>
      <c r="BY790" s="141"/>
      <c r="BZ790" s="141"/>
      <c r="CA790" s="141"/>
      <c r="CB790" s="141"/>
      <c r="CC790" s="141"/>
      <c r="CD790" s="141"/>
      <c r="CE790" s="141"/>
      <c r="CF790" s="141"/>
      <c r="CG790" s="141"/>
      <c r="CH790" s="141"/>
      <c r="CI790" s="141"/>
      <c r="CJ790" s="141"/>
      <c r="CK790" s="141"/>
    </row>
    <row r="791" spans="74:89" ht="49.5" customHeight="1" x14ac:dyDescent="0.35">
      <c r="BV791" s="140"/>
      <c r="BY791" s="141"/>
      <c r="BZ791" s="141"/>
      <c r="CA791" s="141"/>
      <c r="CB791" s="141"/>
      <c r="CC791" s="141"/>
      <c r="CD791" s="141"/>
      <c r="CE791" s="141"/>
      <c r="CF791" s="141"/>
      <c r="CG791" s="141"/>
      <c r="CH791" s="141"/>
      <c r="CI791" s="141"/>
      <c r="CJ791" s="141"/>
      <c r="CK791" s="141"/>
    </row>
    <row r="792" spans="74:89" ht="49.5" customHeight="1" x14ac:dyDescent="0.35">
      <c r="BV792" s="140"/>
      <c r="BY792" s="141"/>
      <c r="BZ792" s="141"/>
      <c r="CA792" s="141"/>
      <c r="CB792" s="141"/>
      <c r="CC792" s="141"/>
      <c r="CD792" s="141"/>
      <c r="CE792" s="141"/>
      <c r="CF792" s="141"/>
      <c r="CG792" s="141"/>
      <c r="CH792" s="141"/>
      <c r="CI792" s="141"/>
      <c r="CJ792" s="141"/>
      <c r="CK792" s="141"/>
    </row>
    <row r="793" spans="74:89" ht="49.5" customHeight="1" x14ac:dyDescent="0.35">
      <c r="BV793" s="140"/>
      <c r="BY793" s="141"/>
      <c r="BZ793" s="141"/>
      <c r="CA793" s="141"/>
      <c r="CB793" s="141"/>
      <c r="CC793" s="141"/>
      <c r="CD793" s="141"/>
      <c r="CE793" s="141"/>
      <c r="CF793" s="141"/>
      <c r="CG793" s="141"/>
      <c r="CH793" s="141"/>
      <c r="CI793" s="141"/>
      <c r="CJ793" s="141"/>
      <c r="CK793" s="141"/>
    </row>
    <row r="794" spans="74:89" ht="49.5" customHeight="1" x14ac:dyDescent="0.35">
      <c r="BV794" s="140"/>
      <c r="BY794" s="141"/>
      <c r="BZ794" s="141"/>
      <c r="CA794" s="141"/>
      <c r="CB794" s="141"/>
      <c r="CC794" s="141"/>
      <c r="CD794" s="141"/>
      <c r="CE794" s="141"/>
      <c r="CF794" s="141"/>
      <c r="CG794" s="141"/>
      <c r="CH794" s="141"/>
      <c r="CI794" s="141"/>
      <c r="CJ794" s="141"/>
      <c r="CK794" s="141"/>
    </row>
    <row r="795" spans="74:89" ht="49.5" customHeight="1" x14ac:dyDescent="0.35">
      <c r="BV795" s="140"/>
      <c r="BY795" s="141"/>
      <c r="BZ795" s="141"/>
      <c r="CA795" s="141"/>
      <c r="CB795" s="141"/>
      <c r="CC795" s="141"/>
      <c r="CD795" s="141"/>
      <c r="CE795" s="141"/>
      <c r="CF795" s="141"/>
      <c r="CG795" s="141"/>
      <c r="CH795" s="141"/>
      <c r="CI795" s="141"/>
      <c r="CJ795" s="141"/>
      <c r="CK795" s="141"/>
    </row>
    <row r="796" spans="74:89" ht="49.5" customHeight="1" x14ac:dyDescent="0.35">
      <c r="BV796" s="140"/>
      <c r="BY796" s="141"/>
      <c r="BZ796" s="141"/>
      <c r="CA796" s="141"/>
      <c r="CB796" s="141"/>
      <c r="CC796" s="141"/>
      <c r="CD796" s="141"/>
      <c r="CE796" s="141"/>
      <c r="CF796" s="141"/>
      <c r="CG796" s="141"/>
      <c r="CH796" s="141"/>
      <c r="CI796" s="141"/>
      <c r="CJ796" s="141"/>
      <c r="CK796" s="141"/>
    </row>
    <row r="797" spans="74:89" ht="49.5" customHeight="1" x14ac:dyDescent="0.35">
      <c r="BV797" s="140"/>
      <c r="BY797" s="141"/>
      <c r="BZ797" s="141"/>
      <c r="CA797" s="141"/>
      <c r="CB797" s="141"/>
      <c r="CC797" s="141"/>
      <c r="CD797" s="141"/>
      <c r="CE797" s="141"/>
      <c r="CF797" s="141"/>
      <c r="CG797" s="141"/>
      <c r="CH797" s="141"/>
      <c r="CI797" s="141"/>
      <c r="CJ797" s="141"/>
      <c r="CK797" s="141"/>
    </row>
    <row r="798" spans="74:89" ht="49.5" customHeight="1" x14ac:dyDescent="0.35">
      <c r="BV798" s="140"/>
      <c r="BY798" s="141"/>
      <c r="BZ798" s="141"/>
      <c r="CA798" s="141"/>
      <c r="CB798" s="141"/>
      <c r="CC798" s="141"/>
      <c r="CD798" s="141"/>
      <c r="CE798" s="141"/>
      <c r="CF798" s="141"/>
      <c r="CG798" s="141"/>
      <c r="CH798" s="141"/>
      <c r="CI798" s="141"/>
      <c r="CJ798" s="141"/>
      <c r="CK798" s="141"/>
    </row>
    <row r="799" spans="74:89" ht="49.5" customHeight="1" x14ac:dyDescent="0.35">
      <c r="BV799" s="140"/>
      <c r="BY799" s="141"/>
      <c r="BZ799" s="141"/>
      <c r="CA799" s="141"/>
      <c r="CB799" s="141"/>
      <c r="CC799" s="141"/>
      <c r="CD799" s="141"/>
      <c r="CE799" s="141"/>
      <c r="CF799" s="141"/>
      <c r="CG799" s="141"/>
      <c r="CH799" s="141"/>
      <c r="CI799" s="141"/>
      <c r="CJ799" s="141"/>
      <c r="CK799" s="141"/>
    </row>
    <row r="800" spans="74:89" ht="49.5" customHeight="1" x14ac:dyDescent="0.35">
      <c r="BV800" s="140"/>
      <c r="BY800" s="141"/>
      <c r="BZ800" s="141"/>
      <c r="CA800" s="141"/>
      <c r="CB800" s="141"/>
      <c r="CC800" s="141"/>
      <c r="CD800" s="141"/>
      <c r="CE800" s="141"/>
      <c r="CF800" s="141"/>
      <c r="CG800" s="141"/>
      <c r="CH800" s="141"/>
      <c r="CI800" s="141"/>
      <c r="CJ800" s="141"/>
      <c r="CK800" s="141"/>
    </row>
    <row r="801" spans="74:89" ht="49.5" customHeight="1" x14ac:dyDescent="0.35">
      <c r="BV801" s="140"/>
      <c r="BY801" s="141"/>
      <c r="BZ801" s="141"/>
      <c r="CA801" s="141"/>
      <c r="CB801" s="141"/>
      <c r="CC801" s="141"/>
      <c r="CD801" s="141"/>
      <c r="CE801" s="141"/>
      <c r="CF801" s="141"/>
      <c r="CG801" s="141"/>
      <c r="CH801" s="141"/>
      <c r="CI801" s="141"/>
      <c r="CJ801" s="141"/>
      <c r="CK801" s="141"/>
    </row>
    <row r="802" spans="74:89" ht="49.5" customHeight="1" x14ac:dyDescent="0.35">
      <c r="BV802" s="140"/>
      <c r="BY802" s="141"/>
      <c r="BZ802" s="141"/>
      <c r="CA802" s="141"/>
      <c r="CB802" s="141"/>
      <c r="CC802" s="141"/>
      <c r="CD802" s="141"/>
      <c r="CE802" s="141"/>
      <c r="CF802" s="141"/>
      <c r="CG802" s="141"/>
      <c r="CH802" s="141"/>
      <c r="CI802" s="141"/>
      <c r="CJ802" s="141"/>
      <c r="CK802" s="141"/>
    </row>
    <row r="803" spans="74:89" ht="49.5" customHeight="1" x14ac:dyDescent="0.35">
      <c r="BV803" s="140"/>
      <c r="BY803" s="141"/>
      <c r="BZ803" s="141"/>
      <c r="CA803" s="141"/>
      <c r="CB803" s="141"/>
      <c r="CC803" s="141"/>
      <c r="CD803" s="141"/>
      <c r="CE803" s="141"/>
      <c r="CF803" s="141"/>
      <c r="CG803" s="141"/>
      <c r="CH803" s="141"/>
      <c r="CI803" s="141"/>
      <c r="CJ803" s="141"/>
      <c r="CK803" s="141"/>
    </row>
    <row r="804" spans="74:89" ht="49.5" customHeight="1" x14ac:dyDescent="0.35">
      <c r="BV804" s="140"/>
      <c r="BY804" s="141"/>
      <c r="BZ804" s="141"/>
      <c r="CA804" s="141"/>
      <c r="CB804" s="141"/>
      <c r="CC804" s="141"/>
      <c r="CD804" s="141"/>
      <c r="CE804" s="141"/>
      <c r="CF804" s="141"/>
      <c r="CG804" s="141"/>
      <c r="CH804" s="141"/>
      <c r="CI804" s="141"/>
      <c r="CJ804" s="141"/>
      <c r="CK804" s="141"/>
    </row>
    <row r="805" spans="74:89" ht="49.5" customHeight="1" x14ac:dyDescent="0.35">
      <c r="BV805" s="140"/>
      <c r="BY805" s="141"/>
      <c r="BZ805" s="141"/>
      <c r="CA805" s="141"/>
      <c r="CB805" s="141"/>
      <c r="CC805" s="141"/>
      <c r="CD805" s="141"/>
      <c r="CE805" s="141"/>
      <c r="CF805" s="141"/>
      <c r="CG805" s="141"/>
      <c r="CH805" s="141"/>
      <c r="CI805" s="141"/>
      <c r="CJ805" s="141"/>
      <c r="CK805" s="141"/>
    </row>
    <row r="806" spans="74:89" ht="49.5" customHeight="1" x14ac:dyDescent="0.35">
      <c r="BV806" s="140"/>
      <c r="BY806" s="141"/>
      <c r="BZ806" s="141"/>
      <c r="CA806" s="141"/>
      <c r="CB806" s="141"/>
      <c r="CC806" s="141"/>
      <c r="CD806" s="141"/>
      <c r="CE806" s="141"/>
      <c r="CF806" s="141"/>
      <c r="CG806" s="141"/>
      <c r="CH806" s="141"/>
      <c r="CI806" s="141"/>
      <c r="CJ806" s="141"/>
      <c r="CK806" s="141"/>
    </row>
    <row r="807" spans="74:89" ht="49.5" customHeight="1" x14ac:dyDescent="0.35">
      <c r="BV807" s="140"/>
      <c r="BY807" s="141"/>
      <c r="BZ807" s="141"/>
      <c r="CA807" s="141"/>
      <c r="CB807" s="141"/>
      <c r="CC807" s="141"/>
      <c r="CD807" s="141"/>
      <c r="CE807" s="141"/>
      <c r="CF807" s="141"/>
      <c r="CG807" s="141"/>
      <c r="CH807" s="141"/>
      <c r="CI807" s="141"/>
      <c r="CJ807" s="141"/>
      <c r="CK807" s="141"/>
    </row>
    <row r="808" spans="74:89" ht="49.5" customHeight="1" x14ac:dyDescent="0.35">
      <c r="BV808" s="140"/>
      <c r="BY808" s="141"/>
      <c r="BZ808" s="141"/>
      <c r="CA808" s="141"/>
      <c r="CB808" s="141"/>
      <c r="CC808" s="141"/>
      <c r="CD808" s="141"/>
      <c r="CE808" s="141"/>
      <c r="CF808" s="141"/>
      <c r="CG808" s="141"/>
      <c r="CH808" s="141"/>
      <c r="CI808" s="141"/>
      <c r="CJ808" s="141"/>
      <c r="CK808" s="141"/>
    </row>
    <row r="809" spans="74:89" ht="49.5" customHeight="1" x14ac:dyDescent="0.35">
      <c r="BV809" s="140"/>
      <c r="BY809" s="141"/>
      <c r="BZ809" s="141"/>
      <c r="CA809" s="141"/>
      <c r="CB809" s="141"/>
      <c r="CC809" s="141"/>
      <c r="CD809" s="141"/>
      <c r="CE809" s="141"/>
      <c r="CF809" s="141"/>
      <c r="CG809" s="141"/>
      <c r="CH809" s="141"/>
      <c r="CI809" s="141"/>
      <c r="CJ809" s="141"/>
      <c r="CK809" s="141"/>
    </row>
    <row r="810" spans="74:89" ht="49.5" customHeight="1" x14ac:dyDescent="0.35">
      <c r="BV810" s="140"/>
      <c r="BY810" s="141"/>
      <c r="BZ810" s="141"/>
      <c r="CA810" s="141"/>
      <c r="CB810" s="141"/>
      <c r="CC810" s="141"/>
      <c r="CD810" s="141"/>
      <c r="CE810" s="141"/>
      <c r="CF810" s="141"/>
      <c r="CG810" s="141"/>
      <c r="CH810" s="141"/>
      <c r="CI810" s="141"/>
      <c r="CJ810" s="141"/>
      <c r="CK810" s="141"/>
    </row>
    <row r="811" spans="74:89" ht="49.5" customHeight="1" x14ac:dyDescent="0.35">
      <c r="BV811" s="140"/>
      <c r="BY811" s="141"/>
      <c r="BZ811" s="141"/>
      <c r="CA811" s="141"/>
      <c r="CB811" s="141"/>
      <c r="CC811" s="141"/>
      <c r="CD811" s="141"/>
      <c r="CE811" s="141"/>
      <c r="CF811" s="141"/>
      <c r="CG811" s="141"/>
      <c r="CH811" s="141"/>
      <c r="CI811" s="141"/>
      <c r="CJ811" s="141"/>
      <c r="CK811" s="141"/>
    </row>
    <row r="812" spans="74:89" ht="49.5" customHeight="1" x14ac:dyDescent="0.35">
      <c r="BV812" s="140"/>
      <c r="BY812" s="141"/>
      <c r="BZ812" s="141"/>
      <c r="CA812" s="141"/>
      <c r="CB812" s="141"/>
      <c r="CC812" s="141"/>
      <c r="CD812" s="141"/>
      <c r="CE812" s="141"/>
      <c r="CF812" s="141"/>
      <c r="CG812" s="141"/>
      <c r="CH812" s="141"/>
      <c r="CI812" s="141"/>
      <c r="CJ812" s="141"/>
      <c r="CK812" s="141"/>
    </row>
    <row r="813" spans="74:89" ht="49.5" customHeight="1" x14ac:dyDescent="0.35">
      <c r="BV813" s="140"/>
      <c r="BY813" s="141"/>
      <c r="BZ813" s="141"/>
      <c r="CA813" s="141"/>
      <c r="CB813" s="141"/>
      <c r="CC813" s="141"/>
      <c r="CD813" s="141"/>
      <c r="CE813" s="141"/>
      <c r="CF813" s="141"/>
      <c r="CG813" s="141"/>
      <c r="CH813" s="141"/>
      <c r="CI813" s="141"/>
      <c r="CJ813" s="141"/>
      <c r="CK813" s="141"/>
    </row>
    <row r="814" spans="74:89" ht="49.5" customHeight="1" x14ac:dyDescent="0.35">
      <c r="BV814" s="140"/>
      <c r="BY814" s="141"/>
      <c r="BZ814" s="141"/>
      <c r="CA814" s="141"/>
      <c r="CB814" s="141"/>
      <c r="CC814" s="141"/>
      <c r="CD814" s="141"/>
      <c r="CE814" s="141"/>
      <c r="CF814" s="141"/>
      <c r="CG814" s="141"/>
      <c r="CH814" s="141"/>
      <c r="CI814" s="141"/>
      <c r="CJ814" s="141"/>
      <c r="CK814" s="141"/>
    </row>
    <row r="815" spans="74:89" ht="49.5" customHeight="1" x14ac:dyDescent="0.35">
      <c r="BV815" s="140"/>
      <c r="BY815" s="141"/>
      <c r="BZ815" s="141"/>
      <c r="CA815" s="141"/>
      <c r="CB815" s="141"/>
      <c r="CC815" s="141"/>
      <c r="CD815" s="141"/>
      <c r="CE815" s="141"/>
      <c r="CF815" s="141"/>
      <c r="CG815" s="141"/>
      <c r="CH815" s="141"/>
      <c r="CI815" s="141"/>
      <c r="CJ815" s="141"/>
      <c r="CK815" s="141"/>
    </row>
    <row r="816" spans="74:89" ht="49.5" customHeight="1" x14ac:dyDescent="0.35">
      <c r="BV816" s="140"/>
      <c r="BY816" s="141"/>
      <c r="BZ816" s="141"/>
      <c r="CA816" s="141"/>
      <c r="CB816" s="141"/>
      <c r="CC816" s="141"/>
      <c r="CD816" s="141"/>
      <c r="CE816" s="141"/>
      <c r="CF816" s="141"/>
      <c r="CG816" s="141"/>
      <c r="CH816" s="141"/>
      <c r="CI816" s="141"/>
      <c r="CJ816" s="141"/>
      <c r="CK816" s="141"/>
    </row>
    <row r="817" spans="74:89" ht="49.5" customHeight="1" x14ac:dyDescent="0.35">
      <c r="BV817" s="140"/>
      <c r="BY817" s="141"/>
      <c r="BZ817" s="141"/>
      <c r="CA817" s="141"/>
      <c r="CB817" s="141"/>
      <c r="CC817" s="141"/>
      <c r="CD817" s="141"/>
      <c r="CE817" s="141"/>
      <c r="CF817" s="141"/>
      <c r="CG817" s="141"/>
      <c r="CH817" s="141"/>
      <c r="CI817" s="141"/>
      <c r="CJ817" s="141"/>
      <c r="CK817" s="141"/>
    </row>
    <row r="818" spans="74:89" ht="49.5" customHeight="1" x14ac:dyDescent="0.35">
      <c r="BV818" s="140"/>
      <c r="BY818" s="141"/>
      <c r="BZ818" s="141"/>
      <c r="CA818" s="141"/>
      <c r="CB818" s="141"/>
      <c r="CC818" s="141"/>
      <c r="CD818" s="141"/>
      <c r="CE818" s="141"/>
      <c r="CF818" s="141"/>
      <c r="CG818" s="141"/>
      <c r="CH818" s="141"/>
      <c r="CI818" s="141"/>
      <c r="CJ818" s="141"/>
      <c r="CK818" s="141"/>
    </row>
    <row r="819" spans="74:89" ht="49.5" customHeight="1" x14ac:dyDescent="0.35">
      <c r="BV819" s="140"/>
      <c r="BY819" s="141"/>
      <c r="BZ819" s="141"/>
      <c r="CA819" s="141"/>
      <c r="CB819" s="141"/>
      <c r="CC819" s="141"/>
      <c r="CD819" s="141"/>
      <c r="CE819" s="141"/>
      <c r="CF819" s="141"/>
      <c r="CG819" s="141"/>
      <c r="CH819" s="141"/>
      <c r="CI819" s="141"/>
      <c r="CJ819" s="141"/>
      <c r="CK819" s="141"/>
    </row>
    <row r="820" spans="74:89" ht="49.5" customHeight="1" x14ac:dyDescent="0.35">
      <c r="BV820" s="140"/>
      <c r="BY820" s="141"/>
      <c r="BZ820" s="141"/>
      <c r="CA820" s="141"/>
      <c r="CB820" s="141"/>
      <c r="CC820" s="141"/>
      <c r="CD820" s="141"/>
      <c r="CE820" s="141"/>
      <c r="CF820" s="141"/>
      <c r="CG820" s="141"/>
      <c r="CH820" s="141"/>
      <c r="CI820" s="141"/>
      <c r="CJ820" s="141"/>
      <c r="CK820" s="141"/>
    </row>
    <row r="821" spans="74:89" ht="49.5" customHeight="1" x14ac:dyDescent="0.35">
      <c r="BV821" s="140"/>
      <c r="BY821" s="141"/>
      <c r="BZ821" s="141"/>
      <c r="CA821" s="141"/>
      <c r="CB821" s="141"/>
      <c r="CC821" s="141"/>
      <c r="CD821" s="141"/>
      <c r="CE821" s="141"/>
      <c r="CF821" s="141"/>
      <c r="CG821" s="141"/>
      <c r="CH821" s="141"/>
      <c r="CI821" s="141"/>
      <c r="CJ821" s="141"/>
      <c r="CK821" s="141"/>
    </row>
    <row r="822" spans="74:89" ht="49.5" customHeight="1" x14ac:dyDescent="0.35">
      <c r="BV822" s="140"/>
      <c r="BY822" s="141"/>
      <c r="BZ822" s="141"/>
      <c r="CA822" s="141"/>
      <c r="CB822" s="141"/>
      <c r="CC822" s="141"/>
      <c r="CD822" s="141"/>
      <c r="CE822" s="141"/>
      <c r="CF822" s="141"/>
      <c r="CG822" s="141"/>
      <c r="CH822" s="141"/>
      <c r="CI822" s="141"/>
      <c r="CJ822" s="141"/>
      <c r="CK822" s="141"/>
    </row>
    <row r="823" spans="74:89" ht="49.5" customHeight="1" x14ac:dyDescent="0.35">
      <c r="BV823" s="140"/>
      <c r="BY823" s="141"/>
      <c r="BZ823" s="141"/>
      <c r="CA823" s="141"/>
      <c r="CB823" s="141"/>
      <c r="CC823" s="141"/>
      <c r="CD823" s="141"/>
      <c r="CE823" s="141"/>
      <c r="CF823" s="141"/>
      <c r="CG823" s="141"/>
      <c r="CH823" s="141"/>
      <c r="CI823" s="141"/>
      <c r="CJ823" s="141"/>
      <c r="CK823" s="141"/>
    </row>
    <row r="824" spans="74:89" ht="49.5" customHeight="1" x14ac:dyDescent="0.35">
      <c r="BV824" s="140"/>
      <c r="BY824" s="141"/>
      <c r="BZ824" s="141"/>
      <c r="CA824" s="141"/>
      <c r="CB824" s="141"/>
      <c r="CC824" s="141"/>
      <c r="CD824" s="141"/>
      <c r="CE824" s="141"/>
      <c r="CF824" s="141"/>
      <c r="CG824" s="141"/>
      <c r="CH824" s="141"/>
      <c r="CI824" s="141"/>
      <c r="CJ824" s="141"/>
      <c r="CK824" s="141"/>
    </row>
    <row r="825" spans="74:89" ht="49.5" customHeight="1" x14ac:dyDescent="0.35">
      <c r="BV825" s="140"/>
      <c r="BY825" s="141"/>
      <c r="BZ825" s="141"/>
      <c r="CA825" s="141"/>
      <c r="CB825" s="141"/>
      <c r="CC825" s="141"/>
      <c r="CD825" s="141"/>
      <c r="CE825" s="141"/>
      <c r="CF825" s="141"/>
      <c r="CG825" s="141"/>
      <c r="CH825" s="141"/>
      <c r="CI825" s="141"/>
      <c r="CJ825" s="141"/>
      <c r="CK825" s="141"/>
    </row>
    <row r="826" spans="74:89" ht="49.5" customHeight="1" x14ac:dyDescent="0.35">
      <c r="BV826" s="140"/>
      <c r="BY826" s="141"/>
      <c r="BZ826" s="141"/>
      <c r="CA826" s="141"/>
      <c r="CB826" s="141"/>
      <c r="CC826" s="141"/>
      <c r="CD826" s="141"/>
      <c r="CE826" s="141"/>
      <c r="CF826" s="141"/>
      <c r="CG826" s="141"/>
      <c r="CH826" s="141"/>
      <c r="CI826" s="141"/>
      <c r="CJ826" s="141"/>
      <c r="CK826" s="141"/>
    </row>
    <row r="827" spans="74:89" ht="49.5" customHeight="1" x14ac:dyDescent="0.35">
      <c r="BV827" s="140"/>
      <c r="BY827" s="141"/>
      <c r="BZ827" s="141"/>
      <c r="CA827" s="141"/>
      <c r="CB827" s="141"/>
      <c r="CC827" s="141"/>
      <c r="CD827" s="141"/>
      <c r="CE827" s="141"/>
      <c r="CF827" s="141"/>
      <c r="CG827" s="141"/>
      <c r="CH827" s="141"/>
      <c r="CI827" s="141"/>
      <c r="CJ827" s="141"/>
      <c r="CK827" s="141"/>
    </row>
    <row r="828" spans="74:89" ht="49.5" customHeight="1" x14ac:dyDescent="0.35">
      <c r="BV828" s="140"/>
      <c r="BY828" s="141"/>
      <c r="BZ828" s="141"/>
      <c r="CA828" s="141"/>
      <c r="CB828" s="141"/>
      <c r="CC828" s="141"/>
      <c r="CD828" s="141"/>
      <c r="CE828" s="141"/>
      <c r="CF828" s="141"/>
      <c r="CG828" s="141"/>
      <c r="CH828" s="141"/>
      <c r="CI828" s="141"/>
      <c r="CJ828" s="141"/>
      <c r="CK828" s="141"/>
    </row>
    <row r="829" spans="74:89" ht="49.5" customHeight="1" x14ac:dyDescent="0.35">
      <c r="BV829" s="140"/>
      <c r="BY829" s="141"/>
      <c r="BZ829" s="141"/>
      <c r="CA829" s="141"/>
      <c r="CB829" s="141"/>
      <c r="CC829" s="141"/>
      <c r="CD829" s="141"/>
      <c r="CE829" s="141"/>
      <c r="CF829" s="141"/>
      <c r="CG829" s="141"/>
      <c r="CH829" s="141"/>
      <c r="CI829" s="141"/>
      <c r="CJ829" s="141"/>
      <c r="CK829" s="141"/>
    </row>
    <row r="830" spans="74:89" ht="49.5" customHeight="1" x14ac:dyDescent="0.35">
      <c r="BV830" s="140"/>
      <c r="BY830" s="141"/>
      <c r="BZ830" s="141"/>
      <c r="CA830" s="141"/>
      <c r="CB830" s="141"/>
      <c r="CC830" s="141"/>
      <c r="CD830" s="141"/>
      <c r="CE830" s="141"/>
      <c r="CF830" s="141"/>
      <c r="CG830" s="141"/>
      <c r="CH830" s="141"/>
      <c r="CI830" s="141"/>
      <c r="CJ830" s="141"/>
      <c r="CK830" s="141"/>
    </row>
    <row r="831" spans="74:89" ht="49.5" customHeight="1" x14ac:dyDescent="0.35">
      <c r="BV831" s="140"/>
      <c r="BY831" s="141"/>
      <c r="BZ831" s="141"/>
      <c r="CA831" s="141"/>
      <c r="CB831" s="141"/>
      <c r="CC831" s="141"/>
      <c r="CD831" s="141"/>
      <c r="CE831" s="141"/>
      <c r="CF831" s="141"/>
      <c r="CG831" s="141"/>
      <c r="CH831" s="141"/>
      <c r="CI831" s="141"/>
      <c r="CJ831" s="141"/>
      <c r="CK831" s="141"/>
    </row>
    <row r="832" spans="74:89" ht="49.5" customHeight="1" x14ac:dyDescent="0.35">
      <c r="BV832" s="140"/>
      <c r="BY832" s="141"/>
      <c r="BZ832" s="141"/>
      <c r="CA832" s="141"/>
      <c r="CB832" s="141"/>
      <c r="CC832" s="141"/>
      <c r="CD832" s="141"/>
      <c r="CE832" s="141"/>
      <c r="CF832" s="141"/>
      <c r="CG832" s="141"/>
      <c r="CH832" s="141"/>
      <c r="CI832" s="141"/>
      <c r="CJ832" s="141"/>
      <c r="CK832" s="141"/>
    </row>
    <row r="833" spans="74:89" ht="49.5" customHeight="1" x14ac:dyDescent="0.35">
      <c r="BV833" s="140"/>
      <c r="BY833" s="141"/>
      <c r="BZ833" s="141"/>
      <c r="CA833" s="141"/>
      <c r="CB833" s="141"/>
      <c r="CC833" s="141"/>
      <c r="CD833" s="141"/>
      <c r="CE833" s="141"/>
      <c r="CF833" s="141"/>
      <c r="CG833" s="141"/>
      <c r="CH833" s="141"/>
      <c r="CI833" s="141"/>
      <c r="CJ833" s="141"/>
      <c r="CK833" s="141"/>
    </row>
    <row r="834" spans="74:89" ht="49.5" customHeight="1" x14ac:dyDescent="0.35">
      <c r="BV834" s="140"/>
      <c r="BY834" s="141"/>
      <c r="BZ834" s="141"/>
      <c r="CA834" s="141"/>
      <c r="CB834" s="141"/>
      <c r="CC834" s="141"/>
      <c r="CD834" s="141"/>
      <c r="CE834" s="141"/>
      <c r="CF834" s="141"/>
      <c r="CG834" s="141"/>
      <c r="CH834" s="141"/>
      <c r="CI834" s="141"/>
      <c r="CJ834" s="141"/>
      <c r="CK834" s="141"/>
    </row>
    <row r="835" spans="74:89" ht="49.5" customHeight="1" x14ac:dyDescent="0.35">
      <c r="BV835" s="140"/>
      <c r="BY835" s="141"/>
      <c r="BZ835" s="141"/>
      <c r="CA835" s="141"/>
      <c r="CB835" s="141"/>
      <c r="CC835" s="141"/>
      <c r="CD835" s="141"/>
      <c r="CE835" s="141"/>
      <c r="CF835" s="141"/>
      <c r="CG835" s="141"/>
      <c r="CH835" s="141"/>
      <c r="CI835" s="141"/>
      <c r="CJ835" s="141"/>
      <c r="CK835" s="141"/>
    </row>
    <row r="836" spans="74:89" ht="49.5" customHeight="1" x14ac:dyDescent="0.35">
      <c r="BV836" s="140"/>
      <c r="BY836" s="141"/>
      <c r="BZ836" s="141"/>
      <c r="CA836" s="141"/>
      <c r="CB836" s="141"/>
      <c r="CC836" s="141"/>
      <c r="CD836" s="141"/>
      <c r="CE836" s="141"/>
      <c r="CF836" s="141"/>
      <c r="CG836" s="141"/>
      <c r="CH836" s="141"/>
      <c r="CI836" s="141"/>
      <c r="CJ836" s="141"/>
      <c r="CK836" s="141"/>
    </row>
    <row r="837" spans="74:89" ht="49.5" customHeight="1" x14ac:dyDescent="0.35">
      <c r="BV837" s="140"/>
      <c r="BY837" s="141"/>
      <c r="BZ837" s="141"/>
      <c r="CA837" s="141"/>
      <c r="CB837" s="141"/>
      <c r="CC837" s="141"/>
      <c r="CD837" s="141"/>
      <c r="CE837" s="141"/>
      <c r="CF837" s="141"/>
      <c r="CG837" s="141"/>
      <c r="CH837" s="141"/>
      <c r="CI837" s="141"/>
      <c r="CJ837" s="141"/>
      <c r="CK837" s="141"/>
    </row>
    <row r="838" spans="74:89" ht="49.5" customHeight="1" x14ac:dyDescent="0.35">
      <c r="BV838" s="140"/>
      <c r="BY838" s="141"/>
      <c r="BZ838" s="141"/>
      <c r="CA838" s="141"/>
      <c r="CB838" s="141"/>
      <c r="CC838" s="141"/>
      <c r="CD838" s="141"/>
      <c r="CE838" s="141"/>
      <c r="CF838" s="141"/>
      <c r="CG838" s="141"/>
      <c r="CH838" s="141"/>
      <c r="CI838" s="141"/>
      <c r="CJ838" s="141"/>
      <c r="CK838" s="141"/>
    </row>
    <row r="839" spans="74:89" ht="49.5" customHeight="1" x14ac:dyDescent="0.35">
      <c r="BV839" s="140"/>
      <c r="BY839" s="141"/>
      <c r="BZ839" s="141"/>
      <c r="CA839" s="141"/>
      <c r="CB839" s="141"/>
      <c r="CC839" s="141"/>
      <c r="CD839" s="141"/>
      <c r="CE839" s="141"/>
      <c r="CF839" s="141"/>
      <c r="CG839" s="141"/>
      <c r="CH839" s="141"/>
      <c r="CI839" s="141"/>
      <c r="CJ839" s="141"/>
      <c r="CK839" s="141"/>
    </row>
    <row r="840" spans="74:89" ht="49.5" customHeight="1" x14ac:dyDescent="0.35">
      <c r="BV840" s="140"/>
      <c r="BY840" s="141"/>
      <c r="BZ840" s="141"/>
      <c r="CA840" s="141"/>
      <c r="CB840" s="141"/>
      <c r="CC840" s="141"/>
      <c r="CD840" s="141"/>
      <c r="CE840" s="141"/>
      <c r="CF840" s="141"/>
      <c r="CG840" s="141"/>
      <c r="CH840" s="141"/>
      <c r="CI840" s="141"/>
      <c r="CJ840" s="141"/>
      <c r="CK840" s="141"/>
    </row>
    <row r="841" spans="74:89" ht="49.5" customHeight="1" x14ac:dyDescent="0.35">
      <c r="BV841" s="140"/>
      <c r="BY841" s="141"/>
      <c r="BZ841" s="141"/>
      <c r="CA841" s="141"/>
      <c r="CB841" s="141"/>
      <c r="CC841" s="141"/>
      <c r="CD841" s="141"/>
      <c r="CE841" s="141"/>
      <c r="CF841" s="141"/>
      <c r="CG841" s="141"/>
      <c r="CH841" s="141"/>
      <c r="CI841" s="141"/>
      <c r="CJ841" s="141"/>
      <c r="CK841" s="141"/>
    </row>
    <row r="842" spans="74:89" ht="49.5" customHeight="1" x14ac:dyDescent="0.35">
      <c r="BV842" s="140"/>
      <c r="BY842" s="141"/>
      <c r="BZ842" s="141"/>
      <c r="CA842" s="141"/>
      <c r="CB842" s="141"/>
      <c r="CC842" s="141"/>
      <c r="CD842" s="141"/>
      <c r="CE842" s="141"/>
      <c r="CF842" s="141"/>
      <c r="CG842" s="141"/>
      <c r="CH842" s="141"/>
      <c r="CI842" s="141"/>
      <c r="CJ842" s="141"/>
      <c r="CK842" s="141"/>
    </row>
    <row r="843" spans="74:89" ht="49.5" customHeight="1" x14ac:dyDescent="0.35">
      <c r="BV843" s="140"/>
      <c r="BY843" s="141"/>
      <c r="BZ843" s="141"/>
      <c r="CA843" s="141"/>
      <c r="CB843" s="141"/>
      <c r="CC843" s="141"/>
      <c r="CD843" s="141"/>
      <c r="CE843" s="141"/>
      <c r="CF843" s="141"/>
      <c r="CG843" s="141"/>
      <c r="CH843" s="141"/>
      <c r="CI843" s="141"/>
      <c r="CJ843" s="141"/>
      <c r="CK843" s="141"/>
    </row>
    <row r="844" spans="74:89" ht="49.5" customHeight="1" x14ac:dyDescent="0.35">
      <c r="BV844" s="140"/>
      <c r="BY844" s="141"/>
      <c r="BZ844" s="141"/>
      <c r="CA844" s="141"/>
      <c r="CB844" s="141"/>
      <c r="CC844" s="141"/>
      <c r="CD844" s="141"/>
      <c r="CE844" s="141"/>
      <c r="CF844" s="141"/>
      <c r="CG844" s="141"/>
      <c r="CH844" s="141"/>
      <c r="CI844" s="141"/>
      <c r="CJ844" s="141"/>
      <c r="CK844" s="141"/>
    </row>
    <row r="845" spans="74:89" ht="49.5" customHeight="1" x14ac:dyDescent="0.35">
      <c r="BV845" s="140"/>
      <c r="BY845" s="141"/>
      <c r="BZ845" s="141"/>
      <c r="CA845" s="141"/>
      <c r="CB845" s="141"/>
      <c r="CC845" s="141"/>
      <c r="CD845" s="141"/>
      <c r="CE845" s="141"/>
      <c r="CF845" s="141"/>
      <c r="CG845" s="141"/>
      <c r="CH845" s="141"/>
      <c r="CI845" s="141"/>
      <c r="CJ845" s="141"/>
      <c r="CK845" s="141"/>
    </row>
    <row r="846" spans="74:89" ht="49.5" customHeight="1" x14ac:dyDescent="0.35">
      <c r="BV846" s="140"/>
      <c r="BY846" s="141"/>
      <c r="BZ846" s="141"/>
      <c r="CA846" s="141"/>
      <c r="CB846" s="141"/>
      <c r="CC846" s="141"/>
      <c r="CD846" s="141"/>
      <c r="CE846" s="141"/>
      <c r="CF846" s="141"/>
      <c r="CG846" s="141"/>
      <c r="CH846" s="141"/>
      <c r="CI846" s="141"/>
      <c r="CJ846" s="141"/>
      <c r="CK846" s="141"/>
    </row>
    <row r="847" spans="74:89" ht="49.5" customHeight="1" x14ac:dyDescent="0.35">
      <c r="BV847" s="140"/>
      <c r="BY847" s="141"/>
      <c r="BZ847" s="141"/>
      <c r="CA847" s="141"/>
      <c r="CB847" s="141"/>
      <c r="CC847" s="141"/>
      <c r="CD847" s="141"/>
      <c r="CE847" s="141"/>
      <c r="CF847" s="141"/>
      <c r="CG847" s="141"/>
      <c r="CH847" s="141"/>
      <c r="CI847" s="141"/>
      <c r="CJ847" s="141"/>
      <c r="CK847" s="141"/>
    </row>
    <row r="848" spans="74:89" ht="49.5" customHeight="1" x14ac:dyDescent="0.35">
      <c r="BV848" s="140"/>
      <c r="BY848" s="141"/>
      <c r="BZ848" s="141"/>
      <c r="CA848" s="141"/>
      <c r="CB848" s="141"/>
      <c r="CC848" s="141"/>
      <c r="CD848" s="141"/>
      <c r="CE848" s="141"/>
      <c r="CF848" s="141"/>
      <c r="CG848" s="141"/>
      <c r="CH848" s="141"/>
      <c r="CI848" s="141"/>
      <c r="CJ848" s="141"/>
      <c r="CK848" s="141"/>
    </row>
    <row r="849" spans="74:89" ht="49.5" customHeight="1" x14ac:dyDescent="0.35">
      <c r="BV849" s="140"/>
      <c r="BY849" s="141"/>
      <c r="BZ849" s="141"/>
      <c r="CA849" s="141"/>
      <c r="CB849" s="141"/>
      <c r="CC849" s="141"/>
      <c r="CD849" s="141"/>
      <c r="CE849" s="141"/>
      <c r="CF849" s="141"/>
      <c r="CG849" s="141"/>
      <c r="CH849" s="141"/>
      <c r="CI849" s="141"/>
      <c r="CJ849" s="141"/>
      <c r="CK849" s="141"/>
    </row>
    <row r="850" spans="74:89" ht="49.5" customHeight="1" x14ac:dyDescent="0.35">
      <c r="BV850" s="140"/>
      <c r="BY850" s="141"/>
      <c r="BZ850" s="141"/>
      <c r="CA850" s="141"/>
      <c r="CB850" s="141"/>
      <c r="CC850" s="141"/>
      <c r="CD850" s="141"/>
      <c r="CE850" s="141"/>
      <c r="CF850" s="141"/>
      <c r="CG850" s="141"/>
      <c r="CH850" s="141"/>
      <c r="CI850" s="141"/>
      <c r="CJ850" s="141"/>
      <c r="CK850" s="141"/>
    </row>
    <row r="851" spans="74:89" ht="49.5" customHeight="1" x14ac:dyDescent="0.35">
      <c r="BV851" s="140"/>
      <c r="BY851" s="141"/>
      <c r="BZ851" s="141"/>
      <c r="CA851" s="141"/>
      <c r="CB851" s="141"/>
      <c r="CC851" s="141"/>
      <c r="CD851" s="141"/>
      <c r="CE851" s="141"/>
      <c r="CF851" s="141"/>
      <c r="CG851" s="141"/>
      <c r="CH851" s="141"/>
      <c r="CI851" s="141"/>
      <c r="CJ851" s="141"/>
      <c r="CK851" s="141"/>
    </row>
    <row r="852" spans="74:89" ht="49.5" customHeight="1" x14ac:dyDescent="0.35">
      <c r="BV852" s="140"/>
      <c r="BY852" s="141"/>
      <c r="BZ852" s="141"/>
      <c r="CA852" s="141"/>
      <c r="CB852" s="141"/>
      <c r="CC852" s="141"/>
      <c r="CD852" s="141"/>
      <c r="CE852" s="141"/>
      <c r="CF852" s="141"/>
      <c r="CG852" s="141"/>
      <c r="CH852" s="141"/>
      <c r="CI852" s="141"/>
      <c r="CJ852" s="141"/>
      <c r="CK852" s="141"/>
    </row>
    <row r="853" spans="74:89" ht="49.5" customHeight="1" x14ac:dyDescent="0.35">
      <c r="BV853" s="140"/>
      <c r="BY853" s="141"/>
      <c r="BZ853" s="141"/>
      <c r="CA853" s="141"/>
      <c r="CB853" s="141"/>
      <c r="CC853" s="141"/>
      <c r="CD853" s="141"/>
      <c r="CE853" s="141"/>
      <c r="CF853" s="141"/>
      <c r="CG853" s="141"/>
      <c r="CH853" s="141"/>
      <c r="CI853" s="141"/>
      <c r="CJ853" s="141"/>
      <c r="CK853" s="141"/>
    </row>
    <row r="854" spans="74:89" ht="49.5" customHeight="1" x14ac:dyDescent="0.35">
      <c r="BV854" s="140"/>
      <c r="BY854" s="141"/>
      <c r="BZ854" s="141"/>
      <c r="CA854" s="141"/>
      <c r="CB854" s="141"/>
      <c r="CC854" s="141"/>
      <c r="CD854" s="141"/>
      <c r="CE854" s="141"/>
      <c r="CF854" s="141"/>
      <c r="CG854" s="141"/>
      <c r="CH854" s="141"/>
      <c r="CI854" s="141"/>
      <c r="CJ854" s="141"/>
      <c r="CK854" s="141"/>
    </row>
    <row r="855" spans="74:89" ht="49.5" customHeight="1" x14ac:dyDescent="0.35">
      <c r="BV855" s="140"/>
      <c r="BY855" s="141"/>
      <c r="BZ855" s="141"/>
      <c r="CA855" s="141"/>
      <c r="CB855" s="141"/>
      <c r="CC855" s="141"/>
      <c r="CD855" s="141"/>
      <c r="CE855" s="141"/>
      <c r="CF855" s="141"/>
      <c r="CG855" s="141"/>
      <c r="CH855" s="141"/>
      <c r="CI855" s="141"/>
      <c r="CJ855" s="141"/>
      <c r="CK855" s="141"/>
    </row>
    <row r="856" spans="74:89" ht="49.5" customHeight="1" x14ac:dyDescent="0.35">
      <c r="BV856" s="140"/>
      <c r="BY856" s="141"/>
      <c r="BZ856" s="141"/>
      <c r="CA856" s="141"/>
      <c r="CB856" s="141"/>
      <c r="CC856" s="141"/>
      <c r="CD856" s="141"/>
      <c r="CE856" s="141"/>
      <c r="CF856" s="141"/>
      <c r="CG856" s="141"/>
      <c r="CH856" s="141"/>
      <c r="CI856" s="141"/>
      <c r="CJ856" s="141"/>
      <c r="CK856" s="141"/>
    </row>
    <row r="857" spans="74:89" ht="49.5" customHeight="1" x14ac:dyDescent="0.35">
      <c r="BV857" s="140"/>
      <c r="BY857" s="141"/>
      <c r="BZ857" s="141"/>
      <c r="CA857" s="141"/>
      <c r="CB857" s="141"/>
      <c r="CC857" s="141"/>
      <c r="CD857" s="141"/>
      <c r="CE857" s="141"/>
      <c r="CF857" s="141"/>
      <c r="CG857" s="141"/>
      <c r="CH857" s="141"/>
      <c r="CI857" s="141"/>
      <c r="CJ857" s="141"/>
      <c r="CK857" s="141"/>
    </row>
    <row r="858" spans="74:89" ht="49.5" customHeight="1" x14ac:dyDescent="0.35">
      <c r="BV858" s="140"/>
      <c r="BY858" s="141"/>
      <c r="BZ858" s="141"/>
      <c r="CA858" s="141"/>
      <c r="CB858" s="141"/>
      <c r="CC858" s="141"/>
      <c r="CD858" s="141"/>
      <c r="CE858" s="141"/>
      <c r="CF858" s="141"/>
      <c r="CG858" s="141"/>
      <c r="CH858" s="141"/>
      <c r="CI858" s="141"/>
      <c r="CJ858" s="141"/>
      <c r="CK858" s="141"/>
    </row>
    <row r="859" spans="74:89" ht="49.5" customHeight="1" x14ac:dyDescent="0.35">
      <c r="BV859" s="140"/>
      <c r="BY859" s="141"/>
      <c r="BZ859" s="141"/>
      <c r="CA859" s="141"/>
      <c r="CB859" s="141"/>
      <c r="CC859" s="141"/>
      <c r="CD859" s="141"/>
      <c r="CE859" s="141"/>
      <c r="CF859" s="141"/>
      <c r="CG859" s="141"/>
      <c r="CH859" s="141"/>
      <c r="CI859" s="141"/>
      <c r="CJ859" s="141"/>
      <c r="CK859" s="141"/>
    </row>
    <row r="860" spans="74:89" ht="49.5" customHeight="1" x14ac:dyDescent="0.35">
      <c r="BV860" s="140"/>
      <c r="BY860" s="141"/>
      <c r="BZ860" s="141"/>
      <c r="CA860" s="141"/>
      <c r="CB860" s="141"/>
      <c r="CC860" s="141"/>
      <c r="CD860" s="141"/>
      <c r="CE860" s="141"/>
      <c r="CF860" s="141"/>
      <c r="CG860" s="141"/>
      <c r="CH860" s="141"/>
      <c r="CI860" s="141"/>
      <c r="CJ860" s="141"/>
      <c r="CK860" s="141"/>
    </row>
    <row r="861" spans="74:89" ht="49.5" customHeight="1" x14ac:dyDescent="0.35">
      <c r="BV861" s="140"/>
      <c r="BY861" s="141"/>
      <c r="BZ861" s="141"/>
      <c r="CA861" s="141"/>
      <c r="CB861" s="141"/>
      <c r="CC861" s="141"/>
      <c r="CD861" s="141"/>
      <c r="CE861" s="141"/>
      <c r="CF861" s="141"/>
      <c r="CG861" s="141"/>
      <c r="CH861" s="141"/>
      <c r="CI861" s="141"/>
      <c r="CJ861" s="141"/>
      <c r="CK861" s="141"/>
    </row>
    <row r="862" spans="74:89" ht="49.5" customHeight="1" x14ac:dyDescent="0.35">
      <c r="BV862" s="140"/>
      <c r="BY862" s="141"/>
      <c r="BZ862" s="141"/>
      <c r="CA862" s="141"/>
      <c r="CB862" s="141"/>
      <c r="CC862" s="141"/>
      <c r="CD862" s="141"/>
      <c r="CE862" s="141"/>
      <c r="CF862" s="141"/>
      <c r="CG862" s="141"/>
      <c r="CH862" s="141"/>
      <c r="CI862" s="141"/>
      <c r="CJ862" s="141"/>
      <c r="CK862" s="141"/>
    </row>
    <row r="863" spans="74:89" ht="49.5" customHeight="1" x14ac:dyDescent="0.35">
      <c r="BV863" s="140"/>
      <c r="BY863" s="141"/>
      <c r="BZ863" s="141"/>
      <c r="CA863" s="141"/>
      <c r="CB863" s="141"/>
      <c r="CC863" s="141"/>
      <c r="CD863" s="141"/>
      <c r="CE863" s="141"/>
      <c r="CF863" s="141"/>
      <c r="CG863" s="141"/>
      <c r="CH863" s="141"/>
      <c r="CI863" s="141"/>
      <c r="CJ863" s="141"/>
      <c r="CK863" s="141"/>
    </row>
    <row r="864" spans="74:89" ht="49.5" customHeight="1" x14ac:dyDescent="0.35">
      <c r="BV864" s="140"/>
      <c r="BY864" s="141"/>
      <c r="BZ864" s="141"/>
      <c r="CA864" s="141"/>
      <c r="CB864" s="141"/>
      <c r="CC864" s="141"/>
      <c r="CD864" s="141"/>
      <c r="CE864" s="141"/>
      <c r="CF864" s="141"/>
      <c r="CG864" s="141"/>
      <c r="CH864" s="141"/>
      <c r="CI864" s="141"/>
      <c r="CJ864" s="141"/>
      <c r="CK864" s="141"/>
    </row>
    <row r="865" spans="74:89" ht="49.5" customHeight="1" x14ac:dyDescent="0.35">
      <c r="BV865" s="140"/>
      <c r="BY865" s="141"/>
      <c r="BZ865" s="141"/>
      <c r="CA865" s="141"/>
      <c r="CB865" s="141"/>
      <c r="CC865" s="141"/>
      <c r="CD865" s="141"/>
      <c r="CE865" s="141"/>
      <c r="CF865" s="141"/>
      <c r="CG865" s="141"/>
      <c r="CH865" s="141"/>
      <c r="CI865" s="141"/>
      <c r="CJ865" s="141"/>
      <c r="CK865" s="141"/>
    </row>
    <row r="866" spans="74:89" ht="49.5" customHeight="1" x14ac:dyDescent="0.35">
      <c r="BV866" s="140"/>
      <c r="BY866" s="141"/>
      <c r="BZ866" s="141"/>
      <c r="CA866" s="141"/>
      <c r="CB866" s="141"/>
      <c r="CC866" s="141"/>
      <c r="CD866" s="141"/>
      <c r="CE866" s="141"/>
      <c r="CF866" s="141"/>
      <c r="CG866" s="141"/>
      <c r="CH866" s="141"/>
      <c r="CI866" s="141"/>
      <c r="CJ866" s="141"/>
      <c r="CK866" s="141"/>
    </row>
    <row r="867" spans="74:89" ht="49.5" customHeight="1" x14ac:dyDescent="0.35">
      <c r="BV867" s="140"/>
      <c r="BY867" s="141"/>
      <c r="BZ867" s="141"/>
      <c r="CA867" s="141"/>
      <c r="CB867" s="141"/>
      <c r="CC867" s="141"/>
      <c r="CD867" s="141"/>
      <c r="CE867" s="141"/>
      <c r="CF867" s="141"/>
      <c r="CG867" s="141"/>
      <c r="CH867" s="141"/>
      <c r="CI867" s="141"/>
      <c r="CJ867" s="141"/>
      <c r="CK867" s="141"/>
    </row>
    <row r="868" spans="74:89" ht="49.5" customHeight="1" x14ac:dyDescent="0.35">
      <c r="BV868" s="140"/>
      <c r="BY868" s="141"/>
      <c r="BZ868" s="141"/>
      <c r="CA868" s="141"/>
      <c r="CB868" s="141"/>
      <c r="CC868" s="141"/>
      <c r="CD868" s="141"/>
      <c r="CE868" s="141"/>
      <c r="CF868" s="141"/>
      <c r="CG868" s="141"/>
      <c r="CH868" s="141"/>
      <c r="CI868" s="141"/>
      <c r="CJ868" s="141"/>
      <c r="CK868" s="141"/>
    </row>
    <row r="869" spans="74:89" ht="49.5" customHeight="1" x14ac:dyDescent="0.35">
      <c r="BV869" s="140"/>
      <c r="BY869" s="141"/>
      <c r="BZ869" s="141"/>
      <c r="CA869" s="141"/>
      <c r="CB869" s="141"/>
      <c r="CC869" s="141"/>
      <c r="CD869" s="141"/>
      <c r="CE869" s="141"/>
      <c r="CF869" s="141"/>
      <c r="CG869" s="141"/>
      <c r="CH869" s="141"/>
      <c r="CI869" s="141"/>
      <c r="CJ869" s="141"/>
      <c r="CK869" s="141"/>
    </row>
    <row r="870" spans="74:89" ht="49.5" customHeight="1" x14ac:dyDescent="0.35">
      <c r="BV870" s="140"/>
      <c r="BY870" s="141"/>
      <c r="BZ870" s="141"/>
      <c r="CA870" s="141"/>
      <c r="CB870" s="141"/>
      <c r="CC870" s="141"/>
      <c r="CD870" s="141"/>
      <c r="CE870" s="141"/>
      <c r="CF870" s="141"/>
      <c r="CG870" s="141"/>
      <c r="CH870" s="141"/>
      <c r="CI870" s="141"/>
      <c r="CJ870" s="141"/>
      <c r="CK870" s="141"/>
    </row>
    <row r="871" spans="74:89" ht="49.5" customHeight="1" x14ac:dyDescent="0.35">
      <c r="BV871" s="140"/>
      <c r="BY871" s="141"/>
      <c r="BZ871" s="141"/>
      <c r="CA871" s="141"/>
      <c r="CB871" s="141"/>
      <c r="CC871" s="141"/>
      <c r="CD871" s="141"/>
      <c r="CE871" s="141"/>
      <c r="CF871" s="141"/>
      <c r="CG871" s="141"/>
      <c r="CH871" s="141"/>
      <c r="CI871" s="141"/>
      <c r="CJ871" s="141"/>
      <c r="CK871" s="141"/>
    </row>
    <row r="872" spans="74:89" ht="49.5" customHeight="1" x14ac:dyDescent="0.35">
      <c r="BV872" s="140"/>
      <c r="BY872" s="141"/>
      <c r="BZ872" s="141"/>
      <c r="CA872" s="141"/>
      <c r="CB872" s="141"/>
      <c r="CC872" s="141"/>
      <c r="CD872" s="141"/>
      <c r="CE872" s="141"/>
      <c r="CF872" s="141"/>
      <c r="CG872" s="141"/>
      <c r="CH872" s="141"/>
      <c r="CI872" s="141"/>
      <c r="CJ872" s="141"/>
      <c r="CK872" s="141"/>
    </row>
    <row r="873" spans="74:89" ht="49.5" customHeight="1" x14ac:dyDescent="0.35">
      <c r="BV873" s="140"/>
      <c r="BY873" s="141"/>
      <c r="BZ873" s="141"/>
      <c r="CA873" s="141"/>
      <c r="CB873" s="141"/>
      <c r="CC873" s="141"/>
      <c r="CD873" s="141"/>
      <c r="CE873" s="141"/>
      <c r="CF873" s="141"/>
      <c r="CG873" s="141"/>
      <c r="CH873" s="141"/>
      <c r="CI873" s="141"/>
      <c r="CJ873" s="141"/>
      <c r="CK873" s="141"/>
    </row>
    <row r="874" spans="74:89" ht="49.5" customHeight="1" x14ac:dyDescent="0.35">
      <c r="BV874" s="140"/>
      <c r="BY874" s="141"/>
      <c r="BZ874" s="141"/>
      <c r="CA874" s="141"/>
      <c r="CB874" s="141"/>
      <c r="CC874" s="141"/>
      <c r="CD874" s="141"/>
      <c r="CE874" s="141"/>
      <c r="CF874" s="141"/>
      <c r="CG874" s="141"/>
      <c r="CH874" s="141"/>
      <c r="CI874" s="141"/>
      <c r="CJ874" s="141"/>
      <c r="CK874" s="141"/>
    </row>
    <row r="875" spans="74:89" ht="49.5" customHeight="1" x14ac:dyDescent="0.35">
      <c r="BV875" s="140"/>
      <c r="BY875" s="141"/>
      <c r="BZ875" s="141"/>
      <c r="CA875" s="141"/>
      <c r="CB875" s="141"/>
      <c r="CC875" s="141"/>
      <c r="CD875" s="141"/>
      <c r="CE875" s="141"/>
      <c r="CF875" s="141"/>
      <c r="CG875" s="141"/>
      <c r="CH875" s="141"/>
      <c r="CI875" s="141"/>
      <c r="CJ875" s="141"/>
      <c r="CK875" s="141"/>
    </row>
    <row r="876" spans="74:89" ht="49.5" customHeight="1" x14ac:dyDescent="0.35">
      <c r="BV876" s="140"/>
      <c r="BY876" s="141"/>
      <c r="BZ876" s="141"/>
      <c r="CA876" s="141"/>
      <c r="CB876" s="141"/>
      <c r="CC876" s="141"/>
      <c r="CD876" s="141"/>
      <c r="CE876" s="141"/>
      <c r="CF876" s="141"/>
      <c r="CG876" s="141"/>
      <c r="CH876" s="141"/>
      <c r="CI876" s="141"/>
      <c r="CJ876" s="141"/>
      <c r="CK876" s="141"/>
    </row>
    <row r="877" spans="74:89" ht="49.5" customHeight="1" x14ac:dyDescent="0.35">
      <c r="BV877" s="140"/>
      <c r="BY877" s="141"/>
      <c r="BZ877" s="141"/>
      <c r="CA877" s="141"/>
      <c r="CB877" s="141"/>
      <c r="CC877" s="141"/>
      <c r="CD877" s="141"/>
      <c r="CE877" s="141"/>
      <c r="CF877" s="141"/>
      <c r="CG877" s="141"/>
      <c r="CH877" s="141"/>
      <c r="CI877" s="141"/>
      <c r="CJ877" s="141"/>
      <c r="CK877" s="141"/>
    </row>
    <row r="878" spans="74:89" ht="49.5" customHeight="1" x14ac:dyDescent="0.35">
      <c r="BV878" s="140"/>
      <c r="BY878" s="141"/>
      <c r="BZ878" s="141"/>
      <c r="CA878" s="141"/>
      <c r="CB878" s="141"/>
      <c r="CC878" s="141"/>
      <c r="CD878" s="141"/>
      <c r="CE878" s="141"/>
      <c r="CF878" s="141"/>
      <c r="CG878" s="141"/>
      <c r="CH878" s="141"/>
      <c r="CI878" s="141"/>
      <c r="CJ878" s="141"/>
      <c r="CK878" s="141"/>
    </row>
    <row r="879" spans="74:89" ht="49.5" customHeight="1" x14ac:dyDescent="0.35">
      <c r="BV879" s="140"/>
      <c r="BY879" s="141"/>
      <c r="BZ879" s="141"/>
      <c r="CA879" s="141"/>
      <c r="CB879" s="141"/>
      <c r="CC879" s="141"/>
      <c r="CD879" s="141"/>
      <c r="CE879" s="141"/>
      <c r="CF879" s="141"/>
      <c r="CG879" s="141"/>
      <c r="CH879" s="141"/>
      <c r="CI879" s="141"/>
      <c r="CJ879" s="141"/>
      <c r="CK879" s="141"/>
    </row>
    <row r="880" spans="74:89" ht="49.5" customHeight="1" x14ac:dyDescent="0.35">
      <c r="BV880" s="140"/>
      <c r="BY880" s="141"/>
      <c r="BZ880" s="141"/>
      <c r="CA880" s="141"/>
      <c r="CB880" s="141"/>
      <c r="CC880" s="141"/>
      <c r="CD880" s="141"/>
      <c r="CE880" s="141"/>
      <c r="CF880" s="141"/>
      <c r="CG880" s="141"/>
      <c r="CH880" s="141"/>
      <c r="CI880" s="141"/>
      <c r="CJ880" s="141"/>
      <c r="CK880" s="141"/>
    </row>
    <row r="881" spans="74:89" ht="49.5" customHeight="1" x14ac:dyDescent="0.35">
      <c r="BV881" s="140"/>
      <c r="BY881" s="141"/>
      <c r="BZ881" s="141"/>
      <c r="CA881" s="141"/>
      <c r="CB881" s="141"/>
      <c r="CC881" s="141"/>
      <c r="CD881" s="141"/>
      <c r="CE881" s="141"/>
      <c r="CF881" s="141"/>
      <c r="CG881" s="141"/>
      <c r="CH881" s="141"/>
      <c r="CI881" s="141"/>
      <c r="CJ881" s="141"/>
      <c r="CK881" s="141"/>
    </row>
    <row r="882" spans="74:89" ht="49.5" customHeight="1" x14ac:dyDescent="0.35">
      <c r="BV882" s="140"/>
      <c r="BY882" s="141"/>
      <c r="BZ882" s="141"/>
      <c r="CA882" s="141"/>
      <c r="CB882" s="141"/>
      <c r="CC882" s="141"/>
      <c r="CD882" s="141"/>
      <c r="CE882" s="141"/>
      <c r="CF882" s="141"/>
      <c r="CG882" s="141"/>
      <c r="CH882" s="141"/>
      <c r="CI882" s="141"/>
      <c r="CJ882" s="141"/>
      <c r="CK882" s="141"/>
    </row>
    <row r="883" spans="74:89" ht="49.5" customHeight="1" x14ac:dyDescent="0.35">
      <c r="BV883" s="140"/>
      <c r="BY883" s="141"/>
      <c r="BZ883" s="141"/>
      <c r="CA883" s="141"/>
      <c r="CB883" s="141"/>
      <c r="CC883" s="141"/>
      <c r="CD883" s="141"/>
      <c r="CE883" s="141"/>
      <c r="CF883" s="141"/>
      <c r="CG883" s="141"/>
      <c r="CH883" s="141"/>
      <c r="CI883" s="141"/>
      <c r="CJ883" s="141"/>
      <c r="CK883" s="141"/>
    </row>
    <row r="884" spans="74:89" ht="49.5" customHeight="1" x14ac:dyDescent="0.35">
      <c r="BV884" s="140"/>
      <c r="BY884" s="141"/>
      <c r="BZ884" s="141"/>
      <c r="CA884" s="141"/>
      <c r="CB884" s="141"/>
      <c r="CC884" s="141"/>
      <c r="CD884" s="141"/>
      <c r="CE884" s="141"/>
      <c r="CF884" s="141"/>
      <c r="CG884" s="141"/>
      <c r="CH884" s="141"/>
      <c r="CI884" s="141"/>
      <c r="CJ884" s="141"/>
      <c r="CK884" s="141"/>
    </row>
    <row r="885" spans="74:89" ht="49.5" customHeight="1" x14ac:dyDescent="0.35">
      <c r="BV885" s="140"/>
      <c r="BY885" s="141"/>
      <c r="BZ885" s="141"/>
      <c r="CA885" s="141"/>
      <c r="CB885" s="141"/>
      <c r="CC885" s="141"/>
      <c r="CD885" s="141"/>
      <c r="CE885" s="141"/>
      <c r="CF885" s="141"/>
      <c r="CG885" s="141"/>
      <c r="CH885" s="141"/>
      <c r="CI885" s="141"/>
      <c r="CJ885" s="141"/>
      <c r="CK885" s="141"/>
    </row>
    <row r="886" spans="74:89" ht="49.5" customHeight="1" x14ac:dyDescent="0.35">
      <c r="BV886" s="140"/>
      <c r="BY886" s="141"/>
      <c r="BZ886" s="141"/>
      <c r="CA886" s="141"/>
      <c r="CB886" s="141"/>
      <c r="CC886" s="141"/>
      <c r="CD886" s="141"/>
      <c r="CE886" s="141"/>
      <c r="CF886" s="141"/>
      <c r="CG886" s="141"/>
      <c r="CH886" s="141"/>
      <c r="CI886" s="141"/>
      <c r="CJ886" s="141"/>
      <c r="CK886" s="141"/>
    </row>
    <row r="887" spans="74:89" ht="49.5" customHeight="1" x14ac:dyDescent="0.35">
      <c r="BV887" s="140"/>
      <c r="BY887" s="141"/>
      <c r="BZ887" s="141"/>
      <c r="CA887" s="141"/>
      <c r="CB887" s="141"/>
      <c r="CC887" s="141"/>
      <c r="CD887" s="141"/>
      <c r="CE887" s="141"/>
      <c r="CF887" s="141"/>
      <c r="CG887" s="141"/>
      <c r="CH887" s="141"/>
      <c r="CI887" s="141"/>
      <c r="CJ887" s="141"/>
      <c r="CK887" s="141"/>
    </row>
    <row r="888" spans="74:89" ht="49.5" customHeight="1" x14ac:dyDescent="0.35">
      <c r="BV888" s="140"/>
      <c r="BY888" s="141"/>
      <c r="BZ888" s="141"/>
      <c r="CA888" s="141"/>
      <c r="CB888" s="141"/>
      <c r="CC888" s="141"/>
      <c r="CD888" s="141"/>
      <c r="CE888" s="141"/>
      <c r="CF888" s="141"/>
      <c r="CG888" s="141"/>
      <c r="CH888" s="141"/>
      <c r="CI888" s="141"/>
      <c r="CJ888" s="141"/>
      <c r="CK888" s="141"/>
    </row>
    <row r="889" spans="74:89" ht="49.5" customHeight="1" x14ac:dyDescent="0.35">
      <c r="BV889" s="140"/>
      <c r="BY889" s="141"/>
      <c r="BZ889" s="141"/>
      <c r="CA889" s="141"/>
      <c r="CB889" s="141"/>
      <c r="CC889" s="141"/>
      <c r="CD889" s="141"/>
      <c r="CE889" s="141"/>
      <c r="CF889" s="141"/>
      <c r="CG889" s="141"/>
      <c r="CH889" s="141"/>
      <c r="CI889" s="141"/>
      <c r="CJ889" s="141"/>
      <c r="CK889" s="141"/>
    </row>
    <row r="890" spans="74:89" ht="49.5" customHeight="1" x14ac:dyDescent="0.35">
      <c r="BV890" s="140"/>
      <c r="BY890" s="141"/>
      <c r="BZ890" s="141"/>
      <c r="CA890" s="141"/>
      <c r="CB890" s="141"/>
      <c r="CC890" s="141"/>
      <c r="CD890" s="141"/>
      <c r="CE890" s="141"/>
      <c r="CF890" s="141"/>
      <c r="CG890" s="141"/>
      <c r="CH890" s="141"/>
      <c r="CI890" s="141"/>
      <c r="CJ890" s="141"/>
      <c r="CK890" s="141"/>
    </row>
    <row r="891" spans="74:89" ht="49.5" customHeight="1" x14ac:dyDescent="0.35">
      <c r="BV891" s="140"/>
      <c r="BY891" s="141"/>
      <c r="BZ891" s="141"/>
      <c r="CA891" s="141"/>
      <c r="CB891" s="141"/>
      <c r="CC891" s="141"/>
      <c r="CD891" s="141"/>
      <c r="CE891" s="141"/>
      <c r="CF891" s="141"/>
      <c r="CG891" s="141"/>
      <c r="CH891" s="141"/>
      <c r="CI891" s="141"/>
      <c r="CJ891" s="141"/>
      <c r="CK891" s="141"/>
    </row>
    <row r="892" spans="74:89" ht="49.5" customHeight="1" x14ac:dyDescent="0.35">
      <c r="BV892" s="140"/>
      <c r="BY892" s="141"/>
      <c r="BZ892" s="141"/>
      <c r="CA892" s="141"/>
      <c r="CB892" s="141"/>
      <c r="CC892" s="141"/>
      <c r="CD892" s="141"/>
      <c r="CE892" s="141"/>
      <c r="CF892" s="141"/>
      <c r="CG892" s="141"/>
      <c r="CH892" s="141"/>
      <c r="CI892" s="141"/>
      <c r="CJ892" s="141"/>
      <c r="CK892" s="141"/>
    </row>
    <row r="893" spans="74:89" ht="49.5" customHeight="1" x14ac:dyDescent="0.35">
      <c r="BV893" s="140"/>
      <c r="BY893" s="141"/>
      <c r="BZ893" s="141"/>
      <c r="CA893" s="141"/>
      <c r="CB893" s="141"/>
      <c r="CC893" s="141"/>
      <c r="CD893" s="141"/>
      <c r="CE893" s="141"/>
      <c r="CF893" s="141"/>
      <c r="CG893" s="141"/>
      <c r="CH893" s="141"/>
      <c r="CI893" s="141"/>
      <c r="CJ893" s="141"/>
      <c r="CK893" s="141"/>
    </row>
    <row r="894" spans="74:89" ht="49.5" customHeight="1" x14ac:dyDescent="0.35">
      <c r="BV894" s="140"/>
      <c r="BY894" s="141"/>
      <c r="BZ894" s="141"/>
      <c r="CA894" s="141"/>
      <c r="CB894" s="141"/>
      <c r="CC894" s="141"/>
      <c r="CD894" s="141"/>
      <c r="CE894" s="141"/>
      <c r="CF894" s="141"/>
      <c r="CG894" s="141"/>
      <c r="CH894" s="141"/>
      <c r="CI894" s="141"/>
      <c r="CJ894" s="141"/>
      <c r="CK894" s="141"/>
    </row>
    <row r="895" spans="74:89" ht="49.5" customHeight="1" x14ac:dyDescent="0.35">
      <c r="BV895" s="140"/>
      <c r="BY895" s="141"/>
      <c r="BZ895" s="141"/>
      <c r="CA895" s="141"/>
      <c r="CB895" s="141"/>
      <c r="CC895" s="141"/>
      <c r="CD895" s="141"/>
      <c r="CE895" s="141"/>
      <c r="CF895" s="141"/>
      <c r="CG895" s="141"/>
      <c r="CH895" s="141"/>
      <c r="CI895" s="141"/>
      <c r="CJ895" s="141"/>
      <c r="CK895" s="141"/>
    </row>
    <row r="896" spans="74:89" ht="49.5" customHeight="1" x14ac:dyDescent="0.35">
      <c r="BV896" s="140"/>
      <c r="BY896" s="141"/>
      <c r="BZ896" s="141"/>
      <c r="CA896" s="141"/>
      <c r="CB896" s="141"/>
      <c r="CC896" s="141"/>
      <c r="CD896" s="141"/>
      <c r="CE896" s="141"/>
      <c r="CF896" s="141"/>
      <c r="CG896" s="141"/>
      <c r="CH896" s="141"/>
      <c r="CI896" s="141"/>
      <c r="CJ896" s="141"/>
      <c r="CK896" s="141"/>
    </row>
    <row r="897" spans="74:89" ht="49.5" customHeight="1" x14ac:dyDescent="0.35">
      <c r="BV897" s="140"/>
      <c r="BY897" s="141"/>
      <c r="BZ897" s="141"/>
      <c r="CA897" s="141"/>
      <c r="CB897" s="141"/>
      <c r="CC897" s="141"/>
      <c r="CD897" s="141"/>
      <c r="CE897" s="141"/>
      <c r="CF897" s="141"/>
      <c r="CG897" s="141"/>
      <c r="CH897" s="141"/>
      <c r="CI897" s="141"/>
      <c r="CJ897" s="141"/>
      <c r="CK897" s="141"/>
    </row>
    <row r="898" spans="74:89" ht="49.5" customHeight="1" x14ac:dyDescent="0.35">
      <c r="BV898" s="140"/>
      <c r="BY898" s="141"/>
      <c r="BZ898" s="141"/>
      <c r="CA898" s="141"/>
      <c r="CB898" s="141"/>
      <c r="CC898" s="141"/>
      <c r="CD898" s="141"/>
      <c r="CE898" s="141"/>
      <c r="CF898" s="141"/>
      <c r="CG898" s="141"/>
      <c r="CH898" s="141"/>
      <c r="CI898" s="141"/>
      <c r="CJ898" s="141"/>
      <c r="CK898" s="141"/>
    </row>
    <row r="899" spans="74:89" ht="49.5" customHeight="1" x14ac:dyDescent="0.35">
      <c r="BV899" s="140"/>
      <c r="BY899" s="141"/>
      <c r="BZ899" s="141"/>
      <c r="CA899" s="141"/>
      <c r="CB899" s="141"/>
      <c r="CC899" s="141"/>
      <c r="CD899" s="141"/>
      <c r="CE899" s="141"/>
      <c r="CF899" s="141"/>
      <c r="CG899" s="141"/>
      <c r="CH899" s="141"/>
      <c r="CI899" s="141"/>
      <c r="CJ899" s="141"/>
      <c r="CK899" s="141"/>
    </row>
    <row r="900" spans="74:89" ht="49.5" customHeight="1" x14ac:dyDescent="0.35">
      <c r="BV900" s="140"/>
      <c r="BY900" s="141"/>
      <c r="BZ900" s="141"/>
      <c r="CA900" s="141"/>
      <c r="CB900" s="141"/>
      <c r="CC900" s="141"/>
      <c r="CD900" s="141"/>
      <c r="CE900" s="141"/>
      <c r="CF900" s="141"/>
      <c r="CG900" s="141"/>
      <c r="CH900" s="141"/>
      <c r="CI900" s="141"/>
      <c r="CJ900" s="141"/>
      <c r="CK900" s="141"/>
    </row>
    <row r="901" spans="74:89" ht="49.5" customHeight="1" x14ac:dyDescent="0.35">
      <c r="BV901" s="140"/>
      <c r="BY901" s="141"/>
      <c r="BZ901" s="141"/>
      <c r="CA901" s="141"/>
      <c r="CB901" s="141"/>
      <c r="CC901" s="141"/>
      <c r="CD901" s="141"/>
      <c r="CE901" s="141"/>
      <c r="CF901" s="141"/>
      <c r="CG901" s="141"/>
      <c r="CH901" s="141"/>
      <c r="CI901" s="141"/>
      <c r="CJ901" s="141"/>
      <c r="CK901" s="141"/>
    </row>
    <row r="902" spans="74:89" ht="49.5" customHeight="1" x14ac:dyDescent="0.35">
      <c r="BV902" s="140"/>
      <c r="BY902" s="141"/>
      <c r="BZ902" s="141"/>
      <c r="CA902" s="141"/>
      <c r="CB902" s="141"/>
      <c r="CC902" s="141"/>
      <c r="CD902" s="141"/>
      <c r="CE902" s="141"/>
      <c r="CF902" s="141"/>
      <c r="CG902" s="141"/>
      <c r="CH902" s="141"/>
      <c r="CI902" s="141"/>
      <c r="CJ902" s="141"/>
      <c r="CK902" s="141"/>
    </row>
    <row r="903" spans="74:89" ht="49.5" customHeight="1" x14ac:dyDescent="0.35">
      <c r="BV903" s="140"/>
      <c r="BY903" s="141"/>
      <c r="BZ903" s="141"/>
      <c r="CA903" s="141"/>
      <c r="CB903" s="141"/>
      <c r="CC903" s="141"/>
      <c r="CD903" s="141"/>
      <c r="CE903" s="141"/>
      <c r="CF903" s="141"/>
      <c r="CG903" s="141"/>
      <c r="CH903" s="141"/>
      <c r="CI903" s="141"/>
      <c r="CJ903" s="141"/>
      <c r="CK903" s="141"/>
    </row>
    <row r="904" spans="74:89" ht="49.5" customHeight="1" x14ac:dyDescent="0.35">
      <c r="BV904" s="140"/>
      <c r="BY904" s="141"/>
      <c r="BZ904" s="141"/>
      <c r="CA904" s="141"/>
      <c r="CB904" s="141"/>
      <c r="CC904" s="141"/>
      <c r="CD904" s="141"/>
      <c r="CE904" s="141"/>
      <c r="CF904" s="141"/>
      <c r="CG904" s="141"/>
      <c r="CH904" s="141"/>
      <c r="CI904" s="141"/>
      <c r="CJ904" s="141"/>
      <c r="CK904" s="141"/>
    </row>
    <row r="905" spans="74:89" ht="49.5" customHeight="1" x14ac:dyDescent="0.35">
      <c r="BV905" s="140"/>
      <c r="BY905" s="141"/>
      <c r="BZ905" s="141"/>
      <c r="CA905" s="141"/>
      <c r="CB905" s="141"/>
      <c r="CC905" s="141"/>
      <c r="CD905" s="141"/>
      <c r="CE905" s="141"/>
      <c r="CF905" s="141"/>
      <c r="CG905" s="141"/>
      <c r="CH905" s="141"/>
      <c r="CI905" s="141"/>
      <c r="CJ905" s="141"/>
      <c r="CK905" s="141"/>
    </row>
    <row r="906" spans="74:89" ht="49.5" customHeight="1" x14ac:dyDescent="0.35">
      <c r="BV906" s="140"/>
      <c r="BY906" s="141"/>
      <c r="BZ906" s="141"/>
      <c r="CA906" s="141"/>
      <c r="CB906" s="141"/>
      <c r="CC906" s="141"/>
      <c r="CD906" s="141"/>
      <c r="CE906" s="141"/>
      <c r="CF906" s="141"/>
      <c r="CG906" s="141"/>
      <c r="CH906" s="141"/>
      <c r="CI906" s="141"/>
      <c r="CJ906" s="141"/>
      <c r="CK906" s="141"/>
    </row>
    <row r="907" spans="74:89" ht="49.5" customHeight="1" x14ac:dyDescent="0.35">
      <c r="BV907" s="140"/>
      <c r="BY907" s="141"/>
      <c r="BZ907" s="141"/>
      <c r="CA907" s="141"/>
      <c r="CB907" s="141"/>
      <c r="CC907" s="141"/>
      <c r="CD907" s="141"/>
      <c r="CE907" s="141"/>
      <c r="CF907" s="141"/>
      <c r="CG907" s="141"/>
      <c r="CH907" s="141"/>
      <c r="CI907" s="141"/>
      <c r="CJ907" s="141"/>
      <c r="CK907" s="141"/>
    </row>
    <row r="908" spans="74:89" ht="49.5" customHeight="1" x14ac:dyDescent="0.35">
      <c r="BV908" s="140"/>
      <c r="BY908" s="141"/>
      <c r="BZ908" s="141"/>
      <c r="CA908" s="141"/>
      <c r="CB908" s="141"/>
      <c r="CC908" s="141"/>
      <c r="CD908" s="141"/>
      <c r="CE908" s="141"/>
      <c r="CF908" s="141"/>
      <c r="CG908" s="141"/>
      <c r="CH908" s="141"/>
      <c r="CI908" s="141"/>
      <c r="CJ908" s="141"/>
      <c r="CK908" s="141"/>
    </row>
    <row r="909" spans="74:89" ht="49.5" customHeight="1" x14ac:dyDescent="0.35">
      <c r="BV909" s="140"/>
      <c r="BY909" s="141"/>
      <c r="BZ909" s="141"/>
      <c r="CA909" s="141"/>
      <c r="CB909" s="141"/>
      <c r="CC909" s="141"/>
      <c r="CD909" s="141"/>
      <c r="CE909" s="141"/>
      <c r="CF909" s="141"/>
      <c r="CG909" s="141"/>
      <c r="CH909" s="141"/>
      <c r="CI909" s="141"/>
      <c r="CJ909" s="141"/>
      <c r="CK909" s="141"/>
    </row>
    <row r="910" spans="74:89" ht="49.5" customHeight="1" x14ac:dyDescent="0.35">
      <c r="BV910" s="140"/>
      <c r="BY910" s="141"/>
      <c r="BZ910" s="141"/>
      <c r="CA910" s="141"/>
      <c r="CB910" s="141"/>
      <c r="CC910" s="141"/>
      <c r="CD910" s="141"/>
      <c r="CE910" s="141"/>
      <c r="CF910" s="141"/>
      <c r="CG910" s="141"/>
      <c r="CH910" s="141"/>
      <c r="CI910" s="141"/>
      <c r="CJ910" s="141"/>
      <c r="CK910" s="141"/>
    </row>
    <row r="911" spans="74:89" ht="49.5" customHeight="1" x14ac:dyDescent="0.35">
      <c r="BV911" s="140"/>
      <c r="BY911" s="141"/>
      <c r="BZ911" s="141"/>
      <c r="CA911" s="141"/>
      <c r="CB911" s="141"/>
      <c r="CC911" s="141"/>
      <c r="CD911" s="141"/>
      <c r="CE911" s="141"/>
      <c r="CF911" s="141"/>
      <c r="CG911" s="141"/>
      <c r="CH911" s="141"/>
      <c r="CI911" s="141"/>
      <c r="CJ911" s="141"/>
      <c r="CK911" s="141"/>
    </row>
    <row r="912" spans="74:89" ht="49.5" customHeight="1" x14ac:dyDescent="0.35">
      <c r="BV912" s="140"/>
      <c r="BY912" s="141"/>
      <c r="BZ912" s="141"/>
      <c r="CA912" s="141"/>
      <c r="CB912" s="141"/>
      <c r="CC912" s="141"/>
      <c r="CD912" s="141"/>
      <c r="CE912" s="141"/>
      <c r="CF912" s="141"/>
      <c r="CG912" s="141"/>
      <c r="CH912" s="141"/>
      <c r="CI912" s="141"/>
      <c r="CJ912" s="141"/>
      <c r="CK912" s="141"/>
    </row>
    <row r="913" spans="74:89" ht="49.5" customHeight="1" x14ac:dyDescent="0.35">
      <c r="BV913" s="140"/>
      <c r="BY913" s="141"/>
      <c r="BZ913" s="141"/>
      <c r="CA913" s="141"/>
      <c r="CB913" s="141"/>
      <c r="CC913" s="141"/>
      <c r="CD913" s="141"/>
      <c r="CE913" s="141"/>
      <c r="CF913" s="141"/>
      <c r="CG913" s="141"/>
      <c r="CH913" s="141"/>
      <c r="CI913" s="141"/>
      <c r="CJ913" s="141"/>
      <c r="CK913" s="141"/>
    </row>
    <row r="914" spans="74:89" ht="49.5" customHeight="1" x14ac:dyDescent="0.35">
      <c r="BV914" s="140"/>
      <c r="BY914" s="141"/>
      <c r="BZ914" s="141"/>
      <c r="CA914" s="141"/>
      <c r="CB914" s="141"/>
      <c r="CC914" s="141"/>
      <c r="CD914" s="141"/>
      <c r="CE914" s="141"/>
      <c r="CF914" s="141"/>
      <c r="CG914" s="141"/>
      <c r="CH914" s="141"/>
      <c r="CI914" s="141"/>
      <c r="CJ914" s="141"/>
      <c r="CK914" s="141"/>
    </row>
    <row r="915" spans="74:89" ht="49.5" customHeight="1" x14ac:dyDescent="0.35">
      <c r="BV915" s="140"/>
      <c r="BY915" s="141"/>
      <c r="BZ915" s="141"/>
      <c r="CA915" s="141"/>
      <c r="CB915" s="141"/>
      <c r="CC915" s="141"/>
      <c r="CD915" s="141"/>
      <c r="CE915" s="141"/>
      <c r="CF915" s="141"/>
      <c r="CG915" s="141"/>
      <c r="CH915" s="141"/>
      <c r="CI915" s="141"/>
      <c r="CJ915" s="141"/>
      <c r="CK915" s="141"/>
    </row>
    <row r="916" spans="74:89" ht="49.5" customHeight="1" x14ac:dyDescent="0.35">
      <c r="BV916" s="140"/>
      <c r="BY916" s="141"/>
      <c r="BZ916" s="141"/>
      <c r="CA916" s="141"/>
      <c r="CB916" s="141"/>
      <c r="CC916" s="141"/>
      <c r="CD916" s="141"/>
      <c r="CE916" s="141"/>
      <c r="CF916" s="141"/>
      <c r="CG916" s="141"/>
      <c r="CH916" s="141"/>
      <c r="CI916" s="141"/>
      <c r="CJ916" s="141"/>
      <c r="CK916" s="141"/>
    </row>
    <row r="917" spans="74:89" ht="49.5" customHeight="1" x14ac:dyDescent="0.35">
      <c r="BV917" s="140"/>
      <c r="BY917" s="141"/>
      <c r="BZ917" s="141"/>
      <c r="CA917" s="141"/>
      <c r="CB917" s="141"/>
      <c r="CC917" s="141"/>
      <c r="CD917" s="141"/>
      <c r="CE917" s="141"/>
      <c r="CF917" s="141"/>
      <c r="CG917" s="141"/>
      <c r="CH917" s="141"/>
      <c r="CI917" s="141"/>
      <c r="CJ917" s="141"/>
      <c r="CK917" s="141"/>
    </row>
    <row r="918" spans="74:89" ht="49.5" customHeight="1" x14ac:dyDescent="0.35">
      <c r="BV918" s="140"/>
      <c r="BY918" s="141"/>
      <c r="BZ918" s="141"/>
      <c r="CA918" s="141"/>
      <c r="CB918" s="141"/>
      <c r="CC918" s="141"/>
      <c r="CD918" s="141"/>
      <c r="CE918" s="141"/>
      <c r="CF918" s="141"/>
      <c r="CG918" s="141"/>
      <c r="CH918" s="141"/>
      <c r="CI918" s="141"/>
      <c r="CJ918" s="141"/>
      <c r="CK918" s="141"/>
    </row>
    <row r="919" spans="74:89" ht="49.5" customHeight="1" x14ac:dyDescent="0.35">
      <c r="BV919" s="140"/>
      <c r="BY919" s="141"/>
      <c r="BZ919" s="141"/>
      <c r="CA919" s="141"/>
      <c r="CB919" s="141"/>
      <c r="CC919" s="141"/>
      <c r="CD919" s="141"/>
      <c r="CE919" s="141"/>
      <c r="CF919" s="141"/>
      <c r="CG919" s="141"/>
      <c r="CH919" s="141"/>
      <c r="CI919" s="141"/>
      <c r="CJ919" s="141"/>
      <c r="CK919" s="141"/>
    </row>
    <row r="920" spans="74:89" ht="49.5" customHeight="1" x14ac:dyDescent="0.35">
      <c r="BV920" s="140"/>
      <c r="BY920" s="141"/>
      <c r="BZ920" s="141"/>
      <c r="CA920" s="141"/>
      <c r="CB920" s="141"/>
      <c r="CC920" s="141"/>
      <c r="CD920" s="141"/>
      <c r="CE920" s="141"/>
      <c r="CF920" s="141"/>
      <c r="CG920" s="141"/>
      <c r="CH920" s="141"/>
      <c r="CI920" s="141"/>
      <c r="CJ920" s="141"/>
      <c r="CK920" s="141"/>
    </row>
    <row r="921" spans="74:89" ht="49.5" customHeight="1" x14ac:dyDescent="0.35">
      <c r="BV921" s="140"/>
      <c r="BY921" s="141"/>
      <c r="BZ921" s="141"/>
      <c r="CA921" s="141"/>
      <c r="CB921" s="141"/>
      <c r="CC921" s="141"/>
      <c r="CD921" s="141"/>
      <c r="CE921" s="141"/>
      <c r="CF921" s="141"/>
      <c r="CG921" s="141"/>
      <c r="CH921" s="141"/>
      <c r="CI921" s="141"/>
      <c r="CJ921" s="141"/>
      <c r="CK921" s="141"/>
    </row>
    <row r="922" spans="74:89" ht="49.5" customHeight="1" x14ac:dyDescent="0.35">
      <c r="BV922" s="140"/>
      <c r="BY922" s="141"/>
      <c r="BZ922" s="141"/>
      <c r="CA922" s="141"/>
      <c r="CB922" s="141"/>
      <c r="CC922" s="141"/>
      <c r="CD922" s="141"/>
      <c r="CE922" s="141"/>
      <c r="CF922" s="141"/>
      <c r="CG922" s="141"/>
      <c r="CH922" s="141"/>
      <c r="CI922" s="141"/>
      <c r="CJ922" s="141"/>
      <c r="CK922" s="141"/>
    </row>
    <row r="923" spans="74:89" ht="49.5" customHeight="1" x14ac:dyDescent="0.35">
      <c r="BV923" s="140"/>
      <c r="BY923" s="141"/>
      <c r="BZ923" s="141"/>
      <c r="CA923" s="141"/>
      <c r="CB923" s="141"/>
      <c r="CC923" s="141"/>
      <c r="CD923" s="141"/>
      <c r="CE923" s="141"/>
      <c r="CF923" s="141"/>
      <c r="CG923" s="141"/>
      <c r="CH923" s="141"/>
      <c r="CI923" s="141"/>
      <c r="CJ923" s="141"/>
      <c r="CK923" s="141"/>
    </row>
    <row r="924" spans="74:89" ht="49.5" customHeight="1" x14ac:dyDescent="0.35">
      <c r="BV924" s="140"/>
      <c r="BY924" s="141"/>
      <c r="BZ924" s="141"/>
      <c r="CA924" s="141"/>
      <c r="CB924" s="141"/>
      <c r="CC924" s="141"/>
      <c r="CD924" s="141"/>
      <c r="CE924" s="141"/>
      <c r="CF924" s="141"/>
      <c r="CG924" s="141"/>
      <c r="CH924" s="141"/>
      <c r="CI924" s="141"/>
      <c r="CJ924" s="141"/>
      <c r="CK924" s="141"/>
    </row>
    <row r="925" spans="74:89" ht="49.5" customHeight="1" x14ac:dyDescent="0.35">
      <c r="BV925" s="140"/>
      <c r="BY925" s="141"/>
      <c r="BZ925" s="141"/>
      <c r="CA925" s="141"/>
      <c r="CB925" s="141"/>
      <c r="CC925" s="141"/>
      <c r="CD925" s="141"/>
      <c r="CE925" s="141"/>
      <c r="CF925" s="141"/>
      <c r="CG925" s="141"/>
      <c r="CH925" s="141"/>
      <c r="CI925" s="141"/>
      <c r="CJ925" s="141"/>
      <c r="CK925" s="141"/>
    </row>
    <row r="926" spans="74:89" ht="49.5" customHeight="1" x14ac:dyDescent="0.35">
      <c r="BV926" s="140"/>
      <c r="BY926" s="141"/>
      <c r="BZ926" s="141"/>
      <c r="CA926" s="141"/>
      <c r="CB926" s="141"/>
      <c r="CC926" s="141"/>
      <c r="CD926" s="141"/>
      <c r="CE926" s="141"/>
      <c r="CF926" s="141"/>
      <c r="CG926" s="141"/>
      <c r="CH926" s="141"/>
      <c r="CI926" s="141"/>
      <c r="CJ926" s="141"/>
      <c r="CK926" s="141"/>
    </row>
    <row r="927" spans="74:89" ht="49.5" customHeight="1" x14ac:dyDescent="0.35">
      <c r="BV927" s="140"/>
      <c r="BY927" s="141"/>
      <c r="BZ927" s="141"/>
      <c r="CA927" s="141"/>
      <c r="CB927" s="141"/>
      <c r="CC927" s="141"/>
      <c r="CD927" s="141"/>
      <c r="CE927" s="141"/>
      <c r="CF927" s="141"/>
      <c r="CG927" s="141"/>
      <c r="CH927" s="141"/>
      <c r="CI927" s="141"/>
      <c r="CJ927" s="141"/>
      <c r="CK927" s="141"/>
    </row>
    <row r="928" spans="74:89" ht="49.5" customHeight="1" x14ac:dyDescent="0.35">
      <c r="BV928" s="140"/>
      <c r="BY928" s="141"/>
      <c r="BZ928" s="141"/>
      <c r="CA928" s="141"/>
      <c r="CB928" s="141"/>
      <c r="CC928" s="141"/>
      <c r="CD928" s="141"/>
      <c r="CE928" s="141"/>
      <c r="CF928" s="141"/>
      <c r="CG928" s="141"/>
      <c r="CH928" s="141"/>
      <c r="CI928" s="141"/>
      <c r="CJ928" s="141"/>
      <c r="CK928" s="141"/>
    </row>
    <row r="929" spans="74:89" ht="49.5" customHeight="1" x14ac:dyDescent="0.35">
      <c r="BV929" s="140"/>
      <c r="BY929" s="141"/>
      <c r="BZ929" s="141"/>
      <c r="CA929" s="141"/>
      <c r="CB929" s="141"/>
      <c r="CC929" s="141"/>
      <c r="CD929" s="141"/>
      <c r="CE929" s="141"/>
      <c r="CF929" s="141"/>
      <c r="CG929" s="141"/>
      <c r="CH929" s="141"/>
      <c r="CI929" s="141"/>
      <c r="CJ929" s="141"/>
      <c r="CK929" s="141"/>
    </row>
    <row r="930" spans="74:89" ht="49.5" customHeight="1" x14ac:dyDescent="0.35">
      <c r="BV930" s="140"/>
      <c r="BY930" s="141"/>
      <c r="BZ930" s="141"/>
      <c r="CA930" s="141"/>
      <c r="CB930" s="141"/>
      <c r="CC930" s="141"/>
      <c r="CD930" s="141"/>
      <c r="CE930" s="141"/>
      <c r="CF930" s="141"/>
      <c r="CG930" s="141"/>
      <c r="CH930" s="141"/>
      <c r="CI930" s="141"/>
      <c r="CJ930" s="141"/>
      <c r="CK930" s="141"/>
    </row>
    <row r="931" spans="74:89" ht="49.5" customHeight="1" x14ac:dyDescent="0.35">
      <c r="BV931" s="140"/>
      <c r="BY931" s="141"/>
      <c r="BZ931" s="141"/>
      <c r="CA931" s="141"/>
      <c r="CB931" s="141"/>
      <c r="CC931" s="141"/>
      <c r="CD931" s="141"/>
      <c r="CE931" s="141"/>
      <c r="CF931" s="141"/>
      <c r="CG931" s="141"/>
      <c r="CH931" s="141"/>
      <c r="CI931" s="141"/>
      <c r="CJ931" s="141"/>
      <c r="CK931" s="141"/>
    </row>
    <row r="932" spans="74:89" ht="49.5" customHeight="1" x14ac:dyDescent="0.35">
      <c r="BV932" s="140"/>
      <c r="BY932" s="141"/>
      <c r="BZ932" s="141"/>
      <c r="CA932" s="141"/>
      <c r="CB932" s="141"/>
      <c r="CC932" s="141"/>
      <c r="CD932" s="141"/>
      <c r="CE932" s="141"/>
      <c r="CF932" s="141"/>
      <c r="CG932" s="141"/>
      <c r="CH932" s="141"/>
      <c r="CI932" s="141"/>
      <c r="CJ932" s="141"/>
      <c r="CK932" s="141"/>
    </row>
    <row r="933" spans="74:89" ht="49.5" customHeight="1" x14ac:dyDescent="0.35">
      <c r="BV933" s="140"/>
      <c r="BY933" s="141"/>
      <c r="BZ933" s="141"/>
      <c r="CA933" s="141"/>
      <c r="CB933" s="141"/>
      <c r="CC933" s="141"/>
      <c r="CD933" s="141"/>
      <c r="CE933" s="141"/>
      <c r="CF933" s="141"/>
      <c r="CG933" s="141"/>
      <c r="CH933" s="141"/>
      <c r="CI933" s="141"/>
      <c r="CJ933" s="141"/>
      <c r="CK933" s="141"/>
    </row>
    <row r="934" spans="74:89" ht="49.5" customHeight="1" x14ac:dyDescent="0.35">
      <c r="BV934" s="140"/>
      <c r="BY934" s="141"/>
      <c r="BZ934" s="141"/>
      <c r="CA934" s="141"/>
      <c r="CB934" s="141"/>
      <c r="CC934" s="141"/>
      <c r="CD934" s="141"/>
      <c r="CE934" s="141"/>
      <c r="CF934" s="141"/>
      <c r="CG934" s="141"/>
      <c r="CH934" s="141"/>
      <c r="CI934" s="141"/>
      <c r="CJ934" s="141"/>
      <c r="CK934" s="141"/>
    </row>
    <row r="935" spans="74:89" ht="49.5" customHeight="1" x14ac:dyDescent="0.35">
      <c r="BV935" s="140"/>
      <c r="BY935" s="141"/>
      <c r="BZ935" s="141"/>
      <c r="CA935" s="141"/>
      <c r="CB935" s="141"/>
      <c r="CC935" s="141"/>
      <c r="CD935" s="141"/>
      <c r="CE935" s="141"/>
      <c r="CF935" s="141"/>
      <c r="CG935" s="141"/>
      <c r="CH935" s="141"/>
      <c r="CI935" s="141"/>
      <c r="CJ935" s="141"/>
      <c r="CK935" s="141"/>
    </row>
    <row r="936" spans="74:89" ht="49.5" customHeight="1" x14ac:dyDescent="0.35">
      <c r="BV936" s="140"/>
      <c r="BY936" s="141"/>
      <c r="BZ936" s="141"/>
      <c r="CA936" s="141"/>
      <c r="CB936" s="141"/>
      <c r="CC936" s="141"/>
      <c r="CD936" s="141"/>
      <c r="CE936" s="141"/>
      <c r="CF936" s="141"/>
      <c r="CG936" s="141"/>
      <c r="CH936" s="141"/>
      <c r="CI936" s="141"/>
      <c r="CJ936" s="141"/>
      <c r="CK936" s="141"/>
    </row>
    <row r="937" spans="74:89" ht="49.5" customHeight="1" x14ac:dyDescent="0.35">
      <c r="BV937" s="140"/>
      <c r="BY937" s="141"/>
      <c r="BZ937" s="141"/>
      <c r="CA937" s="141"/>
      <c r="CB937" s="141"/>
      <c r="CC937" s="141"/>
      <c r="CD937" s="141"/>
      <c r="CE937" s="141"/>
      <c r="CF937" s="141"/>
      <c r="CG937" s="141"/>
      <c r="CH937" s="141"/>
      <c r="CI937" s="141"/>
      <c r="CJ937" s="141"/>
      <c r="CK937" s="141"/>
    </row>
    <row r="938" spans="74:89" ht="49.5" customHeight="1" x14ac:dyDescent="0.35">
      <c r="BV938" s="140"/>
      <c r="BY938" s="141"/>
      <c r="BZ938" s="141"/>
      <c r="CA938" s="141"/>
      <c r="CB938" s="141"/>
      <c r="CC938" s="141"/>
      <c r="CD938" s="141"/>
      <c r="CE938" s="141"/>
      <c r="CF938" s="141"/>
      <c r="CG938" s="141"/>
      <c r="CH938" s="141"/>
      <c r="CI938" s="141"/>
      <c r="CJ938" s="141"/>
      <c r="CK938" s="141"/>
    </row>
    <row r="939" spans="74:89" ht="49.5" customHeight="1" x14ac:dyDescent="0.35">
      <c r="BV939" s="140"/>
      <c r="BY939" s="141"/>
      <c r="BZ939" s="141"/>
      <c r="CA939" s="141"/>
      <c r="CB939" s="141"/>
      <c r="CC939" s="141"/>
      <c r="CD939" s="141"/>
      <c r="CE939" s="141"/>
      <c r="CF939" s="141"/>
      <c r="CG939" s="141"/>
      <c r="CH939" s="141"/>
      <c r="CI939" s="141"/>
      <c r="CJ939" s="141"/>
      <c r="CK939" s="141"/>
    </row>
    <row r="940" spans="74:89" ht="49.5" customHeight="1" x14ac:dyDescent="0.35">
      <c r="BV940" s="140"/>
      <c r="BY940" s="141"/>
      <c r="BZ940" s="141"/>
      <c r="CA940" s="141"/>
      <c r="CB940" s="141"/>
      <c r="CC940" s="141"/>
      <c r="CD940" s="141"/>
      <c r="CE940" s="141"/>
      <c r="CF940" s="141"/>
      <c r="CG940" s="141"/>
      <c r="CH940" s="141"/>
      <c r="CI940" s="141"/>
      <c r="CJ940" s="141"/>
      <c r="CK940" s="141"/>
    </row>
    <row r="941" spans="74:89" ht="49.5" customHeight="1" x14ac:dyDescent="0.35">
      <c r="BV941" s="140"/>
      <c r="BY941" s="141"/>
      <c r="BZ941" s="141"/>
      <c r="CA941" s="141"/>
      <c r="CB941" s="141"/>
      <c r="CC941" s="141"/>
      <c r="CD941" s="141"/>
      <c r="CE941" s="141"/>
      <c r="CF941" s="141"/>
      <c r="CG941" s="141"/>
      <c r="CH941" s="141"/>
      <c r="CI941" s="141"/>
      <c r="CJ941" s="141"/>
      <c r="CK941" s="141"/>
    </row>
    <row r="942" spans="74:89" ht="49.5" customHeight="1" x14ac:dyDescent="0.35">
      <c r="BV942" s="140"/>
      <c r="BY942" s="141"/>
      <c r="BZ942" s="141"/>
      <c r="CA942" s="141"/>
      <c r="CB942" s="141"/>
      <c r="CC942" s="141"/>
      <c r="CD942" s="141"/>
      <c r="CE942" s="141"/>
      <c r="CF942" s="141"/>
      <c r="CG942" s="141"/>
      <c r="CH942" s="141"/>
      <c r="CI942" s="141"/>
      <c r="CJ942" s="141"/>
      <c r="CK942" s="141"/>
    </row>
    <row r="943" spans="74:89" ht="49.5" customHeight="1" x14ac:dyDescent="0.35">
      <c r="BV943" s="140"/>
      <c r="BY943" s="141"/>
      <c r="BZ943" s="141"/>
      <c r="CA943" s="141"/>
      <c r="CB943" s="141"/>
      <c r="CC943" s="141"/>
      <c r="CD943" s="141"/>
      <c r="CE943" s="141"/>
      <c r="CF943" s="141"/>
      <c r="CG943" s="141"/>
      <c r="CH943" s="141"/>
      <c r="CI943" s="141"/>
      <c r="CJ943" s="141"/>
      <c r="CK943" s="141"/>
    </row>
    <row r="944" spans="74:89" ht="49.5" customHeight="1" x14ac:dyDescent="0.35">
      <c r="BV944" s="140"/>
      <c r="BY944" s="141"/>
      <c r="BZ944" s="141"/>
      <c r="CA944" s="141"/>
      <c r="CB944" s="141"/>
      <c r="CC944" s="141"/>
      <c r="CD944" s="141"/>
      <c r="CE944" s="141"/>
      <c r="CF944" s="141"/>
      <c r="CG944" s="141"/>
      <c r="CH944" s="141"/>
      <c r="CI944" s="141"/>
      <c r="CJ944" s="141"/>
      <c r="CK944" s="141"/>
    </row>
    <row r="945" spans="74:89" ht="49.5" customHeight="1" x14ac:dyDescent="0.35">
      <c r="BV945" s="140"/>
      <c r="BY945" s="141"/>
      <c r="BZ945" s="141"/>
      <c r="CA945" s="141"/>
      <c r="CB945" s="141"/>
      <c r="CC945" s="141"/>
      <c r="CD945" s="141"/>
      <c r="CE945" s="141"/>
      <c r="CF945" s="141"/>
      <c r="CG945" s="141"/>
      <c r="CH945" s="141"/>
      <c r="CI945" s="141"/>
      <c r="CJ945" s="141"/>
      <c r="CK945" s="141"/>
    </row>
    <row r="946" spans="74:89" ht="49.5" customHeight="1" x14ac:dyDescent="0.35">
      <c r="BV946" s="140"/>
      <c r="BY946" s="141"/>
      <c r="BZ946" s="141"/>
      <c r="CA946" s="141"/>
      <c r="CB946" s="141"/>
      <c r="CC946" s="141"/>
      <c r="CD946" s="141"/>
      <c r="CE946" s="141"/>
      <c r="CF946" s="141"/>
      <c r="CG946" s="141"/>
      <c r="CH946" s="141"/>
      <c r="CI946" s="141"/>
      <c r="CJ946" s="141"/>
      <c r="CK946" s="141"/>
    </row>
    <row r="947" spans="74:89" ht="49.5" customHeight="1" x14ac:dyDescent="0.35">
      <c r="BV947" s="140"/>
      <c r="BY947" s="141"/>
      <c r="BZ947" s="141"/>
      <c r="CA947" s="141"/>
      <c r="CB947" s="141"/>
      <c r="CC947" s="141"/>
      <c r="CD947" s="141"/>
      <c r="CE947" s="141"/>
      <c r="CF947" s="141"/>
      <c r="CG947" s="141"/>
      <c r="CH947" s="141"/>
      <c r="CI947" s="141"/>
      <c r="CJ947" s="141"/>
      <c r="CK947" s="141"/>
    </row>
    <row r="948" spans="74:89" ht="49.5" customHeight="1" x14ac:dyDescent="0.35">
      <c r="BV948" s="140"/>
      <c r="BY948" s="141"/>
      <c r="BZ948" s="141"/>
      <c r="CA948" s="141"/>
      <c r="CB948" s="141"/>
      <c r="CC948" s="141"/>
      <c r="CD948" s="141"/>
      <c r="CE948" s="141"/>
      <c r="CF948" s="141"/>
      <c r="CG948" s="141"/>
      <c r="CH948" s="141"/>
      <c r="CI948" s="141"/>
      <c r="CJ948" s="141"/>
      <c r="CK948" s="141"/>
    </row>
    <row r="949" spans="74:89" ht="49.5" customHeight="1" x14ac:dyDescent="0.35">
      <c r="BV949" s="140"/>
      <c r="BY949" s="141"/>
      <c r="BZ949" s="141"/>
      <c r="CA949" s="141"/>
      <c r="CB949" s="141"/>
      <c r="CC949" s="141"/>
      <c r="CD949" s="141"/>
      <c r="CE949" s="141"/>
      <c r="CF949" s="141"/>
      <c r="CG949" s="141"/>
      <c r="CH949" s="141"/>
      <c r="CI949" s="141"/>
      <c r="CJ949" s="141"/>
      <c r="CK949" s="141"/>
    </row>
    <row r="950" spans="74:89" ht="49.5" customHeight="1" x14ac:dyDescent="0.35">
      <c r="BV950" s="140"/>
      <c r="BY950" s="141"/>
      <c r="BZ950" s="141"/>
      <c r="CA950" s="141"/>
      <c r="CB950" s="141"/>
      <c r="CC950" s="141"/>
      <c r="CD950" s="141"/>
      <c r="CE950" s="141"/>
      <c r="CF950" s="141"/>
      <c r="CG950" s="141"/>
      <c r="CH950" s="141"/>
      <c r="CI950" s="141"/>
      <c r="CJ950" s="141"/>
      <c r="CK950" s="141"/>
    </row>
    <row r="951" spans="74:89" ht="49.5" customHeight="1" x14ac:dyDescent="0.35">
      <c r="BV951" s="140"/>
      <c r="BY951" s="141"/>
      <c r="BZ951" s="141"/>
      <c r="CA951" s="141"/>
      <c r="CB951" s="141"/>
      <c r="CC951" s="141"/>
      <c r="CD951" s="141"/>
      <c r="CE951" s="141"/>
      <c r="CF951" s="141"/>
      <c r="CG951" s="141"/>
      <c r="CH951" s="141"/>
      <c r="CI951" s="141"/>
      <c r="CJ951" s="141"/>
      <c r="CK951" s="141"/>
    </row>
    <row r="952" spans="74:89" ht="49.5" customHeight="1" x14ac:dyDescent="0.35">
      <c r="BV952" s="140"/>
      <c r="BY952" s="141"/>
      <c r="BZ952" s="141"/>
      <c r="CA952" s="141"/>
      <c r="CB952" s="141"/>
      <c r="CC952" s="141"/>
      <c r="CD952" s="141"/>
      <c r="CE952" s="141"/>
      <c r="CF952" s="141"/>
      <c r="CG952" s="141"/>
      <c r="CH952" s="141"/>
      <c r="CI952" s="141"/>
      <c r="CJ952" s="141"/>
      <c r="CK952" s="141"/>
    </row>
    <row r="953" spans="74:89" ht="49.5" customHeight="1" x14ac:dyDescent="0.35">
      <c r="BV953" s="140"/>
      <c r="BY953" s="141"/>
      <c r="BZ953" s="141"/>
      <c r="CA953" s="141"/>
      <c r="CB953" s="141"/>
      <c r="CC953" s="141"/>
      <c r="CD953" s="141"/>
      <c r="CE953" s="141"/>
      <c r="CF953" s="141"/>
      <c r="CG953" s="141"/>
      <c r="CH953" s="141"/>
      <c r="CI953" s="141"/>
      <c r="CJ953" s="141"/>
      <c r="CK953" s="141"/>
    </row>
    <row r="954" spans="74:89" ht="49.5" customHeight="1" x14ac:dyDescent="0.35">
      <c r="BV954" s="140"/>
      <c r="BY954" s="141"/>
      <c r="BZ954" s="141"/>
      <c r="CA954" s="141"/>
      <c r="CB954" s="141"/>
      <c r="CC954" s="141"/>
      <c r="CD954" s="141"/>
      <c r="CE954" s="141"/>
      <c r="CF954" s="141"/>
      <c r="CG954" s="141"/>
      <c r="CH954" s="141"/>
      <c r="CI954" s="141"/>
      <c r="CJ954" s="141"/>
      <c r="CK954" s="141"/>
    </row>
    <row r="955" spans="74:89" ht="49.5" customHeight="1" x14ac:dyDescent="0.35">
      <c r="BV955" s="140"/>
      <c r="BY955" s="141"/>
      <c r="BZ955" s="141"/>
      <c r="CA955" s="141"/>
      <c r="CB955" s="141"/>
      <c r="CC955" s="141"/>
      <c r="CD955" s="141"/>
      <c r="CE955" s="141"/>
      <c r="CF955" s="141"/>
      <c r="CG955" s="141"/>
      <c r="CH955" s="141"/>
      <c r="CI955" s="141"/>
      <c r="CJ955" s="141"/>
      <c r="CK955" s="141"/>
    </row>
    <row r="956" spans="74:89" ht="49.5" customHeight="1" x14ac:dyDescent="0.35">
      <c r="BV956" s="140"/>
      <c r="BY956" s="141"/>
      <c r="BZ956" s="141"/>
      <c r="CA956" s="141"/>
      <c r="CB956" s="141"/>
      <c r="CC956" s="141"/>
      <c r="CD956" s="141"/>
      <c r="CE956" s="141"/>
      <c r="CF956" s="141"/>
      <c r="CG956" s="141"/>
      <c r="CH956" s="141"/>
      <c r="CI956" s="141"/>
      <c r="CJ956" s="141"/>
      <c r="CK956" s="141"/>
    </row>
    <row r="957" spans="74:89" ht="49.5" customHeight="1" x14ac:dyDescent="0.35">
      <c r="BV957" s="140"/>
      <c r="BY957" s="141"/>
      <c r="BZ957" s="141"/>
      <c r="CA957" s="141"/>
      <c r="CB957" s="141"/>
      <c r="CC957" s="141"/>
      <c r="CD957" s="141"/>
      <c r="CE957" s="141"/>
      <c r="CF957" s="141"/>
      <c r="CG957" s="141"/>
      <c r="CH957" s="141"/>
      <c r="CI957" s="141"/>
      <c r="CJ957" s="141"/>
      <c r="CK957" s="141"/>
    </row>
    <row r="958" spans="74:89" ht="49.5" customHeight="1" x14ac:dyDescent="0.35">
      <c r="BV958" s="140"/>
      <c r="BY958" s="141"/>
      <c r="BZ958" s="141"/>
      <c r="CA958" s="141"/>
      <c r="CB958" s="141"/>
      <c r="CC958" s="141"/>
      <c r="CD958" s="141"/>
      <c r="CE958" s="141"/>
      <c r="CF958" s="141"/>
      <c r="CG958" s="141"/>
      <c r="CH958" s="141"/>
      <c r="CI958" s="141"/>
      <c r="CJ958" s="141"/>
      <c r="CK958" s="141"/>
    </row>
    <row r="959" spans="74:89" ht="49.5" customHeight="1" x14ac:dyDescent="0.35">
      <c r="BV959" s="140"/>
      <c r="BY959" s="141"/>
      <c r="BZ959" s="141"/>
      <c r="CA959" s="141"/>
      <c r="CB959" s="141"/>
      <c r="CC959" s="141"/>
      <c r="CD959" s="141"/>
      <c r="CE959" s="141"/>
      <c r="CF959" s="141"/>
      <c r="CG959" s="141"/>
      <c r="CH959" s="141"/>
      <c r="CI959" s="141"/>
      <c r="CJ959" s="141"/>
      <c r="CK959" s="141"/>
    </row>
    <row r="960" spans="74:89" ht="49.5" customHeight="1" x14ac:dyDescent="0.35">
      <c r="BV960" s="140"/>
      <c r="BY960" s="141"/>
      <c r="BZ960" s="141"/>
      <c r="CA960" s="141"/>
      <c r="CB960" s="141"/>
      <c r="CC960" s="141"/>
      <c r="CD960" s="141"/>
      <c r="CE960" s="141"/>
      <c r="CF960" s="141"/>
      <c r="CG960" s="141"/>
      <c r="CH960" s="141"/>
      <c r="CI960" s="141"/>
      <c r="CJ960" s="141"/>
      <c r="CK960" s="141"/>
    </row>
    <row r="961" spans="74:89" ht="49.5" customHeight="1" x14ac:dyDescent="0.35">
      <c r="BV961" s="140"/>
      <c r="BY961" s="141"/>
      <c r="BZ961" s="141"/>
      <c r="CA961" s="141"/>
      <c r="CB961" s="141"/>
      <c r="CC961" s="141"/>
      <c r="CD961" s="141"/>
      <c r="CE961" s="141"/>
      <c r="CF961" s="141"/>
      <c r="CG961" s="141"/>
      <c r="CH961" s="141"/>
      <c r="CI961" s="141"/>
      <c r="CJ961" s="141"/>
      <c r="CK961" s="141"/>
    </row>
    <row r="962" spans="74:89" ht="49.5" customHeight="1" x14ac:dyDescent="0.35">
      <c r="BV962" s="140"/>
      <c r="BY962" s="141"/>
      <c r="BZ962" s="141"/>
      <c r="CA962" s="141"/>
      <c r="CB962" s="141"/>
      <c r="CC962" s="141"/>
      <c r="CD962" s="141"/>
      <c r="CE962" s="141"/>
      <c r="CF962" s="141"/>
      <c r="CG962" s="141"/>
      <c r="CH962" s="141"/>
      <c r="CI962" s="141"/>
      <c r="CJ962" s="141"/>
      <c r="CK962" s="141"/>
    </row>
    <row r="963" spans="74:89" ht="49.5" customHeight="1" x14ac:dyDescent="0.35">
      <c r="BV963" s="140"/>
      <c r="BY963" s="141"/>
      <c r="BZ963" s="141"/>
      <c r="CA963" s="141"/>
      <c r="CB963" s="141"/>
      <c r="CC963" s="141"/>
      <c r="CD963" s="141"/>
      <c r="CE963" s="141"/>
      <c r="CF963" s="141"/>
      <c r="CG963" s="141"/>
      <c r="CH963" s="141"/>
      <c r="CI963" s="141"/>
      <c r="CJ963" s="141"/>
      <c r="CK963" s="141"/>
    </row>
    <row r="964" spans="74:89" ht="49.5" customHeight="1" x14ac:dyDescent="0.35">
      <c r="BV964" s="140"/>
      <c r="BY964" s="141"/>
      <c r="BZ964" s="141"/>
      <c r="CA964" s="141"/>
      <c r="CB964" s="141"/>
      <c r="CC964" s="141"/>
      <c r="CD964" s="141"/>
      <c r="CE964" s="141"/>
      <c r="CF964" s="141"/>
      <c r="CG964" s="141"/>
      <c r="CH964" s="141"/>
      <c r="CI964" s="141"/>
      <c r="CJ964" s="141"/>
      <c r="CK964" s="141"/>
    </row>
    <row r="965" spans="74:89" ht="49.5" customHeight="1" x14ac:dyDescent="0.35">
      <c r="BV965" s="140"/>
      <c r="BY965" s="141"/>
      <c r="BZ965" s="141"/>
      <c r="CA965" s="141"/>
      <c r="CB965" s="141"/>
      <c r="CC965" s="141"/>
      <c r="CD965" s="141"/>
      <c r="CE965" s="141"/>
      <c r="CF965" s="141"/>
      <c r="CG965" s="141"/>
      <c r="CH965" s="141"/>
      <c r="CI965" s="141"/>
      <c r="CJ965" s="141"/>
      <c r="CK965" s="141"/>
    </row>
    <row r="966" spans="74:89" ht="49.5" customHeight="1" x14ac:dyDescent="0.35">
      <c r="BV966" s="140"/>
      <c r="BY966" s="141"/>
      <c r="BZ966" s="141"/>
      <c r="CA966" s="141"/>
      <c r="CB966" s="141"/>
      <c r="CC966" s="141"/>
      <c r="CD966" s="141"/>
      <c r="CE966" s="141"/>
      <c r="CF966" s="141"/>
      <c r="CG966" s="141"/>
      <c r="CH966" s="141"/>
      <c r="CI966" s="141"/>
      <c r="CJ966" s="141"/>
      <c r="CK966" s="141"/>
    </row>
    <row r="967" spans="74:89" ht="49.5" customHeight="1" x14ac:dyDescent="0.35">
      <c r="BV967" s="140"/>
      <c r="BY967" s="141"/>
      <c r="BZ967" s="141"/>
      <c r="CA967" s="141"/>
      <c r="CB967" s="141"/>
      <c r="CC967" s="141"/>
      <c r="CD967" s="141"/>
      <c r="CE967" s="141"/>
      <c r="CF967" s="141"/>
      <c r="CG967" s="141"/>
      <c r="CH967" s="141"/>
      <c r="CI967" s="141"/>
      <c r="CJ967" s="141"/>
      <c r="CK967" s="141"/>
    </row>
    <row r="968" spans="74:89" ht="49.5" customHeight="1" x14ac:dyDescent="0.35">
      <c r="BV968" s="140"/>
      <c r="BY968" s="141"/>
      <c r="BZ968" s="141"/>
      <c r="CA968" s="141"/>
      <c r="CB968" s="141"/>
      <c r="CC968" s="141"/>
      <c r="CD968" s="141"/>
      <c r="CE968" s="141"/>
      <c r="CF968" s="141"/>
      <c r="CG968" s="141"/>
      <c r="CH968" s="141"/>
      <c r="CI968" s="141"/>
      <c r="CJ968" s="141"/>
      <c r="CK968" s="141"/>
    </row>
    <row r="969" spans="74:89" ht="49.5" customHeight="1" x14ac:dyDescent="0.35">
      <c r="BV969" s="140"/>
      <c r="BY969" s="141"/>
      <c r="BZ969" s="141"/>
      <c r="CA969" s="141"/>
      <c r="CB969" s="141"/>
      <c r="CC969" s="141"/>
      <c r="CD969" s="141"/>
      <c r="CE969" s="141"/>
      <c r="CF969" s="141"/>
      <c r="CG969" s="141"/>
      <c r="CH969" s="141"/>
      <c r="CI969" s="141"/>
      <c r="CJ969" s="141"/>
      <c r="CK969" s="141"/>
    </row>
    <row r="970" spans="74:89" ht="49.5" customHeight="1" x14ac:dyDescent="0.35">
      <c r="BV970" s="140"/>
      <c r="BY970" s="141"/>
      <c r="BZ970" s="141"/>
      <c r="CA970" s="141"/>
      <c r="CB970" s="141"/>
      <c r="CC970" s="141"/>
      <c r="CD970" s="141"/>
      <c r="CE970" s="141"/>
      <c r="CF970" s="141"/>
      <c r="CG970" s="141"/>
      <c r="CH970" s="141"/>
      <c r="CI970" s="141"/>
      <c r="CJ970" s="141"/>
      <c r="CK970" s="141"/>
    </row>
    <row r="971" spans="74:89" ht="49.5" customHeight="1" x14ac:dyDescent="0.35">
      <c r="BV971" s="140"/>
      <c r="BY971" s="141"/>
      <c r="BZ971" s="141"/>
      <c r="CA971" s="141"/>
      <c r="CB971" s="141"/>
      <c r="CC971" s="141"/>
      <c r="CD971" s="141"/>
      <c r="CE971" s="141"/>
      <c r="CF971" s="141"/>
      <c r="CG971" s="141"/>
      <c r="CH971" s="141"/>
      <c r="CI971" s="141"/>
      <c r="CJ971" s="141"/>
      <c r="CK971" s="141"/>
    </row>
    <row r="972" spans="74:89" ht="49.5" customHeight="1" x14ac:dyDescent="0.35">
      <c r="BV972" s="140"/>
      <c r="BY972" s="141"/>
      <c r="BZ972" s="141"/>
      <c r="CA972" s="141"/>
      <c r="CB972" s="141"/>
      <c r="CC972" s="141"/>
      <c r="CD972" s="141"/>
      <c r="CE972" s="141"/>
      <c r="CF972" s="141"/>
      <c r="CG972" s="141"/>
      <c r="CH972" s="141"/>
      <c r="CI972" s="141"/>
      <c r="CJ972" s="141"/>
      <c r="CK972" s="141"/>
    </row>
  </sheetData>
  <mergeCells count="82">
    <mergeCell ref="BG6:BG7"/>
    <mergeCell ref="CK6:CK7"/>
    <mergeCell ref="BB6:BB7"/>
    <mergeCell ref="BC6:BC7"/>
    <mergeCell ref="BD6:BD7"/>
    <mergeCell ref="BE6:BE7"/>
    <mergeCell ref="BF6:BF7"/>
    <mergeCell ref="AP6:AP7"/>
    <mergeCell ref="AW6:AW7"/>
    <mergeCell ref="AX6:AX7"/>
    <mergeCell ref="AZ6:AZ7"/>
    <mergeCell ref="BA6:BA7"/>
    <mergeCell ref="AA6:AC6"/>
    <mergeCell ref="AD6:AF6"/>
    <mergeCell ref="AG6:AI6"/>
    <mergeCell ref="AJ6:AL6"/>
    <mergeCell ref="AM6:AO6"/>
    <mergeCell ref="V5:W5"/>
    <mergeCell ref="Y5:Z5"/>
    <mergeCell ref="A6:A7"/>
    <mergeCell ref="B6:B7"/>
    <mergeCell ref="C6:C7"/>
    <mergeCell ref="D6:D7"/>
    <mergeCell ref="E6:E7"/>
    <mergeCell ref="F6:H6"/>
    <mergeCell ref="I6:K6"/>
    <mergeCell ref="L6:N6"/>
    <mergeCell ref="O6:Q6"/>
    <mergeCell ref="R6:T6"/>
    <mergeCell ref="U6:W6"/>
    <mergeCell ref="X6:Z6"/>
    <mergeCell ref="G5:H5"/>
    <mergeCell ref="J5:K5"/>
    <mergeCell ref="M5:N5"/>
    <mergeCell ref="P5:Q5"/>
    <mergeCell ref="S5:T5"/>
    <mergeCell ref="AZ5:BF5"/>
    <mergeCell ref="BI5:BS5"/>
    <mergeCell ref="BV5:BX5"/>
    <mergeCell ref="CF5:CK5"/>
    <mergeCell ref="AB5:AC5"/>
    <mergeCell ref="AE5:AF5"/>
    <mergeCell ref="AH5:AI5"/>
    <mergeCell ref="AK5:AL5"/>
    <mergeCell ref="AN5:AP5"/>
    <mergeCell ref="AR5:AS5"/>
    <mergeCell ref="AU5:AV5"/>
    <mergeCell ref="BX6:BX7"/>
    <mergeCell ref="BY6:CJ6"/>
    <mergeCell ref="BQ6:BQ7"/>
    <mergeCell ref="BR6:BR7"/>
    <mergeCell ref="BS6:BS7"/>
    <mergeCell ref="BT6:BT7"/>
    <mergeCell ref="BU6:BU7"/>
    <mergeCell ref="BV6:BV7"/>
    <mergeCell ref="BW6:BW7"/>
    <mergeCell ref="BB44:BB45"/>
    <mergeCell ref="BC44:BC45"/>
    <mergeCell ref="A46:B46"/>
    <mergeCell ref="BW44:BW45"/>
    <mergeCell ref="CK44:CK45"/>
    <mergeCell ref="BD44:BD45"/>
    <mergeCell ref="BE44:BE45"/>
    <mergeCell ref="BF44:BF45"/>
    <mergeCell ref="BG44:BG45"/>
    <mergeCell ref="BH44:BH45"/>
    <mergeCell ref="BS44:BS45"/>
    <mergeCell ref="BU44:BU45"/>
    <mergeCell ref="A44:B45"/>
    <mergeCell ref="C44:C45"/>
    <mergeCell ref="F44:AX44"/>
    <mergeCell ref="AZ44:AZ45"/>
    <mergeCell ref="BA44:BA45"/>
    <mergeCell ref="BO6:BO7"/>
    <mergeCell ref="BP6:BP7"/>
    <mergeCell ref="BH6:BH7"/>
    <mergeCell ref="BI6:BI7"/>
    <mergeCell ref="BJ6:BJ7"/>
    <mergeCell ref="BK6:BK7"/>
    <mergeCell ref="BL6:BL7"/>
    <mergeCell ref="BM6:BM7"/>
    <mergeCell ref="BN6:BN7"/>
  </mergeCells>
  <conditionalFormatting sqref="AZ8:AZ42">
    <cfRule type="cellIs" dxfId="64" priority="1" operator="lessThan">
      <formula>0.5</formula>
    </cfRule>
  </conditionalFormatting>
  <conditionalFormatting sqref="BA8:BA42">
    <cfRule type="cellIs" dxfId="63" priority="2" operator="lessThan">
      <formula>0.2</formula>
    </cfRule>
  </conditionalFormatting>
  <conditionalFormatting sqref="BB8:BB42">
    <cfRule type="cellIs" dxfId="62" priority="3" operator="lessThan">
      <formula>0.4</formula>
    </cfRule>
  </conditionalFormatting>
  <conditionalFormatting sqref="BV8:BV42">
    <cfRule type="cellIs" dxfId="61" priority="4" operator="lessThan">
      <formula>23</formula>
    </cfRule>
    <cfRule type="cellIs" dxfId="60" priority="5" operator="greaterThan">
      <formula>22.99</formula>
    </cfRule>
  </conditionalFormatting>
  <conditionalFormatting sqref="BW8:BW42">
    <cfRule type="cellIs" dxfId="59" priority="6" operator="greaterThan">
      <formula>0</formula>
    </cfRule>
    <cfRule type="cellIs" dxfId="58" priority="7" operator="lessThan">
      <formula>0</formula>
    </cfRule>
  </conditionalFormatting>
  <conditionalFormatting sqref="BX8:BX42">
    <cfRule type="cellIs" dxfId="57" priority="8" operator="greaterThan">
      <formula>0</formula>
    </cfRule>
    <cfRule type="cellIs" dxfId="56" priority="9" operator="lessThan">
      <formula>0</formula>
    </cfRule>
  </conditionalFormatting>
  <conditionalFormatting sqref="CF8:CI42">
    <cfRule type="cellIs" dxfId="55" priority="12" operator="greaterThan">
      <formula>2.99%</formula>
    </cfRule>
  </conditionalFormatting>
  <conditionalFormatting sqref="CF8:CJ42">
    <cfRule type="cellIs" dxfId="54" priority="13" operator="lessThan">
      <formula>3%</formula>
    </cfRule>
  </conditionalFormatting>
  <conditionalFormatting sqref="CK8:CK42">
    <cfRule type="cellIs" dxfId="53" priority="10" operator="greaterThan">
      <formula>0</formula>
    </cfRule>
    <cfRule type="cellIs" dxfId="52" priority="11" operator="lessThan">
      <formula>0</formula>
    </cfRule>
  </conditionalFormatting>
  <pageMargins left="0.25" right="0.25" top="8.7152149459578443E-2" bottom="0.18882965716241995" header="0" footer="0"/>
  <pageSetup paperSize="9" fitToWidth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CL971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53125" defaultRowHeight="15" customHeight="1" x14ac:dyDescent="0.35"/>
  <cols>
    <col min="1" max="1" width="9.81640625" customWidth="1"/>
    <col min="2" max="2" width="10.54296875" hidden="1" customWidth="1"/>
    <col min="3" max="3" width="15.54296875" customWidth="1"/>
    <col min="4" max="4" width="12.453125" hidden="1" customWidth="1"/>
    <col min="5" max="5" width="16" hidden="1" customWidth="1"/>
    <col min="6" max="6" width="20.453125" hidden="1" customWidth="1"/>
    <col min="7" max="7" width="18.7265625" hidden="1" customWidth="1"/>
    <col min="8" max="8" width="15.453125" hidden="1" customWidth="1"/>
    <col min="9" max="10" width="9.08984375" customWidth="1"/>
    <col min="11" max="11" width="10.7265625" customWidth="1"/>
    <col min="12" max="12" width="9.08984375" hidden="1" customWidth="1"/>
    <col min="13" max="13" width="9.08984375" customWidth="1"/>
    <col min="14" max="14" width="9.08984375" hidden="1" customWidth="1"/>
    <col min="15" max="16" width="9.08984375" customWidth="1"/>
    <col min="17" max="17" width="11.81640625" customWidth="1"/>
    <col min="18" max="19" width="9.08984375" customWidth="1"/>
    <col min="20" max="20" width="11.453125" customWidth="1"/>
    <col min="21" max="22" width="9.08984375" customWidth="1"/>
    <col min="23" max="23" width="10.7265625" customWidth="1"/>
    <col min="24" max="25" width="9.08984375" customWidth="1"/>
    <col min="26" max="26" width="9.81640625" customWidth="1"/>
    <col min="27" max="28" width="9.08984375" customWidth="1"/>
    <col min="29" max="29" width="11.54296875" customWidth="1"/>
    <col min="30" max="31" width="9.08984375" customWidth="1"/>
    <col min="32" max="32" width="11.26953125" customWidth="1"/>
    <col min="33" max="34" width="9.08984375" customWidth="1"/>
    <col min="35" max="35" width="11.54296875" customWidth="1"/>
    <col min="36" max="40" width="9.08984375" customWidth="1"/>
    <col min="41" max="41" width="11.08984375" customWidth="1"/>
    <col min="42" max="42" width="10.7265625" customWidth="1"/>
    <col min="43" max="49" width="9.08984375" customWidth="1"/>
    <col min="50" max="50" width="15" customWidth="1"/>
    <col min="51" max="51" width="9.08984375" customWidth="1"/>
    <col min="52" max="52" width="12.08984375" customWidth="1"/>
    <col min="53" max="53" width="14" customWidth="1"/>
    <col min="54" max="58" width="9.08984375" customWidth="1"/>
    <col min="59" max="59" width="13.08984375" customWidth="1"/>
    <col min="60" max="60" width="14.7265625" customWidth="1"/>
    <col min="61" max="61" width="9.08984375" customWidth="1"/>
    <col min="62" max="62" width="10.08984375" hidden="1" customWidth="1"/>
    <col min="63" max="72" width="9.08984375" hidden="1" customWidth="1"/>
    <col min="73" max="73" width="12.453125" customWidth="1"/>
    <col min="74" max="74" width="9.08984375" customWidth="1"/>
    <col min="75" max="75" width="11" customWidth="1"/>
    <col min="76" max="76" width="9.08984375" customWidth="1"/>
    <col min="77" max="77" width="10.54296875" customWidth="1"/>
    <col min="78" max="81" width="10.453125" customWidth="1"/>
    <col min="82" max="82" width="9.7265625" customWidth="1"/>
    <col min="83" max="83" width="9.08984375" customWidth="1"/>
    <col min="84" max="88" width="9.08984375" hidden="1" customWidth="1"/>
    <col min="89" max="90" width="11.7265625" customWidth="1"/>
  </cols>
  <sheetData>
    <row r="1" spans="1:90" ht="21.75" customHeight="1" x14ac:dyDescent="0.35">
      <c r="A1" s="3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10"/>
      <c r="CL1" s="11"/>
    </row>
    <row r="2" spans="1:90" ht="1.5" customHeight="1" x14ac:dyDescent="0.3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4"/>
      <c r="CL2" s="11"/>
    </row>
    <row r="3" spans="1:90" ht="16.5" customHeight="1" x14ac:dyDescent="0.35">
      <c r="A3" s="15" t="s">
        <v>10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7" t="s">
        <v>13</v>
      </c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8"/>
      <c r="CL3" s="25"/>
    </row>
    <row r="4" spans="1:90" ht="9.75" customHeight="1" x14ac:dyDescent="0.35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2"/>
      <c r="CL4" s="25"/>
    </row>
    <row r="5" spans="1:90" ht="27" customHeight="1" x14ac:dyDescent="0.35">
      <c r="A5" s="23"/>
      <c r="B5" s="23"/>
      <c r="C5" s="23"/>
      <c r="D5" s="23"/>
      <c r="E5" s="23"/>
      <c r="F5" s="24"/>
      <c r="G5" s="411" t="s">
        <v>16</v>
      </c>
      <c r="H5" s="406"/>
      <c r="I5" s="24"/>
      <c r="J5" s="411" t="s">
        <v>16</v>
      </c>
      <c r="K5" s="406"/>
      <c r="L5" s="26"/>
      <c r="M5" s="411" t="s">
        <v>16</v>
      </c>
      <c r="N5" s="406"/>
      <c r="O5" s="27"/>
      <c r="P5" s="411" t="s">
        <v>16</v>
      </c>
      <c r="Q5" s="406"/>
      <c r="R5" s="26"/>
      <c r="S5" s="411" t="s">
        <v>16</v>
      </c>
      <c r="T5" s="406"/>
      <c r="U5" s="27"/>
      <c r="V5" s="411" t="s">
        <v>16</v>
      </c>
      <c r="W5" s="406"/>
      <c r="X5" s="27"/>
      <c r="Y5" s="411" t="s">
        <v>16</v>
      </c>
      <c r="Z5" s="406"/>
      <c r="AA5" s="27"/>
      <c r="AB5" s="411" t="s">
        <v>16</v>
      </c>
      <c r="AC5" s="406"/>
      <c r="AD5" s="27"/>
      <c r="AE5" s="411" t="s">
        <v>16</v>
      </c>
      <c r="AF5" s="406"/>
      <c r="AG5" s="27"/>
      <c r="AH5" s="411" t="s">
        <v>16</v>
      </c>
      <c r="AI5" s="406"/>
      <c r="AJ5" s="26"/>
      <c r="AK5" s="411" t="s">
        <v>16</v>
      </c>
      <c r="AL5" s="406"/>
      <c r="AM5" s="26"/>
      <c r="AN5" s="409" t="s">
        <v>17</v>
      </c>
      <c r="AO5" s="406"/>
      <c r="AP5" s="406"/>
      <c r="AQ5" s="26"/>
      <c r="AR5" s="412" t="s">
        <v>17</v>
      </c>
      <c r="AS5" s="406"/>
      <c r="AT5" s="26"/>
      <c r="AU5" s="412" t="s">
        <v>17</v>
      </c>
      <c r="AV5" s="406"/>
      <c r="AW5" s="26"/>
      <c r="AX5" s="28" t="s">
        <v>18</v>
      </c>
      <c r="AY5" s="29"/>
      <c r="AZ5" s="409" t="s">
        <v>19</v>
      </c>
      <c r="BA5" s="406"/>
      <c r="BB5" s="406"/>
      <c r="BC5" s="406"/>
      <c r="BD5" s="406"/>
      <c r="BE5" s="406"/>
      <c r="BF5" s="406"/>
      <c r="BG5" s="27"/>
      <c r="BH5" s="30"/>
      <c r="BI5" s="409" t="s">
        <v>19</v>
      </c>
      <c r="BJ5" s="406"/>
      <c r="BK5" s="406"/>
      <c r="BL5" s="406"/>
      <c r="BM5" s="406"/>
      <c r="BN5" s="406"/>
      <c r="BO5" s="406"/>
      <c r="BP5" s="406"/>
      <c r="BQ5" s="406"/>
      <c r="BR5" s="406"/>
      <c r="BS5" s="406"/>
      <c r="BT5" s="31"/>
      <c r="BU5" s="23"/>
      <c r="BV5" s="410" t="s">
        <v>21</v>
      </c>
      <c r="BW5" s="406"/>
      <c r="BX5" s="406"/>
      <c r="BY5" s="23"/>
      <c r="BZ5" s="23"/>
      <c r="CA5" s="23"/>
      <c r="CB5" s="23"/>
      <c r="CC5" s="23"/>
      <c r="CD5" s="23"/>
      <c r="CE5" s="23"/>
      <c r="CF5" s="409" t="s">
        <v>19</v>
      </c>
      <c r="CG5" s="406"/>
      <c r="CH5" s="406"/>
      <c r="CI5" s="406"/>
      <c r="CJ5" s="406"/>
      <c r="CK5" s="406"/>
      <c r="CL5" s="32"/>
    </row>
    <row r="6" spans="1:90" ht="27" customHeight="1" x14ac:dyDescent="0.35">
      <c r="A6" s="413" t="s">
        <v>22</v>
      </c>
      <c r="B6" s="382" t="s">
        <v>23</v>
      </c>
      <c r="C6" s="404" t="s">
        <v>24</v>
      </c>
      <c r="D6" s="404" t="s">
        <v>25</v>
      </c>
      <c r="E6" s="404" t="s">
        <v>26</v>
      </c>
      <c r="F6" s="414" t="s">
        <v>27</v>
      </c>
      <c r="G6" s="415"/>
      <c r="H6" s="415"/>
      <c r="I6" s="416" t="s">
        <v>28</v>
      </c>
      <c r="J6" s="406"/>
      <c r="K6" s="407"/>
      <c r="L6" s="416" t="s">
        <v>29</v>
      </c>
      <c r="M6" s="406"/>
      <c r="N6" s="407"/>
      <c r="O6" s="416" t="s">
        <v>30</v>
      </c>
      <c r="P6" s="406"/>
      <c r="Q6" s="407"/>
      <c r="R6" s="416" t="s">
        <v>31</v>
      </c>
      <c r="S6" s="406"/>
      <c r="T6" s="407"/>
      <c r="U6" s="416" t="s">
        <v>32</v>
      </c>
      <c r="V6" s="406"/>
      <c r="W6" s="407"/>
      <c r="X6" s="416" t="s">
        <v>33</v>
      </c>
      <c r="Y6" s="406"/>
      <c r="Z6" s="407"/>
      <c r="AA6" s="416" t="s">
        <v>34</v>
      </c>
      <c r="AB6" s="406"/>
      <c r="AC6" s="407"/>
      <c r="AD6" s="416" t="s">
        <v>35</v>
      </c>
      <c r="AE6" s="406"/>
      <c r="AF6" s="407"/>
      <c r="AG6" s="416" t="s">
        <v>36</v>
      </c>
      <c r="AH6" s="406"/>
      <c r="AI6" s="407"/>
      <c r="AJ6" s="416" t="s">
        <v>37</v>
      </c>
      <c r="AK6" s="406"/>
      <c r="AL6" s="407"/>
      <c r="AM6" s="416" t="s">
        <v>38</v>
      </c>
      <c r="AN6" s="406"/>
      <c r="AO6" s="406"/>
      <c r="AP6" s="417" t="s">
        <v>40</v>
      </c>
      <c r="AQ6" s="33"/>
      <c r="AR6" s="33"/>
      <c r="AS6" s="33"/>
      <c r="AT6" s="33"/>
      <c r="AU6" s="33"/>
      <c r="AV6" s="33"/>
      <c r="AW6" s="418" t="s">
        <v>41</v>
      </c>
      <c r="AX6" s="417" t="s">
        <v>42</v>
      </c>
      <c r="AY6" s="34"/>
      <c r="AZ6" s="419" t="s">
        <v>43</v>
      </c>
      <c r="BA6" s="421" t="s">
        <v>44</v>
      </c>
      <c r="BB6" s="421" t="s">
        <v>45</v>
      </c>
      <c r="BC6" s="421" t="s">
        <v>46</v>
      </c>
      <c r="BD6" s="421" t="s">
        <v>47</v>
      </c>
      <c r="BE6" s="421" t="s">
        <v>48</v>
      </c>
      <c r="BF6" s="421" t="s">
        <v>49</v>
      </c>
      <c r="BG6" s="421" t="s">
        <v>50</v>
      </c>
      <c r="BH6" s="380" t="s">
        <v>51</v>
      </c>
      <c r="BI6" s="380" t="s">
        <v>52</v>
      </c>
      <c r="BJ6" s="381" t="s">
        <v>53</v>
      </c>
      <c r="BK6" s="381" t="s">
        <v>54</v>
      </c>
      <c r="BL6" s="382" t="s">
        <v>23</v>
      </c>
      <c r="BM6" s="379" t="s">
        <v>55</v>
      </c>
      <c r="BN6" s="379" t="s">
        <v>56</v>
      </c>
      <c r="BO6" s="379" t="s">
        <v>57</v>
      </c>
      <c r="BP6" s="379" t="s">
        <v>58</v>
      </c>
      <c r="BQ6" s="379" t="s">
        <v>59</v>
      </c>
      <c r="BR6" s="379" t="s">
        <v>60</v>
      </c>
      <c r="BS6" s="379" t="s">
        <v>62</v>
      </c>
      <c r="BT6" s="379" t="s">
        <v>63</v>
      </c>
      <c r="BU6" s="379" t="s">
        <v>64</v>
      </c>
      <c r="BV6" s="408" t="s">
        <v>65</v>
      </c>
      <c r="BW6" s="404" t="s">
        <v>8</v>
      </c>
      <c r="BX6" s="404" t="s">
        <v>66</v>
      </c>
      <c r="BY6" s="405" t="s">
        <v>67</v>
      </c>
      <c r="BZ6" s="406"/>
      <c r="CA6" s="406"/>
      <c r="CB6" s="406"/>
      <c r="CC6" s="406"/>
      <c r="CD6" s="406"/>
      <c r="CE6" s="406"/>
      <c r="CF6" s="406"/>
      <c r="CG6" s="406"/>
      <c r="CH6" s="406"/>
      <c r="CI6" s="406"/>
      <c r="CJ6" s="407"/>
      <c r="CK6" s="422" t="s">
        <v>68</v>
      </c>
      <c r="CL6" s="424" t="s">
        <v>81</v>
      </c>
    </row>
    <row r="7" spans="1:90" ht="49.5" customHeight="1" x14ac:dyDescent="0.35">
      <c r="A7" s="378"/>
      <c r="B7" s="378"/>
      <c r="C7" s="378"/>
      <c r="D7" s="378"/>
      <c r="E7" s="378"/>
      <c r="F7" s="36" t="s">
        <v>69</v>
      </c>
      <c r="G7" s="37" t="s">
        <v>70</v>
      </c>
      <c r="H7" s="38" t="s">
        <v>71</v>
      </c>
      <c r="I7" s="39" t="s">
        <v>72</v>
      </c>
      <c r="J7" s="40" t="s">
        <v>70</v>
      </c>
      <c r="K7" s="41" t="s">
        <v>71</v>
      </c>
      <c r="L7" s="42" t="s">
        <v>73</v>
      </c>
      <c r="M7" s="37" t="s">
        <v>70</v>
      </c>
      <c r="N7" s="43" t="s">
        <v>71</v>
      </c>
      <c r="O7" s="36" t="s">
        <v>74</v>
      </c>
      <c r="P7" s="37" t="s">
        <v>70</v>
      </c>
      <c r="Q7" s="43" t="s">
        <v>71</v>
      </c>
      <c r="R7" s="36" t="s">
        <v>31</v>
      </c>
      <c r="S7" s="37" t="s">
        <v>70</v>
      </c>
      <c r="T7" s="43" t="s">
        <v>71</v>
      </c>
      <c r="U7" s="36" t="s">
        <v>75</v>
      </c>
      <c r="V7" s="37" t="s">
        <v>70</v>
      </c>
      <c r="W7" s="43" t="s">
        <v>71</v>
      </c>
      <c r="X7" s="36" t="s">
        <v>76</v>
      </c>
      <c r="Y7" s="37" t="s">
        <v>70</v>
      </c>
      <c r="Z7" s="43" t="s">
        <v>71</v>
      </c>
      <c r="AA7" s="36" t="s">
        <v>77</v>
      </c>
      <c r="AB7" s="37" t="s">
        <v>70</v>
      </c>
      <c r="AC7" s="43" t="s">
        <v>71</v>
      </c>
      <c r="AD7" s="36" t="s">
        <v>79</v>
      </c>
      <c r="AE7" s="37" t="s">
        <v>70</v>
      </c>
      <c r="AF7" s="43" t="s">
        <v>71</v>
      </c>
      <c r="AG7" s="44" t="s">
        <v>80</v>
      </c>
      <c r="AH7" s="37" t="s">
        <v>70</v>
      </c>
      <c r="AI7" s="43" t="s">
        <v>71</v>
      </c>
      <c r="AJ7" s="36" t="s">
        <v>82</v>
      </c>
      <c r="AK7" s="37" t="s">
        <v>70</v>
      </c>
      <c r="AL7" s="43" t="s">
        <v>71</v>
      </c>
      <c r="AM7" s="36" t="s">
        <v>83</v>
      </c>
      <c r="AN7" s="37" t="s">
        <v>70</v>
      </c>
      <c r="AO7" s="38" t="s">
        <v>71</v>
      </c>
      <c r="AP7" s="378"/>
      <c r="AQ7" s="39" t="s">
        <v>84</v>
      </c>
      <c r="AR7" s="40" t="s">
        <v>85</v>
      </c>
      <c r="AS7" s="41" t="s">
        <v>86</v>
      </c>
      <c r="AT7" s="39" t="s">
        <v>87</v>
      </c>
      <c r="AU7" s="40" t="s">
        <v>88</v>
      </c>
      <c r="AV7" s="41" t="s">
        <v>86</v>
      </c>
      <c r="AW7" s="378"/>
      <c r="AX7" s="378"/>
      <c r="AY7" s="46" t="s">
        <v>89</v>
      </c>
      <c r="AZ7" s="420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378"/>
      <c r="BW7" s="378"/>
      <c r="BX7" s="378"/>
      <c r="BY7" s="47" t="s">
        <v>90</v>
      </c>
      <c r="BZ7" s="47" t="s">
        <v>91</v>
      </c>
      <c r="CA7" s="47" t="s">
        <v>92</v>
      </c>
      <c r="CB7" s="47" t="s">
        <v>93</v>
      </c>
      <c r="CC7" s="47" t="s">
        <v>55</v>
      </c>
      <c r="CD7" s="48" t="s">
        <v>57</v>
      </c>
      <c r="CE7" s="47" t="s">
        <v>59</v>
      </c>
      <c r="CF7" s="49" t="s">
        <v>90</v>
      </c>
      <c r="CG7" s="49" t="s">
        <v>91</v>
      </c>
      <c r="CH7" s="49" t="s">
        <v>92</v>
      </c>
      <c r="CI7" s="49" t="s">
        <v>93</v>
      </c>
      <c r="CJ7" s="49" t="s">
        <v>55</v>
      </c>
      <c r="CK7" s="378"/>
      <c r="CL7" s="386"/>
    </row>
    <row r="8" spans="1:90" ht="18.75" customHeight="1" x14ac:dyDescent="0.35">
      <c r="A8" s="423"/>
      <c r="B8" s="407"/>
      <c r="C8" s="58"/>
      <c r="D8" s="58"/>
      <c r="E8" s="58"/>
      <c r="F8" s="53"/>
      <c r="G8" s="57"/>
      <c r="H8" s="53"/>
      <c r="I8" s="53"/>
      <c r="J8" s="56"/>
      <c r="K8" s="53"/>
      <c r="L8" s="53"/>
      <c r="M8" s="57"/>
      <c r="N8" s="53"/>
      <c r="O8" s="53"/>
      <c r="P8" s="57"/>
      <c r="Q8" s="53"/>
      <c r="R8" s="53"/>
      <c r="S8" s="59"/>
      <c r="T8" s="53"/>
      <c r="U8" s="60"/>
      <c r="V8" s="57"/>
      <c r="W8" s="53"/>
      <c r="X8" s="53"/>
      <c r="Y8" s="57"/>
      <c r="Z8" s="53"/>
      <c r="AA8" s="53"/>
      <c r="AB8" s="57"/>
      <c r="AC8" s="53"/>
      <c r="AD8" s="53"/>
      <c r="AE8" s="57"/>
      <c r="AF8" s="53"/>
      <c r="AG8" s="53"/>
      <c r="AH8" s="57"/>
      <c r="AI8" s="53"/>
      <c r="AJ8" s="53"/>
      <c r="AK8" s="56"/>
      <c r="AL8" s="53"/>
      <c r="AM8" s="53"/>
      <c r="AN8" s="57"/>
      <c r="AO8" s="53"/>
      <c r="AP8" s="53"/>
      <c r="AQ8" s="53"/>
      <c r="AR8" s="61"/>
      <c r="AS8" s="53"/>
      <c r="AT8" s="53"/>
      <c r="AU8" s="55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62"/>
      <c r="BH8" s="63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5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3"/>
      <c r="CL8" s="45"/>
    </row>
    <row r="9" spans="1:90" ht="18.75" customHeight="1" x14ac:dyDescent="0.35">
      <c r="A9" s="50">
        <v>1</v>
      </c>
      <c r="B9" s="58">
        <v>9</v>
      </c>
      <c r="C9" s="52" t="s">
        <v>98</v>
      </c>
      <c r="D9" s="52"/>
      <c r="E9" s="52"/>
      <c r="F9" s="53"/>
      <c r="G9" s="54">
        <v>40</v>
      </c>
      <c r="H9" s="55">
        <f t="shared" ref="H9:H47" si="0">SUM(F9*G9)</f>
        <v>0</v>
      </c>
      <c r="I9" s="53">
        <v>23847</v>
      </c>
      <c r="J9" s="56">
        <v>50</v>
      </c>
      <c r="K9" s="55">
        <f t="shared" ref="K9:K47" si="1">J9*I9</f>
        <v>1192350</v>
      </c>
      <c r="L9" s="53"/>
      <c r="M9" s="57">
        <v>60</v>
      </c>
      <c r="N9" s="55">
        <f t="shared" ref="N9:N47" si="2">M9*L9</f>
        <v>0</v>
      </c>
      <c r="O9" s="53">
        <v>22769</v>
      </c>
      <c r="P9" s="57">
        <v>12</v>
      </c>
      <c r="Q9" s="55">
        <f t="shared" ref="Q9:Q47" si="3">O9*P9</f>
        <v>273228</v>
      </c>
      <c r="R9" s="53"/>
      <c r="S9" s="59">
        <v>12</v>
      </c>
      <c r="T9" s="55">
        <f t="shared" ref="T9:T47" si="4">R9*S9</f>
        <v>0</v>
      </c>
      <c r="U9" s="53">
        <v>4180</v>
      </c>
      <c r="V9" s="57">
        <v>8</v>
      </c>
      <c r="W9" s="55">
        <f t="shared" ref="W9:W47" si="5">U9*V9</f>
        <v>33440</v>
      </c>
      <c r="X9" s="53">
        <v>822</v>
      </c>
      <c r="Y9" s="57">
        <v>12</v>
      </c>
      <c r="Z9" s="55">
        <f t="shared" ref="Z9:Z47" si="6">X9*Y9</f>
        <v>9864</v>
      </c>
      <c r="AA9" s="53">
        <v>2701</v>
      </c>
      <c r="AB9" s="57">
        <v>10</v>
      </c>
      <c r="AC9" s="55">
        <f t="shared" ref="AC9:AC47" si="7">AA9*AB9</f>
        <v>27010</v>
      </c>
      <c r="AD9" s="53">
        <v>1290</v>
      </c>
      <c r="AE9" s="57">
        <v>25</v>
      </c>
      <c r="AF9" s="55">
        <f t="shared" ref="AF9:AF47" si="8">AD9*AE9</f>
        <v>32250</v>
      </c>
      <c r="AG9" s="53">
        <v>853</v>
      </c>
      <c r="AH9" s="57">
        <v>7.5</v>
      </c>
      <c r="AI9" s="55">
        <f t="shared" ref="AI9:AI47" si="9">AG9*AH9</f>
        <v>6397.5</v>
      </c>
      <c r="AJ9" s="53"/>
      <c r="AK9" s="56">
        <v>15</v>
      </c>
      <c r="AL9" s="55">
        <f t="shared" ref="AL9:AL47" si="10">AJ9*AK9</f>
        <v>0</v>
      </c>
      <c r="AM9" s="53">
        <v>838</v>
      </c>
      <c r="AN9" s="57">
        <v>10</v>
      </c>
      <c r="AO9" s="55">
        <f t="shared" ref="AO9:AO11" si="11">AM9*AN9</f>
        <v>8380</v>
      </c>
      <c r="AP9" s="53">
        <f t="shared" ref="AP9:AP47" si="12">R9+U9+X9+AA9+AD9+AG9+AM9</f>
        <v>10684</v>
      </c>
      <c r="AQ9" s="53"/>
      <c r="AR9" s="61"/>
      <c r="AS9" s="53"/>
      <c r="AT9" s="53"/>
      <c r="AU9" s="55"/>
      <c r="AV9" s="53"/>
      <c r="AW9" s="53"/>
      <c r="AX9" s="66">
        <v>8809</v>
      </c>
      <c r="AY9" s="53"/>
      <c r="AZ9" s="68">
        <f t="shared" ref="AZ9:AZ47" si="13">O9/(I9+F9+L9)</f>
        <v>0.95479515243007507</v>
      </c>
      <c r="BA9" s="68">
        <f t="shared" ref="BA9:BA47" si="14">AP9/(I9+F9+L9)</f>
        <v>0.44802281209376443</v>
      </c>
      <c r="BB9" s="68">
        <f t="shared" ref="BB9:BB47" si="15">AX9/O9</f>
        <v>0.38688567789538408</v>
      </c>
      <c r="BC9" s="55">
        <f t="shared" ref="BC9:BC47" si="16">H9+W9+Z9+AC9+AF9+T9+K9+N9</f>
        <v>1294914</v>
      </c>
      <c r="BD9" s="55">
        <f t="shared" ref="BD9:BD47" si="17">H9+AF9+T9+K9+N9</f>
        <v>1224600</v>
      </c>
      <c r="BE9" s="55">
        <f t="shared" ref="BE9:BE47" si="18">H9+W9+Z9+AC9+AF9+T9+K9+N9</f>
        <v>1294914</v>
      </c>
      <c r="BF9" s="55">
        <f t="shared" ref="BF9:BF47" si="19">H9+W9+Z9+AC9+AF9+AI9+T9+K9+N9</f>
        <v>1301311.5</v>
      </c>
      <c r="BG9" s="62">
        <v>1752146.5</v>
      </c>
      <c r="BH9" s="63">
        <v>1181854.78</v>
      </c>
      <c r="BI9" s="69">
        <f t="shared" ref="BI9:BI47" si="20">+BH9/BG9%</f>
        <v>67.451824376557553</v>
      </c>
      <c r="BJ9" s="70">
        <f t="shared" ref="BJ9:BJ47" si="21">SUM(BY9+BZ9+CA9+CB9)</f>
        <v>87912.5</v>
      </c>
      <c r="BK9" s="71">
        <f t="shared" ref="BK9:BK47" si="22">SUM(CF9+CG9+CH9+CI9)</f>
        <v>5.0174172079788991E-2</v>
      </c>
      <c r="BL9" s="72">
        <f t="shared" ref="BL9:BL33" si="23">B9</f>
        <v>9</v>
      </c>
      <c r="BM9" s="61">
        <f t="shared" ref="BM9:BM47" si="24">CC9</f>
        <v>115100</v>
      </c>
      <c r="BN9" s="69">
        <f t="shared" ref="BN9:BN47" si="25">+BU9/BM9</f>
        <v>3.0981098175499566</v>
      </c>
      <c r="BO9" s="73">
        <f t="shared" ref="BO9:BO47" si="26">CD9</f>
        <v>312.5</v>
      </c>
      <c r="BP9" s="69">
        <f t="shared" ref="BP9:BP47" si="27">+BU9/BO9</f>
        <v>1141.095808</v>
      </c>
      <c r="BQ9" s="61">
        <f t="shared" ref="BQ9:BQ47" si="28">CE9</f>
        <v>66150</v>
      </c>
      <c r="BR9" s="69">
        <f t="shared" ref="BR9:BR47" si="29">+BU9/BQ9</f>
        <v>5.3906642479213911</v>
      </c>
      <c r="BS9" s="64">
        <f t="shared" ref="BS9:BS47" si="30">BU9-BM9-BO9-BQ9-BY9-BZ9-CA9-CB9</f>
        <v>87117.440000000002</v>
      </c>
      <c r="BT9" s="69">
        <f t="shared" ref="BT9:BT47" si="31">+BU9/BS9</f>
        <v>4.0932382769741622</v>
      </c>
      <c r="BU9" s="65">
        <v>356592.44</v>
      </c>
      <c r="BV9" s="74">
        <f t="shared" ref="BV9:BV47" si="32">+BU9/BG9%</f>
        <v>20.351747984543529</v>
      </c>
      <c r="BW9" s="75">
        <f t="shared" ref="BW9:BW47" si="33">SUM(BG9-BH9-BU9)</f>
        <v>213699.27999999997</v>
      </c>
      <c r="BX9" s="69">
        <f t="shared" ref="BX9:BX47" si="34">+BW9/BG9%</f>
        <v>12.196427638898914</v>
      </c>
      <c r="BY9" s="55">
        <v>26582.5</v>
      </c>
      <c r="BZ9" s="55">
        <v>22274</v>
      </c>
      <c r="CA9" s="55">
        <v>32036</v>
      </c>
      <c r="CB9" s="55">
        <v>7020</v>
      </c>
      <c r="CC9" s="64">
        <v>115100</v>
      </c>
      <c r="CD9" s="64">
        <v>312.5</v>
      </c>
      <c r="CE9" s="64">
        <v>66150</v>
      </c>
      <c r="CF9" s="76">
        <f t="shared" ref="CF9:CF47" si="35">BY9/BG9</f>
        <v>1.5171391205016246E-2</v>
      </c>
      <c r="CG9" s="76">
        <f t="shared" ref="CG9:CG47" si="36">BZ9/BG9</f>
        <v>1.2712407324387545E-2</v>
      </c>
      <c r="CH9" s="76">
        <f t="shared" ref="CH9:CH47" si="37">CA9/BG9</f>
        <v>1.8283859254919609E-2</v>
      </c>
      <c r="CI9" s="76">
        <f t="shared" ref="CI9:CI47" si="38">CB9/BG9</f>
        <v>4.0065142954655904E-3</v>
      </c>
      <c r="CJ9" s="76">
        <f t="shared" ref="CJ9:CJ47" si="39">CC9/BG9</f>
        <v>6.5690854046736386E-2</v>
      </c>
      <c r="CK9" s="63">
        <f t="shared" ref="CK9:CK47" si="40">+BW9*20%</f>
        <v>42739.856</v>
      </c>
      <c r="CL9" s="77">
        <f t="shared" ref="CL9:CL47" si="41">BW9*80%</f>
        <v>170959.424</v>
      </c>
    </row>
    <row r="10" spans="1:90" ht="18.75" customHeight="1" x14ac:dyDescent="0.35">
      <c r="A10" s="50">
        <f t="shared" ref="A10:A47" si="42">A9+1</f>
        <v>2</v>
      </c>
      <c r="B10" s="58">
        <v>7</v>
      </c>
      <c r="C10" s="52" t="s">
        <v>103</v>
      </c>
      <c r="D10" s="52"/>
      <c r="E10" s="52"/>
      <c r="F10" s="53"/>
      <c r="G10" s="54">
        <v>40</v>
      </c>
      <c r="H10" s="55">
        <f t="shared" si="0"/>
        <v>0</v>
      </c>
      <c r="I10" s="53">
        <v>28729</v>
      </c>
      <c r="J10" s="56">
        <v>50</v>
      </c>
      <c r="K10" s="55">
        <f t="shared" si="1"/>
        <v>1436450</v>
      </c>
      <c r="L10" s="53"/>
      <c r="M10" s="57">
        <v>60</v>
      </c>
      <c r="N10" s="55">
        <f t="shared" si="2"/>
        <v>0</v>
      </c>
      <c r="O10" s="53">
        <v>9953</v>
      </c>
      <c r="P10" s="57">
        <v>12</v>
      </c>
      <c r="Q10" s="55">
        <f t="shared" si="3"/>
        <v>119436</v>
      </c>
      <c r="R10" s="53">
        <v>1240</v>
      </c>
      <c r="S10" s="59">
        <v>12</v>
      </c>
      <c r="T10" s="55">
        <f t="shared" si="4"/>
        <v>14880</v>
      </c>
      <c r="U10" s="53">
        <v>1187</v>
      </c>
      <c r="V10" s="57">
        <v>8</v>
      </c>
      <c r="W10" s="55">
        <f t="shared" si="5"/>
        <v>9496</v>
      </c>
      <c r="X10" s="53">
        <v>746</v>
      </c>
      <c r="Y10" s="57">
        <v>12</v>
      </c>
      <c r="Z10" s="55">
        <f t="shared" si="6"/>
        <v>8952</v>
      </c>
      <c r="AA10" s="53">
        <v>1523</v>
      </c>
      <c r="AB10" s="57">
        <v>10</v>
      </c>
      <c r="AC10" s="55">
        <f t="shared" si="7"/>
        <v>15230</v>
      </c>
      <c r="AD10" s="53">
        <v>439</v>
      </c>
      <c r="AE10" s="57">
        <v>25</v>
      </c>
      <c r="AF10" s="55">
        <f t="shared" si="8"/>
        <v>10975</v>
      </c>
      <c r="AG10" s="53">
        <v>239</v>
      </c>
      <c r="AH10" s="57">
        <v>7.5</v>
      </c>
      <c r="AI10" s="55">
        <f t="shared" si="9"/>
        <v>1792.5</v>
      </c>
      <c r="AJ10" s="53"/>
      <c r="AK10" s="56">
        <v>15</v>
      </c>
      <c r="AL10" s="55">
        <f t="shared" si="10"/>
        <v>0</v>
      </c>
      <c r="AM10" s="53">
        <v>411</v>
      </c>
      <c r="AN10" s="57">
        <v>12</v>
      </c>
      <c r="AO10" s="55">
        <f t="shared" si="11"/>
        <v>4932</v>
      </c>
      <c r="AP10" s="53">
        <f t="shared" si="12"/>
        <v>5785</v>
      </c>
      <c r="AQ10" s="53"/>
      <c r="AR10" s="61"/>
      <c r="AS10" s="53"/>
      <c r="AT10" s="53"/>
      <c r="AU10" s="55"/>
      <c r="AV10" s="53"/>
      <c r="AW10" s="53"/>
      <c r="AX10" s="66">
        <v>5103</v>
      </c>
      <c r="AY10" s="53"/>
      <c r="AZ10" s="68">
        <f t="shared" si="13"/>
        <v>0.34644435935813989</v>
      </c>
      <c r="BA10" s="68">
        <f t="shared" si="14"/>
        <v>0.20136447492081172</v>
      </c>
      <c r="BB10" s="68">
        <f t="shared" si="15"/>
        <v>0.51270973575806289</v>
      </c>
      <c r="BC10" s="55">
        <f t="shared" si="16"/>
        <v>1495983</v>
      </c>
      <c r="BD10" s="55">
        <f t="shared" si="17"/>
        <v>1462305</v>
      </c>
      <c r="BE10" s="55">
        <f t="shared" si="18"/>
        <v>1495983</v>
      </c>
      <c r="BF10" s="55">
        <f t="shared" si="19"/>
        <v>1497775.5</v>
      </c>
      <c r="BG10" s="62">
        <v>1697110.5</v>
      </c>
      <c r="BH10" s="63">
        <v>1138762.52</v>
      </c>
      <c r="BI10" s="69">
        <f t="shared" si="20"/>
        <v>67.100080990601384</v>
      </c>
      <c r="BJ10" s="70">
        <f t="shared" si="21"/>
        <v>113669</v>
      </c>
      <c r="BK10" s="71">
        <f t="shared" si="22"/>
        <v>6.6977960480475482E-2</v>
      </c>
      <c r="BL10" s="72">
        <f t="shared" si="23"/>
        <v>7</v>
      </c>
      <c r="BM10" s="61">
        <f t="shared" si="24"/>
        <v>87418</v>
      </c>
      <c r="BN10" s="69">
        <f t="shared" si="25"/>
        <v>3.7937673019286646</v>
      </c>
      <c r="BO10" s="73">
        <f t="shared" si="26"/>
        <v>2295.25</v>
      </c>
      <c r="BP10" s="69">
        <f t="shared" si="27"/>
        <v>144.49125367607013</v>
      </c>
      <c r="BQ10" s="61">
        <f t="shared" si="28"/>
        <v>20000</v>
      </c>
      <c r="BR10" s="69">
        <f t="shared" si="29"/>
        <v>16.5821775</v>
      </c>
      <c r="BS10" s="64">
        <f t="shared" si="30"/>
        <v>108261.29999999999</v>
      </c>
      <c r="BT10" s="69">
        <f t="shared" si="31"/>
        <v>3.0633619769945497</v>
      </c>
      <c r="BU10" s="65">
        <v>331643.55</v>
      </c>
      <c r="BV10" s="74">
        <f t="shared" si="32"/>
        <v>19.54165919072447</v>
      </c>
      <c r="BW10" s="75">
        <f t="shared" si="33"/>
        <v>226704.43</v>
      </c>
      <c r="BX10" s="69">
        <f t="shared" si="34"/>
        <v>13.358259818674153</v>
      </c>
      <c r="BY10" s="55">
        <v>43168</v>
      </c>
      <c r="BZ10" s="55">
        <v>31140</v>
      </c>
      <c r="CA10" s="55">
        <v>32321</v>
      </c>
      <c r="CB10" s="55">
        <v>7040</v>
      </c>
      <c r="CC10" s="64">
        <v>87418</v>
      </c>
      <c r="CD10" s="64">
        <v>2295.25</v>
      </c>
      <c r="CE10" s="64">
        <v>20000</v>
      </c>
      <c r="CF10" s="76">
        <f t="shared" si="35"/>
        <v>2.5436175193070811E-2</v>
      </c>
      <c r="CG10" s="76">
        <f t="shared" si="36"/>
        <v>1.8348834681065258E-2</v>
      </c>
      <c r="CH10" s="76">
        <f t="shared" si="37"/>
        <v>1.9044723369515421E-2</v>
      </c>
      <c r="CI10" s="76">
        <f t="shared" si="38"/>
        <v>4.1482272368240014E-3</v>
      </c>
      <c r="CJ10" s="76">
        <f t="shared" si="39"/>
        <v>5.1509904629073948E-2</v>
      </c>
      <c r="CK10" s="63">
        <f t="shared" si="40"/>
        <v>45340.885999999999</v>
      </c>
      <c r="CL10" s="77">
        <f t="shared" si="41"/>
        <v>181363.54399999999</v>
      </c>
    </row>
    <row r="11" spans="1:90" ht="18.75" customHeight="1" x14ac:dyDescent="0.35">
      <c r="A11" s="50">
        <f t="shared" si="42"/>
        <v>3</v>
      </c>
      <c r="B11" s="58">
        <v>9</v>
      </c>
      <c r="C11" s="52" t="s">
        <v>104</v>
      </c>
      <c r="D11" s="52"/>
      <c r="E11" s="52"/>
      <c r="F11" s="53"/>
      <c r="G11" s="54">
        <v>40</v>
      </c>
      <c r="H11" s="55">
        <f t="shared" si="0"/>
        <v>0</v>
      </c>
      <c r="I11" s="53">
        <v>23022</v>
      </c>
      <c r="J11" s="56">
        <v>50</v>
      </c>
      <c r="K11" s="55">
        <f t="shared" si="1"/>
        <v>1151100</v>
      </c>
      <c r="L11" s="53"/>
      <c r="M11" s="57">
        <v>60</v>
      </c>
      <c r="N11" s="55">
        <f t="shared" si="2"/>
        <v>0</v>
      </c>
      <c r="O11" s="53">
        <v>21366</v>
      </c>
      <c r="P11" s="57">
        <v>12</v>
      </c>
      <c r="Q11" s="55">
        <f t="shared" si="3"/>
        <v>256392</v>
      </c>
      <c r="R11" s="53"/>
      <c r="S11" s="59">
        <v>12</v>
      </c>
      <c r="T11" s="55">
        <f t="shared" si="4"/>
        <v>0</v>
      </c>
      <c r="U11" s="53">
        <v>3027</v>
      </c>
      <c r="V11" s="57">
        <v>8</v>
      </c>
      <c r="W11" s="55">
        <f t="shared" si="5"/>
        <v>24216</v>
      </c>
      <c r="X11" s="53">
        <v>1323</v>
      </c>
      <c r="Y11" s="57">
        <v>12</v>
      </c>
      <c r="Z11" s="55">
        <f t="shared" si="6"/>
        <v>15876</v>
      </c>
      <c r="AA11" s="53">
        <v>2568</v>
      </c>
      <c r="AB11" s="57">
        <v>10</v>
      </c>
      <c r="AC11" s="55">
        <f t="shared" si="7"/>
        <v>25680</v>
      </c>
      <c r="AD11" s="53">
        <v>710</v>
      </c>
      <c r="AE11" s="57">
        <v>25</v>
      </c>
      <c r="AF11" s="55">
        <f t="shared" si="8"/>
        <v>17750</v>
      </c>
      <c r="AG11" s="53">
        <v>849</v>
      </c>
      <c r="AH11" s="57">
        <v>7.5</v>
      </c>
      <c r="AI11" s="55">
        <f t="shared" si="9"/>
        <v>6367.5</v>
      </c>
      <c r="AJ11" s="53"/>
      <c r="AK11" s="56">
        <v>15</v>
      </c>
      <c r="AL11" s="55">
        <f t="shared" si="10"/>
        <v>0</v>
      </c>
      <c r="AM11" s="53">
        <v>631</v>
      </c>
      <c r="AN11" s="57">
        <v>10</v>
      </c>
      <c r="AO11" s="55">
        <f t="shared" si="11"/>
        <v>6310</v>
      </c>
      <c r="AP11" s="53">
        <f t="shared" si="12"/>
        <v>9108</v>
      </c>
      <c r="AQ11" s="53"/>
      <c r="AR11" s="61"/>
      <c r="AS11" s="53"/>
      <c r="AT11" s="53"/>
      <c r="AU11" s="55"/>
      <c r="AV11" s="53"/>
      <c r="AW11" s="53"/>
      <c r="AX11" s="66">
        <v>5243</v>
      </c>
      <c r="AY11" s="53"/>
      <c r="AZ11" s="68">
        <f t="shared" si="13"/>
        <v>0.92806880375293199</v>
      </c>
      <c r="BA11" s="68">
        <f t="shared" si="14"/>
        <v>0.3956215793588741</v>
      </c>
      <c r="BB11" s="68">
        <f t="shared" si="15"/>
        <v>0.24538987175886923</v>
      </c>
      <c r="BC11" s="55">
        <f t="shared" si="16"/>
        <v>1234622</v>
      </c>
      <c r="BD11" s="55">
        <f t="shared" si="17"/>
        <v>1168850</v>
      </c>
      <c r="BE11" s="55">
        <f t="shared" si="18"/>
        <v>1234622</v>
      </c>
      <c r="BF11" s="55">
        <f t="shared" si="19"/>
        <v>1240989.5</v>
      </c>
      <c r="BG11" s="62">
        <v>1607727.5</v>
      </c>
      <c r="BH11" s="63">
        <v>1093163.06</v>
      </c>
      <c r="BI11" s="69">
        <f t="shared" si="20"/>
        <v>67.994300029078317</v>
      </c>
      <c r="BJ11" s="70">
        <f t="shared" si="21"/>
        <v>83227</v>
      </c>
      <c r="BK11" s="71">
        <f t="shared" si="22"/>
        <v>5.1766857256593551E-2</v>
      </c>
      <c r="BL11" s="72">
        <f t="shared" si="23"/>
        <v>9</v>
      </c>
      <c r="BM11" s="61">
        <f t="shared" si="24"/>
        <v>102062.5</v>
      </c>
      <c r="BN11" s="69">
        <f t="shared" si="25"/>
        <v>2.9005997305572566</v>
      </c>
      <c r="BO11" s="73">
        <f t="shared" si="26"/>
        <v>0</v>
      </c>
      <c r="BP11" s="69" t="e">
        <f t="shared" si="27"/>
        <v>#DIV/0!</v>
      </c>
      <c r="BQ11" s="61">
        <f t="shared" si="28"/>
        <v>38217.86</v>
      </c>
      <c r="BR11" s="69">
        <f t="shared" si="29"/>
        <v>7.7461809740262799</v>
      </c>
      <c r="BS11" s="64">
        <f t="shared" si="30"/>
        <v>72535.100000000035</v>
      </c>
      <c r="BT11" s="69">
        <f t="shared" si="31"/>
        <v>4.0813683306426807</v>
      </c>
      <c r="BU11" s="65">
        <v>296042.46000000002</v>
      </c>
      <c r="BV11" s="74">
        <f t="shared" si="32"/>
        <v>18.413721230743395</v>
      </c>
      <c r="BW11" s="75">
        <f t="shared" si="33"/>
        <v>218521.97999999992</v>
      </c>
      <c r="BX11" s="69">
        <f t="shared" si="34"/>
        <v>13.591978740178291</v>
      </c>
      <c r="BY11" s="55">
        <v>23361</v>
      </c>
      <c r="BZ11" s="55">
        <v>22274</v>
      </c>
      <c r="CA11" s="55">
        <v>31382</v>
      </c>
      <c r="CB11" s="55">
        <v>6210</v>
      </c>
      <c r="CC11" s="64">
        <v>102062.5</v>
      </c>
      <c r="CD11" s="64"/>
      <c r="CE11" s="64">
        <v>38217.86</v>
      </c>
      <c r="CF11" s="76">
        <f t="shared" si="35"/>
        <v>1.4530447479439147E-2</v>
      </c>
      <c r="CG11" s="76">
        <f t="shared" si="36"/>
        <v>1.3854337877532107E-2</v>
      </c>
      <c r="CH11" s="76">
        <f t="shared" si="37"/>
        <v>1.9519477025801948E-2</v>
      </c>
      <c r="CI11" s="76">
        <f t="shared" si="38"/>
        <v>3.862594873820346E-3</v>
      </c>
      <c r="CJ11" s="76">
        <f t="shared" si="39"/>
        <v>6.3482462046584393E-2</v>
      </c>
      <c r="CK11" s="63">
        <f t="shared" si="40"/>
        <v>43704.395999999986</v>
      </c>
      <c r="CL11" s="77">
        <f t="shared" si="41"/>
        <v>174817.58399999994</v>
      </c>
    </row>
    <row r="12" spans="1:90" ht="18.75" customHeight="1" x14ac:dyDescent="0.35">
      <c r="A12" s="50">
        <f t="shared" si="42"/>
        <v>4</v>
      </c>
      <c r="B12" s="51" t="s">
        <v>106</v>
      </c>
      <c r="C12" s="52" t="s">
        <v>107</v>
      </c>
      <c r="D12" s="52"/>
      <c r="E12" s="52"/>
      <c r="F12" s="53"/>
      <c r="G12" s="54">
        <v>40</v>
      </c>
      <c r="H12" s="55">
        <f t="shared" si="0"/>
        <v>0</v>
      </c>
      <c r="I12" s="53">
        <v>23663</v>
      </c>
      <c r="J12" s="56">
        <v>50</v>
      </c>
      <c r="K12" s="55">
        <f t="shared" si="1"/>
        <v>1183150</v>
      </c>
      <c r="L12" s="53"/>
      <c r="M12" s="57">
        <v>60</v>
      </c>
      <c r="N12" s="55">
        <f t="shared" si="2"/>
        <v>0</v>
      </c>
      <c r="O12" s="53">
        <v>11689</v>
      </c>
      <c r="P12" s="57">
        <v>12</v>
      </c>
      <c r="Q12" s="55">
        <f t="shared" si="3"/>
        <v>140268</v>
      </c>
      <c r="R12" s="53"/>
      <c r="S12" s="59">
        <v>12</v>
      </c>
      <c r="T12" s="55">
        <f t="shared" si="4"/>
        <v>0</v>
      </c>
      <c r="U12" s="53">
        <v>1170</v>
      </c>
      <c r="V12" s="57">
        <v>8</v>
      </c>
      <c r="W12" s="55">
        <f t="shared" si="5"/>
        <v>9360</v>
      </c>
      <c r="X12" s="53">
        <v>555</v>
      </c>
      <c r="Y12" s="57">
        <v>12</v>
      </c>
      <c r="Z12" s="55">
        <f t="shared" si="6"/>
        <v>6660</v>
      </c>
      <c r="AA12" s="53">
        <v>1175</v>
      </c>
      <c r="AB12" s="57">
        <v>10</v>
      </c>
      <c r="AC12" s="55">
        <f t="shared" si="7"/>
        <v>11750</v>
      </c>
      <c r="AD12" s="53">
        <v>612</v>
      </c>
      <c r="AE12" s="57">
        <v>25</v>
      </c>
      <c r="AF12" s="55">
        <f t="shared" si="8"/>
        <v>15300</v>
      </c>
      <c r="AG12" s="53">
        <v>211</v>
      </c>
      <c r="AH12" s="57">
        <v>7.5</v>
      </c>
      <c r="AI12" s="55">
        <f t="shared" si="9"/>
        <v>1582.5</v>
      </c>
      <c r="AJ12" s="53"/>
      <c r="AK12" s="56">
        <v>15</v>
      </c>
      <c r="AL12" s="55">
        <f t="shared" si="10"/>
        <v>0</v>
      </c>
      <c r="AM12" s="53">
        <v>437</v>
      </c>
      <c r="AN12" s="57">
        <v>10</v>
      </c>
      <c r="AO12" s="55">
        <f>AM12*AX11</f>
        <v>2291191</v>
      </c>
      <c r="AP12" s="53">
        <f t="shared" si="12"/>
        <v>4160</v>
      </c>
      <c r="AQ12" s="53"/>
      <c r="AR12" s="61"/>
      <c r="AS12" s="53"/>
      <c r="AT12" s="53"/>
      <c r="AU12" s="55"/>
      <c r="AV12" s="53"/>
      <c r="AW12" s="53"/>
      <c r="AX12" s="66">
        <v>3375</v>
      </c>
      <c r="AY12" s="53"/>
      <c r="AZ12" s="68">
        <f t="shared" si="13"/>
        <v>0.49397794024426317</v>
      </c>
      <c r="BA12" s="68">
        <f t="shared" si="14"/>
        <v>0.17580188479905337</v>
      </c>
      <c r="BB12" s="68">
        <f t="shared" si="15"/>
        <v>0.28873299683463083</v>
      </c>
      <c r="BC12" s="55">
        <f t="shared" si="16"/>
        <v>1226220</v>
      </c>
      <c r="BD12" s="55">
        <f t="shared" si="17"/>
        <v>1198450</v>
      </c>
      <c r="BE12" s="55">
        <f t="shared" si="18"/>
        <v>1226220</v>
      </c>
      <c r="BF12" s="55">
        <f t="shared" si="19"/>
        <v>1227802.5</v>
      </c>
      <c r="BG12" s="62">
        <v>1437574.5</v>
      </c>
      <c r="BH12" s="63">
        <v>983971.04</v>
      </c>
      <c r="BI12" s="69">
        <f t="shared" si="20"/>
        <v>68.446611984283251</v>
      </c>
      <c r="BJ12" s="70">
        <f t="shared" si="21"/>
        <v>89568</v>
      </c>
      <c r="BK12" s="71">
        <f t="shared" si="22"/>
        <v>6.2304944891551708E-2</v>
      </c>
      <c r="BL12" s="72" t="str">
        <f t="shared" si="23"/>
        <v>,9</v>
      </c>
      <c r="BM12" s="61">
        <f t="shared" si="24"/>
        <v>108475</v>
      </c>
      <c r="BN12" s="69">
        <f t="shared" si="25"/>
        <v>2.682110532380733</v>
      </c>
      <c r="BO12" s="73">
        <f t="shared" si="26"/>
        <v>862.5</v>
      </c>
      <c r="BP12" s="69">
        <f t="shared" si="27"/>
        <v>337.32398840579708</v>
      </c>
      <c r="BQ12" s="61">
        <f t="shared" si="28"/>
        <v>30500</v>
      </c>
      <c r="BR12" s="69">
        <f t="shared" si="29"/>
        <v>9.5390800000000002</v>
      </c>
      <c r="BS12" s="64">
        <f t="shared" si="30"/>
        <v>61536.44</v>
      </c>
      <c r="BT12" s="69">
        <f t="shared" si="31"/>
        <v>4.7279618385463964</v>
      </c>
      <c r="BU12" s="65">
        <v>290941.94</v>
      </c>
      <c r="BV12" s="74">
        <f t="shared" si="32"/>
        <v>20.238390427765655</v>
      </c>
      <c r="BW12" s="75">
        <f t="shared" si="33"/>
        <v>162661.51999999996</v>
      </c>
      <c r="BX12" s="69">
        <f t="shared" si="34"/>
        <v>11.31499758795109</v>
      </c>
      <c r="BY12" s="55">
        <v>30476</v>
      </c>
      <c r="BZ12" s="55">
        <v>22274</v>
      </c>
      <c r="CA12" s="55">
        <v>28718</v>
      </c>
      <c r="CB12" s="55">
        <v>8100</v>
      </c>
      <c r="CC12" s="64">
        <v>108475</v>
      </c>
      <c r="CD12" s="64">
        <v>862.5</v>
      </c>
      <c r="CE12" s="64">
        <v>30500</v>
      </c>
      <c r="CF12" s="76">
        <f t="shared" si="35"/>
        <v>2.119959696001842E-2</v>
      </c>
      <c r="CG12" s="76">
        <f t="shared" si="36"/>
        <v>1.5494153520391464E-2</v>
      </c>
      <c r="CH12" s="76">
        <f t="shared" si="37"/>
        <v>1.9976703816045709E-2</v>
      </c>
      <c r="CI12" s="76">
        <f t="shared" si="38"/>
        <v>5.6344905950961154E-3</v>
      </c>
      <c r="CJ12" s="76">
        <f t="shared" si="39"/>
        <v>7.5456958926302609E-2</v>
      </c>
      <c r="CK12" s="63">
        <f t="shared" si="40"/>
        <v>32532.303999999993</v>
      </c>
      <c r="CL12" s="77">
        <f t="shared" si="41"/>
        <v>130129.21599999997</v>
      </c>
    </row>
    <row r="13" spans="1:90" ht="18.75" customHeight="1" x14ac:dyDescent="0.35">
      <c r="A13" s="50">
        <f t="shared" si="42"/>
        <v>5</v>
      </c>
      <c r="B13" s="58">
        <v>7</v>
      </c>
      <c r="C13" s="52" t="s">
        <v>110</v>
      </c>
      <c r="D13" s="52"/>
      <c r="E13" s="52"/>
      <c r="F13" s="53"/>
      <c r="G13" s="54">
        <v>40</v>
      </c>
      <c r="H13" s="55">
        <f t="shared" si="0"/>
        <v>0</v>
      </c>
      <c r="I13" s="53">
        <v>18542</v>
      </c>
      <c r="J13" s="56">
        <v>50</v>
      </c>
      <c r="K13" s="55">
        <f t="shared" si="1"/>
        <v>927100</v>
      </c>
      <c r="L13" s="53"/>
      <c r="M13" s="57">
        <v>60</v>
      </c>
      <c r="N13" s="55">
        <f t="shared" si="2"/>
        <v>0</v>
      </c>
      <c r="O13" s="53">
        <v>6067</v>
      </c>
      <c r="P13" s="57">
        <v>12</v>
      </c>
      <c r="Q13" s="55">
        <f t="shared" si="3"/>
        <v>72804</v>
      </c>
      <c r="R13" s="53"/>
      <c r="S13" s="59">
        <v>12</v>
      </c>
      <c r="T13" s="55">
        <f t="shared" si="4"/>
        <v>0</v>
      </c>
      <c r="U13" s="53">
        <v>1085</v>
      </c>
      <c r="V13" s="57">
        <v>8</v>
      </c>
      <c r="W13" s="55">
        <f t="shared" si="5"/>
        <v>8680</v>
      </c>
      <c r="X13" s="53">
        <v>441</v>
      </c>
      <c r="Y13" s="57">
        <v>12</v>
      </c>
      <c r="Z13" s="55">
        <f t="shared" si="6"/>
        <v>5292</v>
      </c>
      <c r="AA13" s="53">
        <v>1176</v>
      </c>
      <c r="AB13" s="57">
        <v>10</v>
      </c>
      <c r="AC13" s="55">
        <f t="shared" si="7"/>
        <v>11760</v>
      </c>
      <c r="AD13" s="53">
        <v>415</v>
      </c>
      <c r="AE13" s="57">
        <v>25</v>
      </c>
      <c r="AF13" s="55">
        <f t="shared" si="8"/>
        <v>10375</v>
      </c>
      <c r="AG13" s="53">
        <v>296</v>
      </c>
      <c r="AH13" s="57">
        <v>7.5</v>
      </c>
      <c r="AI13" s="55">
        <f t="shared" si="9"/>
        <v>2220</v>
      </c>
      <c r="AJ13" s="53"/>
      <c r="AK13" s="56">
        <v>15</v>
      </c>
      <c r="AL13" s="55">
        <f t="shared" si="10"/>
        <v>0</v>
      </c>
      <c r="AM13" s="53">
        <v>367</v>
      </c>
      <c r="AN13" s="57">
        <v>10</v>
      </c>
      <c r="AO13" s="55">
        <f t="shared" ref="AO13:AO47" si="43">AM13*AN13</f>
        <v>3670</v>
      </c>
      <c r="AP13" s="53">
        <f t="shared" si="12"/>
        <v>3780</v>
      </c>
      <c r="AQ13" s="53"/>
      <c r="AR13" s="61"/>
      <c r="AS13" s="53"/>
      <c r="AT13" s="53"/>
      <c r="AU13" s="55"/>
      <c r="AV13" s="53"/>
      <c r="AW13" s="53"/>
      <c r="AX13" s="66">
        <v>2360</v>
      </c>
      <c r="AY13" s="53"/>
      <c r="AZ13" s="68">
        <f t="shared" si="13"/>
        <v>0.32720310646100742</v>
      </c>
      <c r="BA13" s="68">
        <f t="shared" si="14"/>
        <v>0.20386150361341818</v>
      </c>
      <c r="BB13" s="68">
        <f t="shared" si="15"/>
        <v>0.38898961595516729</v>
      </c>
      <c r="BC13" s="55">
        <f t="shared" si="16"/>
        <v>963207</v>
      </c>
      <c r="BD13" s="55">
        <f t="shared" si="17"/>
        <v>937475</v>
      </c>
      <c r="BE13" s="55">
        <f t="shared" si="18"/>
        <v>963207</v>
      </c>
      <c r="BF13" s="55">
        <f t="shared" si="19"/>
        <v>965427</v>
      </c>
      <c r="BG13" s="62">
        <v>1085109</v>
      </c>
      <c r="BH13" s="63">
        <v>734897.5</v>
      </c>
      <c r="BI13" s="69">
        <f t="shared" si="20"/>
        <v>67.725684700799647</v>
      </c>
      <c r="BJ13" s="70">
        <f t="shared" si="21"/>
        <v>71947</v>
      </c>
      <c r="BK13" s="71">
        <f t="shared" si="22"/>
        <v>6.630393812971784E-2</v>
      </c>
      <c r="BL13" s="72">
        <f t="shared" si="23"/>
        <v>7</v>
      </c>
      <c r="BM13" s="61">
        <f t="shared" si="24"/>
        <v>72875</v>
      </c>
      <c r="BN13" s="69">
        <f t="shared" si="25"/>
        <v>2.8483779073756432</v>
      </c>
      <c r="BO13" s="73">
        <f t="shared" si="26"/>
        <v>0</v>
      </c>
      <c r="BP13" s="69" t="e">
        <f t="shared" si="27"/>
        <v>#DIV/0!</v>
      </c>
      <c r="BQ13" s="61">
        <f t="shared" si="28"/>
        <v>14500</v>
      </c>
      <c r="BR13" s="69">
        <f t="shared" si="29"/>
        <v>14.315554482758621</v>
      </c>
      <c r="BS13" s="64">
        <f t="shared" si="30"/>
        <v>48253.540000000008</v>
      </c>
      <c r="BT13" s="69">
        <f t="shared" si="31"/>
        <v>4.3017681189815287</v>
      </c>
      <c r="BU13" s="65">
        <v>207575.54</v>
      </c>
      <c r="BV13" s="74">
        <f t="shared" si="32"/>
        <v>19.129464413252492</v>
      </c>
      <c r="BW13" s="75">
        <f t="shared" si="33"/>
        <v>142635.96</v>
      </c>
      <c r="BX13" s="69">
        <f t="shared" si="34"/>
        <v>13.144850885947863</v>
      </c>
      <c r="BY13" s="55">
        <v>23364</v>
      </c>
      <c r="BZ13" s="55">
        <v>17501</v>
      </c>
      <c r="CA13" s="55">
        <v>25142</v>
      </c>
      <c r="CB13" s="55">
        <v>5940</v>
      </c>
      <c r="CC13" s="64">
        <v>72875</v>
      </c>
      <c r="CD13" s="64"/>
      <c r="CE13" s="64">
        <v>14500</v>
      </c>
      <c r="CF13" s="76">
        <f t="shared" si="35"/>
        <v>2.1531477482907246E-2</v>
      </c>
      <c r="CG13" s="76">
        <f t="shared" si="36"/>
        <v>1.6128333651273741E-2</v>
      </c>
      <c r="CH13" s="76">
        <f t="shared" si="37"/>
        <v>2.3170022550729925E-2</v>
      </c>
      <c r="CI13" s="76">
        <f t="shared" si="38"/>
        <v>5.474104444806927E-3</v>
      </c>
      <c r="CJ13" s="76">
        <f t="shared" si="39"/>
        <v>6.7159151753418314E-2</v>
      </c>
      <c r="CK13" s="63">
        <f t="shared" si="40"/>
        <v>28527.191999999999</v>
      </c>
      <c r="CL13" s="77">
        <f t="shared" si="41"/>
        <v>114108.768</v>
      </c>
    </row>
    <row r="14" spans="1:90" ht="18.75" customHeight="1" x14ac:dyDescent="0.35">
      <c r="A14" s="50">
        <f t="shared" si="42"/>
        <v>6</v>
      </c>
      <c r="B14" s="51">
        <v>6</v>
      </c>
      <c r="C14" s="52" t="s">
        <v>112</v>
      </c>
      <c r="D14" s="52"/>
      <c r="E14" s="52"/>
      <c r="F14" s="53"/>
      <c r="G14" s="54">
        <v>40</v>
      </c>
      <c r="H14" s="55">
        <f t="shared" si="0"/>
        <v>0</v>
      </c>
      <c r="I14" s="53">
        <v>17087</v>
      </c>
      <c r="J14" s="56">
        <v>50</v>
      </c>
      <c r="K14" s="55">
        <f t="shared" si="1"/>
        <v>854350</v>
      </c>
      <c r="L14" s="53"/>
      <c r="M14" s="57">
        <v>60</v>
      </c>
      <c r="N14" s="55">
        <f t="shared" si="2"/>
        <v>0</v>
      </c>
      <c r="O14" s="53">
        <v>8581</v>
      </c>
      <c r="P14" s="57">
        <v>12</v>
      </c>
      <c r="Q14" s="55">
        <f t="shared" si="3"/>
        <v>102972</v>
      </c>
      <c r="R14" s="53">
        <v>744</v>
      </c>
      <c r="S14" s="59">
        <v>12</v>
      </c>
      <c r="T14" s="55">
        <f t="shared" si="4"/>
        <v>8928</v>
      </c>
      <c r="U14" s="53">
        <v>1087</v>
      </c>
      <c r="V14" s="57">
        <v>8</v>
      </c>
      <c r="W14" s="55">
        <f t="shared" si="5"/>
        <v>8696</v>
      </c>
      <c r="X14" s="53">
        <v>376</v>
      </c>
      <c r="Y14" s="57">
        <v>12</v>
      </c>
      <c r="Z14" s="55">
        <f t="shared" si="6"/>
        <v>4512</v>
      </c>
      <c r="AA14" s="53">
        <v>1322</v>
      </c>
      <c r="AB14" s="57">
        <v>10</v>
      </c>
      <c r="AC14" s="55">
        <f t="shared" si="7"/>
        <v>13220</v>
      </c>
      <c r="AD14" s="53">
        <v>308</v>
      </c>
      <c r="AE14" s="57">
        <v>25</v>
      </c>
      <c r="AF14" s="55">
        <f t="shared" si="8"/>
        <v>7700</v>
      </c>
      <c r="AG14" s="53">
        <v>279</v>
      </c>
      <c r="AH14" s="57">
        <v>7.5</v>
      </c>
      <c r="AI14" s="55">
        <f t="shared" si="9"/>
        <v>2092.5</v>
      </c>
      <c r="AJ14" s="53"/>
      <c r="AK14" s="56">
        <v>15</v>
      </c>
      <c r="AL14" s="55">
        <f t="shared" si="10"/>
        <v>0</v>
      </c>
      <c r="AM14" s="53">
        <v>302</v>
      </c>
      <c r="AN14" s="57">
        <v>10</v>
      </c>
      <c r="AO14" s="55">
        <f t="shared" si="43"/>
        <v>3020</v>
      </c>
      <c r="AP14" s="53">
        <f t="shared" si="12"/>
        <v>4418</v>
      </c>
      <c r="AQ14" s="53"/>
      <c r="AR14" s="61"/>
      <c r="AS14" s="53"/>
      <c r="AT14" s="53"/>
      <c r="AU14" s="55"/>
      <c r="AV14" s="53"/>
      <c r="AW14" s="53"/>
      <c r="AX14" s="66">
        <v>2834</v>
      </c>
      <c r="AY14" s="53"/>
      <c r="AZ14" s="68">
        <f t="shared" si="13"/>
        <v>0.50219465090419613</v>
      </c>
      <c r="BA14" s="68">
        <f t="shared" si="14"/>
        <v>0.25855913852636508</v>
      </c>
      <c r="BB14" s="68">
        <f t="shared" si="15"/>
        <v>0.33026453793264188</v>
      </c>
      <c r="BC14" s="55">
        <f t="shared" si="16"/>
        <v>897406</v>
      </c>
      <c r="BD14" s="55">
        <f t="shared" si="17"/>
        <v>870978</v>
      </c>
      <c r="BE14" s="55">
        <f t="shared" si="18"/>
        <v>897406</v>
      </c>
      <c r="BF14" s="55">
        <f t="shared" si="19"/>
        <v>899498.5</v>
      </c>
      <c r="BG14" s="62">
        <v>1063329.5</v>
      </c>
      <c r="BH14" s="63">
        <v>727550.14</v>
      </c>
      <c r="BI14" s="69">
        <f t="shared" si="20"/>
        <v>68.421889922173705</v>
      </c>
      <c r="BJ14" s="70">
        <f t="shared" si="21"/>
        <v>66471</v>
      </c>
      <c r="BK14" s="71">
        <f t="shared" si="22"/>
        <v>6.2512137582941135E-2</v>
      </c>
      <c r="BL14" s="72">
        <f t="shared" si="23"/>
        <v>6</v>
      </c>
      <c r="BM14" s="61">
        <f t="shared" si="24"/>
        <v>72512.5</v>
      </c>
      <c r="BN14" s="69">
        <f t="shared" si="25"/>
        <v>2.8725070849853473</v>
      </c>
      <c r="BO14" s="73">
        <f t="shared" si="26"/>
        <v>0</v>
      </c>
      <c r="BP14" s="69" t="e">
        <f t="shared" si="27"/>
        <v>#DIV/0!</v>
      </c>
      <c r="BQ14" s="61">
        <f t="shared" si="28"/>
        <v>25000</v>
      </c>
      <c r="BR14" s="69">
        <f t="shared" si="29"/>
        <v>8.331706800000001</v>
      </c>
      <c r="BS14" s="64">
        <f t="shared" si="30"/>
        <v>44309.170000000013</v>
      </c>
      <c r="BT14" s="69">
        <f t="shared" si="31"/>
        <v>4.7008930657017487</v>
      </c>
      <c r="BU14" s="65">
        <v>208292.67</v>
      </c>
      <c r="BV14" s="74">
        <f t="shared" si="32"/>
        <v>19.588722968750517</v>
      </c>
      <c r="BW14" s="75">
        <f t="shared" si="33"/>
        <v>127486.68999999997</v>
      </c>
      <c r="BX14" s="69">
        <f t="shared" si="34"/>
        <v>11.989387109075782</v>
      </c>
      <c r="BY14" s="55">
        <v>23130</v>
      </c>
      <c r="BZ14" s="55">
        <v>17501</v>
      </c>
      <c r="CA14" s="55">
        <v>20170</v>
      </c>
      <c r="CB14" s="55">
        <v>5670</v>
      </c>
      <c r="CC14" s="64">
        <v>72512.5</v>
      </c>
      <c r="CD14" s="64"/>
      <c r="CE14" s="64">
        <v>25000</v>
      </c>
      <c r="CF14" s="76">
        <f t="shared" si="35"/>
        <v>2.1752429515028031E-2</v>
      </c>
      <c r="CG14" s="76">
        <f t="shared" si="36"/>
        <v>1.645868002345463E-2</v>
      </c>
      <c r="CH14" s="76">
        <f t="shared" si="37"/>
        <v>1.8968720420151984E-2</v>
      </c>
      <c r="CI14" s="76">
        <f t="shared" si="38"/>
        <v>5.3323076243064829E-3</v>
      </c>
      <c r="CJ14" s="76">
        <f t="shared" si="39"/>
        <v>6.8193819507499795E-2</v>
      </c>
      <c r="CK14" s="63">
        <f t="shared" si="40"/>
        <v>25497.337999999996</v>
      </c>
      <c r="CL14" s="77">
        <f t="shared" si="41"/>
        <v>101989.35199999998</v>
      </c>
    </row>
    <row r="15" spans="1:90" ht="18.75" customHeight="1" x14ac:dyDescent="0.35">
      <c r="A15" s="50">
        <f t="shared" si="42"/>
        <v>7</v>
      </c>
      <c r="B15" s="51">
        <v>6</v>
      </c>
      <c r="C15" s="52" t="s">
        <v>115</v>
      </c>
      <c r="D15" s="52"/>
      <c r="E15" s="52"/>
      <c r="F15" s="53"/>
      <c r="G15" s="54">
        <v>40</v>
      </c>
      <c r="H15" s="55">
        <f t="shared" si="0"/>
        <v>0</v>
      </c>
      <c r="I15" s="53">
        <v>16800</v>
      </c>
      <c r="J15" s="56">
        <v>50</v>
      </c>
      <c r="K15" s="55">
        <f t="shared" si="1"/>
        <v>840000</v>
      </c>
      <c r="L15" s="53"/>
      <c r="M15" s="57">
        <v>60</v>
      </c>
      <c r="N15" s="55">
        <f t="shared" si="2"/>
        <v>0</v>
      </c>
      <c r="O15" s="53">
        <v>5351</v>
      </c>
      <c r="P15" s="57">
        <v>12</v>
      </c>
      <c r="Q15" s="55">
        <f t="shared" si="3"/>
        <v>64212</v>
      </c>
      <c r="R15" s="53"/>
      <c r="S15" s="59">
        <v>12</v>
      </c>
      <c r="T15" s="55">
        <f t="shared" si="4"/>
        <v>0</v>
      </c>
      <c r="U15" s="53">
        <v>680</v>
      </c>
      <c r="V15" s="57">
        <v>8</v>
      </c>
      <c r="W15" s="55">
        <f t="shared" si="5"/>
        <v>5440</v>
      </c>
      <c r="X15" s="53">
        <v>228</v>
      </c>
      <c r="Y15" s="57">
        <v>12</v>
      </c>
      <c r="Z15" s="55">
        <f t="shared" si="6"/>
        <v>2736</v>
      </c>
      <c r="AA15" s="53">
        <v>783</v>
      </c>
      <c r="AB15" s="57">
        <v>10</v>
      </c>
      <c r="AC15" s="55">
        <f t="shared" si="7"/>
        <v>7830</v>
      </c>
      <c r="AD15" s="53">
        <v>278</v>
      </c>
      <c r="AE15" s="57">
        <v>25</v>
      </c>
      <c r="AF15" s="55">
        <f t="shared" si="8"/>
        <v>6950</v>
      </c>
      <c r="AG15" s="53">
        <v>315</v>
      </c>
      <c r="AH15" s="57">
        <v>7.5</v>
      </c>
      <c r="AI15" s="55">
        <f t="shared" si="9"/>
        <v>2362.5</v>
      </c>
      <c r="AJ15" s="53"/>
      <c r="AK15" s="56">
        <v>15</v>
      </c>
      <c r="AL15" s="55">
        <f t="shared" si="10"/>
        <v>0</v>
      </c>
      <c r="AM15" s="53">
        <v>301</v>
      </c>
      <c r="AN15" s="57">
        <v>10</v>
      </c>
      <c r="AO15" s="55">
        <f t="shared" si="43"/>
        <v>3010</v>
      </c>
      <c r="AP15" s="53">
        <f t="shared" si="12"/>
        <v>2585</v>
      </c>
      <c r="AQ15" s="53"/>
      <c r="AR15" s="61"/>
      <c r="AS15" s="53"/>
      <c r="AT15" s="53"/>
      <c r="AU15" s="55"/>
      <c r="AV15" s="53"/>
      <c r="AW15" s="53"/>
      <c r="AX15" s="66">
        <v>2219</v>
      </c>
      <c r="AY15" s="53"/>
      <c r="AZ15" s="68">
        <f t="shared" si="13"/>
        <v>0.31851190476190477</v>
      </c>
      <c r="BA15" s="68">
        <f t="shared" si="14"/>
        <v>0.15386904761904763</v>
      </c>
      <c r="BB15" s="68">
        <f t="shared" si="15"/>
        <v>0.41468884320687721</v>
      </c>
      <c r="BC15" s="55">
        <f t="shared" si="16"/>
        <v>862956</v>
      </c>
      <c r="BD15" s="55">
        <f t="shared" si="17"/>
        <v>846950</v>
      </c>
      <c r="BE15" s="55">
        <f t="shared" si="18"/>
        <v>862956</v>
      </c>
      <c r="BF15" s="55">
        <f t="shared" si="19"/>
        <v>865318.5</v>
      </c>
      <c r="BG15" s="62">
        <v>971924.5</v>
      </c>
      <c r="BH15" s="63">
        <v>661250.57999999996</v>
      </c>
      <c r="BI15" s="69">
        <f t="shared" si="20"/>
        <v>68.0351796873111</v>
      </c>
      <c r="BJ15" s="70">
        <f t="shared" si="21"/>
        <v>67807.7</v>
      </c>
      <c r="BK15" s="71">
        <f t="shared" si="22"/>
        <v>6.9766427330517966E-2</v>
      </c>
      <c r="BL15" s="72">
        <f t="shared" si="23"/>
        <v>6</v>
      </c>
      <c r="BM15" s="61">
        <f t="shared" si="24"/>
        <v>72625</v>
      </c>
      <c r="BN15" s="69">
        <f t="shared" si="25"/>
        <v>2.7981210327022374</v>
      </c>
      <c r="BO15" s="73">
        <f t="shared" si="26"/>
        <v>625</v>
      </c>
      <c r="BP15" s="69">
        <f t="shared" si="27"/>
        <v>325.14166399999999</v>
      </c>
      <c r="BQ15" s="61">
        <f t="shared" si="28"/>
        <v>10000</v>
      </c>
      <c r="BR15" s="69">
        <f t="shared" si="29"/>
        <v>20.321353999999999</v>
      </c>
      <c r="BS15" s="64">
        <f t="shared" si="30"/>
        <v>52155.840000000011</v>
      </c>
      <c r="BT15" s="69">
        <f t="shared" si="31"/>
        <v>3.8962758532889121</v>
      </c>
      <c r="BU15" s="65">
        <v>203213.54</v>
      </c>
      <c r="BV15" s="74">
        <f t="shared" si="32"/>
        <v>20.908366853598196</v>
      </c>
      <c r="BW15" s="75">
        <f t="shared" si="33"/>
        <v>107460.38000000003</v>
      </c>
      <c r="BX15" s="69">
        <f t="shared" si="34"/>
        <v>11.056453459090703</v>
      </c>
      <c r="BY15" s="55">
        <v>24200.7</v>
      </c>
      <c r="BZ15" s="55">
        <v>20683</v>
      </c>
      <c r="CA15" s="55">
        <v>18874</v>
      </c>
      <c r="CB15" s="55">
        <v>4050</v>
      </c>
      <c r="CC15" s="64">
        <v>72625</v>
      </c>
      <c r="CD15" s="64">
        <v>625</v>
      </c>
      <c r="CE15" s="64">
        <v>10000</v>
      </c>
      <c r="CF15" s="76">
        <f t="shared" si="35"/>
        <v>2.4899773593525014E-2</v>
      </c>
      <c r="CG15" s="76">
        <f t="shared" si="36"/>
        <v>2.1280459541867709E-2</v>
      </c>
      <c r="CH15" s="76">
        <f t="shared" si="37"/>
        <v>1.9419203857912831E-2</v>
      </c>
      <c r="CI15" s="76">
        <f t="shared" si="38"/>
        <v>4.1669903372124071E-3</v>
      </c>
      <c r="CJ15" s="76">
        <f t="shared" si="39"/>
        <v>7.4722882281494082E-2</v>
      </c>
      <c r="CK15" s="63">
        <f t="shared" si="40"/>
        <v>21492.076000000008</v>
      </c>
      <c r="CL15" s="77">
        <f t="shared" si="41"/>
        <v>85968.304000000033</v>
      </c>
    </row>
    <row r="16" spans="1:90" ht="18.75" customHeight="1" x14ac:dyDescent="0.35">
      <c r="A16" s="50">
        <f t="shared" si="42"/>
        <v>8</v>
      </c>
      <c r="B16" s="58">
        <v>6</v>
      </c>
      <c r="C16" s="52" t="s">
        <v>117</v>
      </c>
      <c r="D16" s="52"/>
      <c r="E16" s="52"/>
      <c r="F16" s="53"/>
      <c r="G16" s="54">
        <v>40</v>
      </c>
      <c r="H16" s="55">
        <f t="shared" si="0"/>
        <v>0</v>
      </c>
      <c r="I16" s="53">
        <v>15050</v>
      </c>
      <c r="J16" s="56">
        <v>50</v>
      </c>
      <c r="K16" s="55">
        <f t="shared" si="1"/>
        <v>752500</v>
      </c>
      <c r="L16" s="53"/>
      <c r="M16" s="57">
        <v>60</v>
      </c>
      <c r="N16" s="55">
        <f t="shared" si="2"/>
        <v>0</v>
      </c>
      <c r="O16" s="53">
        <v>6002</v>
      </c>
      <c r="P16" s="57">
        <v>12</v>
      </c>
      <c r="Q16" s="55">
        <f t="shared" si="3"/>
        <v>72024</v>
      </c>
      <c r="R16" s="53"/>
      <c r="S16" s="59">
        <v>12</v>
      </c>
      <c r="T16" s="55">
        <f t="shared" si="4"/>
        <v>0</v>
      </c>
      <c r="U16" s="53">
        <v>759</v>
      </c>
      <c r="V16" s="57">
        <v>8</v>
      </c>
      <c r="W16" s="55">
        <f t="shared" si="5"/>
        <v>6072</v>
      </c>
      <c r="X16" s="53">
        <v>582</v>
      </c>
      <c r="Y16" s="57">
        <v>12</v>
      </c>
      <c r="Z16" s="55">
        <f t="shared" si="6"/>
        <v>6984</v>
      </c>
      <c r="AA16" s="53">
        <v>1357</v>
      </c>
      <c r="AB16" s="57">
        <v>10</v>
      </c>
      <c r="AC16" s="55">
        <f t="shared" si="7"/>
        <v>13570</v>
      </c>
      <c r="AD16" s="53">
        <v>172</v>
      </c>
      <c r="AE16" s="57">
        <v>25</v>
      </c>
      <c r="AF16" s="55">
        <f t="shared" si="8"/>
        <v>4300</v>
      </c>
      <c r="AG16" s="53">
        <v>408</v>
      </c>
      <c r="AH16" s="57">
        <v>7.5</v>
      </c>
      <c r="AI16" s="55">
        <f t="shared" si="9"/>
        <v>3060</v>
      </c>
      <c r="AJ16" s="53"/>
      <c r="AK16" s="56">
        <v>15</v>
      </c>
      <c r="AL16" s="55">
        <f t="shared" si="10"/>
        <v>0</v>
      </c>
      <c r="AM16" s="53"/>
      <c r="AN16" s="57">
        <v>10</v>
      </c>
      <c r="AO16" s="55">
        <f t="shared" si="43"/>
        <v>0</v>
      </c>
      <c r="AP16" s="53">
        <f t="shared" si="12"/>
        <v>3278</v>
      </c>
      <c r="AQ16" s="53"/>
      <c r="AR16" s="61"/>
      <c r="AS16" s="53"/>
      <c r="AT16" s="53"/>
      <c r="AU16" s="55"/>
      <c r="AV16" s="53"/>
      <c r="AW16" s="53"/>
      <c r="AX16" s="66">
        <v>3311</v>
      </c>
      <c r="AY16" s="53"/>
      <c r="AZ16" s="68">
        <f t="shared" si="13"/>
        <v>0.39880398671096345</v>
      </c>
      <c r="BA16" s="68">
        <f t="shared" si="14"/>
        <v>0.21780730897009967</v>
      </c>
      <c r="BB16" s="68">
        <f t="shared" si="15"/>
        <v>0.55164945018327227</v>
      </c>
      <c r="BC16" s="55">
        <f t="shared" si="16"/>
        <v>783426</v>
      </c>
      <c r="BD16" s="55">
        <f t="shared" si="17"/>
        <v>756800</v>
      </c>
      <c r="BE16" s="55">
        <f t="shared" si="18"/>
        <v>783426</v>
      </c>
      <c r="BF16" s="55">
        <f t="shared" si="19"/>
        <v>786486</v>
      </c>
      <c r="BG16" s="62">
        <v>922653</v>
      </c>
      <c r="BH16" s="63">
        <v>614717.25</v>
      </c>
      <c r="BI16" s="69">
        <f t="shared" si="20"/>
        <v>66.62496626575755</v>
      </c>
      <c r="BJ16" s="70">
        <f t="shared" si="21"/>
        <v>72731.5</v>
      </c>
      <c r="BK16" s="71">
        <f t="shared" si="22"/>
        <v>7.8828660395620032E-2</v>
      </c>
      <c r="BL16" s="72">
        <f t="shared" si="23"/>
        <v>6</v>
      </c>
      <c r="BM16" s="61">
        <f t="shared" si="24"/>
        <v>71912.5</v>
      </c>
      <c r="BN16" s="69">
        <f t="shared" si="25"/>
        <v>3.214795202503042</v>
      </c>
      <c r="BO16" s="73">
        <f t="shared" si="26"/>
        <v>0</v>
      </c>
      <c r="BP16" s="69" t="e">
        <f t="shared" si="27"/>
        <v>#DIV/0!</v>
      </c>
      <c r="BQ16" s="61">
        <f t="shared" si="28"/>
        <v>26250</v>
      </c>
      <c r="BR16" s="69">
        <f t="shared" si="29"/>
        <v>8.8070079999999997</v>
      </c>
      <c r="BS16" s="64">
        <f t="shared" si="30"/>
        <v>60289.959999999992</v>
      </c>
      <c r="BT16" s="69">
        <f t="shared" si="31"/>
        <v>3.8345349706650995</v>
      </c>
      <c r="BU16" s="65">
        <v>231183.96</v>
      </c>
      <c r="BV16" s="74">
        <f t="shared" si="32"/>
        <v>25.056436168310295</v>
      </c>
      <c r="BW16" s="75">
        <f t="shared" si="33"/>
        <v>76751.790000000008</v>
      </c>
      <c r="BX16" s="69">
        <f t="shared" si="34"/>
        <v>8.3185975659321549</v>
      </c>
      <c r="BY16" s="55">
        <v>27982.5</v>
      </c>
      <c r="BZ16" s="55">
        <v>15910</v>
      </c>
      <c r="CA16" s="55">
        <v>21819</v>
      </c>
      <c r="CB16" s="55">
        <v>7020</v>
      </c>
      <c r="CC16" s="64">
        <v>71912.5</v>
      </c>
      <c r="CD16" s="64"/>
      <c r="CE16" s="64">
        <v>26250</v>
      </c>
      <c r="CF16" s="76">
        <f t="shared" si="35"/>
        <v>3.0328303273278252E-2</v>
      </c>
      <c r="CG16" s="76">
        <f t="shared" si="36"/>
        <v>1.724375252668121E-2</v>
      </c>
      <c r="CH16" s="76">
        <f t="shared" si="37"/>
        <v>2.3648110394698767E-2</v>
      </c>
      <c r="CI16" s="76">
        <f t="shared" si="38"/>
        <v>7.6084942009617918E-3</v>
      </c>
      <c r="CJ16" s="76">
        <f t="shared" si="39"/>
        <v>7.794100273884115E-2</v>
      </c>
      <c r="CK16" s="63">
        <f t="shared" si="40"/>
        <v>15350.358000000002</v>
      </c>
      <c r="CL16" s="77">
        <f t="shared" si="41"/>
        <v>61401.432000000008</v>
      </c>
    </row>
    <row r="17" spans="1:90" ht="18.75" customHeight="1" x14ac:dyDescent="0.35">
      <c r="A17" s="50">
        <f t="shared" si="42"/>
        <v>9</v>
      </c>
      <c r="B17" s="58">
        <v>6</v>
      </c>
      <c r="C17" s="52" t="s">
        <v>118</v>
      </c>
      <c r="D17" s="52"/>
      <c r="E17" s="52"/>
      <c r="F17" s="53"/>
      <c r="G17" s="54">
        <v>40</v>
      </c>
      <c r="H17" s="55">
        <f t="shared" si="0"/>
        <v>0</v>
      </c>
      <c r="I17" s="53">
        <v>13367</v>
      </c>
      <c r="J17" s="56">
        <v>50</v>
      </c>
      <c r="K17" s="55">
        <f t="shared" si="1"/>
        <v>668350</v>
      </c>
      <c r="L17" s="53"/>
      <c r="M17" s="57">
        <v>60</v>
      </c>
      <c r="N17" s="55">
        <f t="shared" si="2"/>
        <v>0</v>
      </c>
      <c r="O17" s="53">
        <v>10054</v>
      </c>
      <c r="P17" s="57">
        <v>12</v>
      </c>
      <c r="Q17" s="55">
        <f t="shared" si="3"/>
        <v>120648</v>
      </c>
      <c r="R17" s="53"/>
      <c r="S17" s="59">
        <v>12</v>
      </c>
      <c r="T17" s="55">
        <f t="shared" si="4"/>
        <v>0</v>
      </c>
      <c r="U17" s="53">
        <v>1219</v>
      </c>
      <c r="V17" s="57">
        <v>8</v>
      </c>
      <c r="W17" s="55">
        <f t="shared" si="5"/>
        <v>9752</v>
      </c>
      <c r="X17" s="53">
        <v>682</v>
      </c>
      <c r="Y17" s="57">
        <v>12</v>
      </c>
      <c r="Z17" s="55">
        <f t="shared" si="6"/>
        <v>8184</v>
      </c>
      <c r="AA17" s="53">
        <v>1046</v>
      </c>
      <c r="AB17" s="57">
        <v>10</v>
      </c>
      <c r="AC17" s="55">
        <f t="shared" si="7"/>
        <v>10460</v>
      </c>
      <c r="AD17" s="53">
        <v>454</v>
      </c>
      <c r="AE17" s="57">
        <v>25</v>
      </c>
      <c r="AF17" s="55">
        <f t="shared" si="8"/>
        <v>11350</v>
      </c>
      <c r="AG17" s="53">
        <v>801</v>
      </c>
      <c r="AH17" s="57">
        <v>7.5</v>
      </c>
      <c r="AI17" s="55">
        <f t="shared" si="9"/>
        <v>6007.5</v>
      </c>
      <c r="AJ17" s="53"/>
      <c r="AK17" s="56">
        <v>15</v>
      </c>
      <c r="AL17" s="55">
        <f t="shared" si="10"/>
        <v>0</v>
      </c>
      <c r="AM17" s="53">
        <v>510</v>
      </c>
      <c r="AN17" s="57">
        <v>10</v>
      </c>
      <c r="AO17" s="55">
        <f t="shared" si="43"/>
        <v>5100</v>
      </c>
      <c r="AP17" s="53">
        <f t="shared" si="12"/>
        <v>4712</v>
      </c>
      <c r="AQ17" s="53"/>
      <c r="AR17" s="61"/>
      <c r="AS17" s="53"/>
      <c r="AT17" s="53"/>
      <c r="AU17" s="55"/>
      <c r="AV17" s="53"/>
      <c r="AW17" s="53"/>
      <c r="AX17" s="66">
        <v>2050</v>
      </c>
      <c r="AY17" s="53"/>
      <c r="AZ17" s="68">
        <f t="shared" si="13"/>
        <v>0.75215081918156657</v>
      </c>
      <c r="BA17" s="68">
        <f t="shared" si="14"/>
        <v>0.35250991247101071</v>
      </c>
      <c r="BB17" s="68">
        <f t="shared" si="15"/>
        <v>0.20389894569325642</v>
      </c>
      <c r="BC17" s="55">
        <f t="shared" si="16"/>
        <v>708096</v>
      </c>
      <c r="BD17" s="55">
        <f t="shared" si="17"/>
        <v>679700</v>
      </c>
      <c r="BE17" s="55">
        <f t="shared" si="18"/>
        <v>708096</v>
      </c>
      <c r="BF17" s="55">
        <f t="shared" si="19"/>
        <v>714103.5</v>
      </c>
      <c r="BG17" s="62">
        <v>880472.5</v>
      </c>
      <c r="BH17" s="63">
        <v>600584.21</v>
      </c>
      <c r="BI17" s="69">
        <f t="shared" si="20"/>
        <v>68.211580713764477</v>
      </c>
      <c r="BJ17" s="70">
        <f t="shared" si="21"/>
        <v>53143</v>
      </c>
      <c r="BK17" s="71">
        <f t="shared" si="22"/>
        <v>6.0357364937576131E-2</v>
      </c>
      <c r="BL17" s="72">
        <f t="shared" si="23"/>
        <v>6</v>
      </c>
      <c r="BM17" s="61">
        <f t="shared" si="24"/>
        <v>71462.5</v>
      </c>
      <c r="BN17" s="69">
        <f t="shared" si="25"/>
        <v>2.7488298058422251</v>
      </c>
      <c r="BO17" s="73">
        <f t="shared" si="26"/>
        <v>437.5</v>
      </c>
      <c r="BP17" s="69">
        <f t="shared" si="27"/>
        <v>449.00171428571429</v>
      </c>
      <c r="BQ17" s="61">
        <f t="shared" si="28"/>
        <v>22050</v>
      </c>
      <c r="BR17" s="69">
        <f t="shared" si="29"/>
        <v>8.9087641723356015</v>
      </c>
      <c r="BS17" s="64">
        <f t="shared" si="30"/>
        <v>49345.25</v>
      </c>
      <c r="BT17" s="69">
        <f t="shared" si="31"/>
        <v>3.9808948176369561</v>
      </c>
      <c r="BU17" s="65">
        <v>196438.25</v>
      </c>
      <c r="BV17" s="74">
        <f t="shared" si="32"/>
        <v>22.310549165362914</v>
      </c>
      <c r="BW17" s="75">
        <f t="shared" si="33"/>
        <v>83450.040000000037</v>
      </c>
      <c r="BX17" s="69">
        <f t="shared" si="34"/>
        <v>9.4778701208726037</v>
      </c>
      <c r="BY17" s="55">
        <v>19091.5</v>
      </c>
      <c r="BZ17" s="55">
        <v>12728</v>
      </c>
      <c r="CA17" s="55">
        <v>18083.5</v>
      </c>
      <c r="CB17" s="55">
        <v>3240</v>
      </c>
      <c r="CC17" s="64">
        <v>71462.5</v>
      </c>
      <c r="CD17" s="64">
        <v>437.5</v>
      </c>
      <c r="CE17" s="64">
        <v>22050</v>
      </c>
      <c r="CF17" s="76">
        <f t="shared" si="35"/>
        <v>2.1683243940043555E-2</v>
      </c>
      <c r="CG17" s="76">
        <f t="shared" si="36"/>
        <v>1.4455874544633705E-2</v>
      </c>
      <c r="CH17" s="76">
        <f t="shared" si="37"/>
        <v>2.0538404095528252E-2</v>
      </c>
      <c r="CI17" s="76">
        <f t="shared" si="38"/>
        <v>3.6798423573706162E-3</v>
      </c>
      <c r="CJ17" s="76">
        <f t="shared" si="39"/>
        <v>8.1163806933209154E-2</v>
      </c>
      <c r="CK17" s="63">
        <f t="shared" si="40"/>
        <v>16690.008000000009</v>
      </c>
      <c r="CL17" s="77">
        <f t="shared" si="41"/>
        <v>66760.032000000036</v>
      </c>
    </row>
    <row r="18" spans="1:90" ht="18.75" customHeight="1" x14ac:dyDescent="0.35">
      <c r="A18" s="50">
        <f t="shared" si="42"/>
        <v>10</v>
      </c>
      <c r="B18" s="51">
        <v>5</v>
      </c>
      <c r="C18" s="52" t="s">
        <v>206</v>
      </c>
      <c r="D18" s="52"/>
      <c r="E18" s="52"/>
      <c r="F18" s="53"/>
      <c r="G18" s="54">
        <v>40</v>
      </c>
      <c r="H18" s="55">
        <f t="shared" si="0"/>
        <v>0</v>
      </c>
      <c r="I18" s="53">
        <v>11902</v>
      </c>
      <c r="J18" s="56">
        <v>50</v>
      </c>
      <c r="K18" s="55">
        <f t="shared" si="1"/>
        <v>595100</v>
      </c>
      <c r="L18" s="53"/>
      <c r="M18" s="57">
        <v>60</v>
      </c>
      <c r="N18" s="55">
        <f t="shared" si="2"/>
        <v>0</v>
      </c>
      <c r="O18" s="53">
        <v>4510</v>
      </c>
      <c r="P18" s="57">
        <v>12</v>
      </c>
      <c r="Q18" s="55">
        <f t="shared" si="3"/>
        <v>54120</v>
      </c>
      <c r="R18" s="53">
        <v>2310</v>
      </c>
      <c r="S18" s="59">
        <v>12</v>
      </c>
      <c r="T18" s="55">
        <f t="shared" si="4"/>
        <v>27720</v>
      </c>
      <c r="U18" s="53">
        <v>1141</v>
      </c>
      <c r="V18" s="57">
        <v>8</v>
      </c>
      <c r="W18" s="55">
        <f t="shared" si="5"/>
        <v>9128</v>
      </c>
      <c r="X18" s="53">
        <v>331</v>
      </c>
      <c r="Y18" s="57">
        <v>12</v>
      </c>
      <c r="Z18" s="55">
        <f t="shared" si="6"/>
        <v>3972</v>
      </c>
      <c r="AA18" s="53">
        <v>970</v>
      </c>
      <c r="AB18" s="57">
        <v>10</v>
      </c>
      <c r="AC18" s="55">
        <f t="shared" si="7"/>
        <v>9700</v>
      </c>
      <c r="AD18" s="53">
        <v>153</v>
      </c>
      <c r="AE18" s="57">
        <v>25</v>
      </c>
      <c r="AF18" s="55">
        <f t="shared" si="8"/>
        <v>3825</v>
      </c>
      <c r="AG18" s="53">
        <v>144</v>
      </c>
      <c r="AH18" s="57">
        <v>7.5</v>
      </c>
      <c r="AI18" s="55">
        <f t="shared" si="9"/>
        <v>1080</v>
      </c>
      <c r="AJ18" s="53"/>
      <c r="AK18" s="56">
        <v>15</v>
      </c>
      <c r="AL18" s="55">
        <f t="shared" si="10"/>
        <v>0</v>
      </c>
      <c r="AM18" s="53">
        <v>180</v>
      </c>
      <c r="AN18" s="57">
        <v>10</v>
      </c>
      <c r="AO18" s="55">
        <f t="shared" si="43"/>
        <v>1800</v>
      </c>
      <c r="AP18" s="53">
        <f t="shared" si="12"/>
        <v>5229</v>
      </c>
      <c r="AQ18" s="53"/>
      <c r="AR18" s="61"/>
      <c r="AS18" s="53"/>
      <c r="AT18" s="53"/>
      <c r="AU18" s="55"/>
      <c r="AV18" s="53"/>
      <c r="AW18" s="53"/>
      <c r="AX18" s="66">
        <v>3031</v>
      </c>
      <c r="AY18" s="53"/>
      <c r="AZ18" s="68">
        <f t="shared" si="13"/>
        <v>0.37892791127541592</v>
      </c>
      <c r="BA18" s="68">
        <f t="shared" si="14"/>
        <v>0.43933792639892455</v>
      </c>
      <c r="BB18" s="68">
        <f t="shared" si="15"/>
        <v>0.67206208425720626</v>
      </c>
      <c r="BC18" s="55">
        <f t="shared" si="16"/>
        <v>649445</v>
      </c>
      <c r="BD18" s="55">
        <f t="shared" si="17"/>
        <v>626645</v>
      </c>
      <c r="BE18" s="55">
        <f t="shared" si="18"/>
        <v>649445</v>
      </c>
      <c r="BF18" s="55">
        <f t="shared" si="19"/>
        <v>650525</v>
      </c>
      <c r="BG18" s="62">
        <v>766539</v>
      </c>
      <c r="BH18" s="63">
        <v>512978.52</v>
      </c>
      <c r="BI18" s="69">
        <f t="shared" si="20"/>
        <v>66.921385604646332</v>
      </c>
      <c r="BJ18" s="70">
        <f t="shared" si="21"/>
        <v>53511.5</v>
      </c>
      <c r="BK18" s="71">
        <f t="shared" si="22"/>
        <v>6.9809233450613725E-2</v>
      </c>
      <c r="BL18" s="72">
        <f t="shared" si="23"/>
        <v>5</v>
      </c>
      <c r="BM18" s="61">
        <f t="shared" si="24"/>
        <v>51499.5</v>
      </c>
      <c r="BN18" s="69">
        <f t="shared" si="25"/>
        <v>4.0173492946533464</v>
      </c>
      <c r="BO18" s="73">
        <f t="shared" si="26"/>
        <v>187.5</v>
      </c>
      <c r="BP18" s="69">
        <f t="shared" si="27"/>
        <v>1103.4212266666668</v>
      </c>
      <c r="BQ18" s="61">
        <f t="shared" si="28"/>
        <v>16000</v>
      </c>
      <c r="BR18" s="69">
        <f t="shared" si="29"/>
        <v>12.9307175</v>
      </c>
      <c r="BS18" s="64">
        <f t="shared" si="30"/>
        <v>85692.98000000001</v>
      </c>
      <c r="BT18" s="69">
        <f t="shared" si="31"/>
        <v>2.4143340563019278</v>
      </c>
      <c r="BU18" s="65">
        <v>206891.48</v>
      </c>
      <c r="BV18" s="74">
        <f t="shared" si="32"/>
        <v>26.990339695697152</v>
      </c>
      <c r="BW18" s="75">
        <f t="shared" si="33"/>
        <v>46668.999999999971</v>
      </c>
      <c r="BX18" s="69">
        <f t="shared" si="34"/>
        <v>6.0882746996565036</v>
      </c>
      <c r="BY18" s="55">
        <v>19019.5</v>
      </c>
      <c r="BZ18" s="55">
        <v>12728</v>
      </c>
      <c r="CA18" s="55">
        <v>16364</v>
      </c>
      <c r="CB18" s="55">
        <v>5400</v>
      </c>
      <c r="CC18" s="55">
        <v>51499.5</v>
      </c>
      <c r="CD18" s="64">
        <v>187.5</v>
      </c>
      <c r="CE18" s="64">
        <v>16000</v>
      </c>
      <c r="CF18" s="76">
        <f t="shared" si="35"/>
        <v>2.4812175244834249E-2</v>
      </c>
      <c r="CG18" s="76">
        <f t="shared" si="36"/>
        <v>1.6604504141341798E-2</v>
      </c>
      <c r="CH18" s="76">
        <f t="shared" si="37"/>
        <v>2.1347902715974008E-2</v>
      </c>
      <c r="CI18" s="76">
        <f t="shared" si="38"/>
        <v>7.0446513484636788E-3</v>
      </c>
      <c r="CJ18" s="76">
        <f t="shared" si="39"/>
        <v>6.7184448540778749E-2</v>
      </c>
      <c r="CK18" s="63">
        <f t="shared" si="40"/>
        <v>9333.7999999999938</v>
      </c>
      <c r="CL18" s="77">
        <f t="shared" si="41"/>
        <v>37335.199999999975</v>
      </c>
    </row>
    <row r="19" spans="1:90" ht="18.75" customHeight="1" x14ac:dyDescent="0.35">
      <c r="A19" s="50">
        <f t="shared" si="42"/>
        <v>11</v>
      </c>
      <c r="B19" s="51">
        <v>5</v>
      </c>
      <c r="C19" s="52" t="s">
        <v>209</v>
      </c>
      <c r="D19" s="52"/>
      <c r="E19" s="52"/>
      <c r="F19" s="53"/>
      <c r="G19" s="54">
        <v>40</v>
      </c>
      <c r="H19" s="55">
        <f t="shared" si="0"/>
        <v>0</v>
      </c>
      <c r="I19" s="53">
        <v>9185</v>
      </c>
      <c r="J19" s="56">
        <v>50</v>
      </c>
      <c r="K19" s="55">
        <f t="shared" si="1"/>
        <v>459250</v>
      </c>
      <c r="L19" s="53"/>
      <c r="M19" s="57">
        <v>60</v>
      </c>
      <c r="N19" s="55">
        <f t="shared" si="2"/>
        <v>0</v>
      </c>
      <c r="O19" s="53">
        <v>8122</v>
      </c>
      <c r="P19" s="57">
        <v>12</v>
      </c>
      <c r="Q19" s="55">
        <f t="shared" si="3"/>
        <v>97464</v>
      </c>
      <c r="R19" s="53">
        <v>8050</v>
      </c>
      <c r="S19" s="59">
        <v>12</v>
      </c>
      <c r="T19" s="55">
        <f t="shared" si="4"/>
        <v>96600</v>
      </c>
      <c r="U19" s="53">
        <v>703</v>
      </c>
      <c r="V19" s="57">
        <v>8</v>
      </c>
      <c r="W19" s="55">
        <f t="shared" si="5"/>
        <v>5624</v>
      </c>
      <c r="X19" s="53">
        <v>376</v>
      </c>
      <c r="Y19" s="57">
        <v>12</v>
      </c>
      <c r="Z19" s="55">
        <f t="shared" si="6"/>
        <v>4512</v>
      </c>
      <c r="AA19" s="53">
        <v>818</v>
      </c>
      <c r="AB19" s="57">
        <v>10</v>
      </c>
      <c r="AC19" s="55">
        <f t="shared" si="7"/>
        <v>8180</v>
      </c>
      <c r="AD19" s="53">
        <v>292</v>
      </c>
      <c r="AE19" s="57">
        <v>25</v>
      </c>
      <c r="AF19" s="55">
        <f t="shared" si="8"/>
        <v>7300</v>
      </c>
      <c r="AG19" s="53">
        <v>826</v>
      </c>
      <c r="AH19" s="57">
        <v>7.5</v>
      </c>
      <c r="AI19" s="55">
        <f t="shared" si="9"/>
        <v>6195</v>
      </c>
      <c r="AJ19" s="53"/>
      <c r="AK19" s="56">
        <v>15</v>
      </c>
      <c r="AL19" s="55">
        <f t="shared" si="10"/>
        <v>0</v>
      </c>
      <c r="AM19" s="53">
        <v>353</v>
      </c>
      <c r="AN19" s="57">
        <v>10</v>
      </c>
      <c r="AO19" s="55">
        <f t="shared" si="43"/>
        <v>3530</v>
      </c>
      <c r="AP19" s="53">
        <f t="shared" si="12"/>
        <v>11418</v>
      </c>
      <c r="AQ19" s="53"/>
      <c r="AR19" s="61"/>
      <c r="AS19" s="53"/>
      <c r="AT19" s="53"/>
      <c r="AU19" s="55"/>
      <c r="AV19" s="53"/>
      <c r="AW19" s="53"/>
      <c r="AX19" s="66">
        <v>2740</v>
      </c>
      <c r="AY19" s="53"/>
      <c r="AZ19" s="68">
        <f t="shared" si="13"/>
        <v>0.88426782798040282</v>
      </c>
      <c r="BA19" s="68">
        <f t="shared" si="14"/>
        <v>1.2431137724550898</v>
      </c>
      <c r="BB19" s="68">
        <f t="shared" si="15"/>
        <v>0.33735533119921202</v>
      </c>
      <c r="BC19" s="55">
        <f t="shared" si="16"/>
        <v>581466</v>
      </c>
      <c r="BD19" s="55">
        <f t="shared" si="17"/>
        <v>563150</v>
      </c>
      <c r="BE19" s="55">
        <f t="shared" si="18"/>
        <v>581466</v>
      </c>
      <c r="BF19" s="55">
        <f t="shared" si="19"/>
        <v>587661</v>
      </c>
      <c r="BG19" s="62">
        <v>739938</v>
      </c>
      <c r="BH19" s="63">
        <v>489888.38</v>
      </c>
      <c r="BI19" s="69">
        <f t="shared" si="20"/>
        <v>66.20667947855091</v>
      </c>
      <c r="BJ19" s="70">
        <f t="shared" si="21"/>
        <v>45668</v>
      </c>
      <c r="BK19" s="71">
        <f t="shared" si="22"/>
        <v>6.17186845384343E-2</v>
      </c>
      <c r="BL19" s="72">
        <f t="shared" si="23"/>
        <v>5</v>
      </c>
      <c r="BM19" s="61">
        <f t="shared" si="24"/>
        <v>58250</v>
      </c>
      <c r="BN19" s="69">
        <f t="shared" si="25"/>
        <v>3.4412815450643777</v>
      </c>
      <c r="BO19" s="73">
        <f t="shared" si="26"/>
        <v>1812.5</v>
      </c>
      <c r="BP19" s="69">
        <f t="shared" si="27"/>
        <v>110.59566896551723</v>
      </c>
      <c r="BQ19" s="61">
        <f t="shared" si="28"/>
        <v>44000</v>
      </c>
      <c r="BR19" s="69">
        <f t="shared" si="29"/>
        <v>4.5557875000000001</v>
      </c>
      <c r="BS19" s="64">
        <f t="shared" si="30"/>
        <v>50724.149999999994</v>
      </c>
      <c r="BT19" s="69">
        <f t="shared" si="31"/>
        <v>3.9518582371513373</v>
      </c>
      <c r="BU19" s="65">
        <v>200454.65</v>
      </c>
      <c r="BV19" s="74">
        <f t="shared" si="32"/>
        <v>27.090735980582156</v>
      </c>
      <c r="BW19" s="75">
        <f t="shared" si="33"/>
        <v>49594.97</v>
      </c>
      <c r="BX19" s="69">
        <f t="shared" si="34"/>
        <v>6.7025845408669378</v>
      </c>
      <c r="BY19" s="55">
        <v>15238</v>
      </c>
      <c r="BZ19" s="55">
        <v>12728</v>
      </c>
      <c r="CA19" s="55">
        <v>14462</v>
      </c>
      <c r="CB19" s="55">
        <v>3240</v>
      </c>
      <c r="CC19" s="64">
        <v>58250</v>
      </c>
      <c r="CD19" s="64">
        <v>1812.5</v>
      </c>
      <c r="CE19" s="64">
        <v>44000</v>
      </c>
      <c r="CF19" s="76">
        <f t="shared" si="35"/>
        <v>2.0593617303071337E-2</v>
      </c>
      <c r="CG19" s="76">
        <f t="shared" si="36"/>
        <v>1.7201441201830425E-2</v>
      </c>
      <c r="CH19" s="76">
        <f t="shared" si="37"/>
        <v>1.9544880787309208E-2</v>
      </c>
      <c r="CI19" s="76">
        <f t="shared" si="38"/>
        <v>4.3787452462233324E-3</v>
      </c>
      <c r="CJ19" s="76">
        <f t="shared" si="39"/>
        <v>7.8722811911268245E-2</v>
      </c>
      <c r="CK19" s="63">
        <f t="shared" si="40"/>
        <v>9918.9940000000006</v>
      </c>
      <c r="CL19" s="77">
        <f t="shared" si="41"/>
        <v>39675.976000000002</v>
      </c>
    </row>
    <row r="20" spans="1:90" ht="18.75" customHeight="1" x14ac:dyDescent="0.35">
      <c r="A20" s="50">
        <f t="shared" si="42"/>
        <v>12</v>
      </c>
      <c r="B20" s="58">
        <v>6</v>
      </c>
      <c r="C20" s="52" t="s">
        <v>210</v>
      </c>
      <c r="D20" s="52"/>
      <c r="E20" s="52"/>
      <c r="F20" s="53"/>
      <c r="G20" s="54">
        <v>40</v>
      </c>
      <c r="H20" s="55">
        <f t="shared" si="0"/>
        <v>0</v>
      </c>
      <c r="I20" s="53">
        <v>10677</v>
      </c>
      <c r="J20" s="56">
        <v>50</v>
      </c>
      <c r="K20" s="55">
        <f t="shared" si="1"/>
        <v>533850</v>
      </c>
      <c r="L20" s="53"/>
      <c r="M20" s="57">
        <v>60</v>
      </c>
      <c r="N20" s="55">
        <f t="shared" si="2"/>
        <v>0</v>
      </c>
      <c r="O20" s="53">
        <v>6177</v>
      </c>
      <c r="P20" s="57">
        <v>12</v>
      </c>
      <c r="Q20" s="55">
        <f t="shared" si="3"/>
        <v>74124</v>
      </c>
      <c r="R20" s="53">
        <v>2730</v>
      </c>
      <c r="S20" s="59">
        <v>12</v>
      </c>
      <c r="T20" s="55">
        <f t="shared" si="4"/>
        <v>32760</v>
      </c>
      <c r="U20" s="53">
        <v>982</v>
      </c>
      <c r="V20" s="57">
        <v>8</v>
      </c>
      <c r="W20" s="55">
        <f t="shared" si="5"/>
        <v>7856</v>
      </c>
      <c r="X20" s="53">
        <v>849</v>
      </c>
      <c r="Y20" s="57">
        <v>12</v>
      </c>
      <c r="Z20" s="55">
        <f t="shared" si="6"/>
        <v>10188</v>
      </c>
      <c r="AA20" s="53">
        <v>1365</v>
      </c>
      <c r="AB20" s="57">
        <v>10</v>
      </c>
      <c r="AC20" s="55">
        <f t="shared" si="7"/>
        <v>13650</v>
      </c>
      <c r="AD20" s="53">
        <v>177</v>
      </c>
      <c r="AE20" s="57">
        <v>25</v>
      </c>
      <c r="AF20" s="55">
        <f t="shared" si="8"/>
        <v>4425</v>
      </c>
      <c r="AG20" s="53">
        <v>171</v>
      </c>
      <c r="AH20" s="57">
        <v>7.5</v>
      </c>
      <c r="AI20" s="55">
        <f t="shared" si="9"/>
        <v>1282.5</v>
      </c>
      <c r="AJ20" s="53"/>
      <c r="AK20" s="56">
        <v>15</v>
      </c>
      <c r="AL20" s="55">
        <f t="shared" si="10"/>
        <v>0</v>
      </c>
      <c r="AM20" s="53">
        <v>188</v>
      </c>
      <c r="AN20" s="57">
        <v>12</v>
      </c>
      <c r="AO20" s="55">
        <f t="shared" si="43"/>
        <v>2256</v>
      </c>
      <c r="AP20" s="53">
        <f t="shared" si="12"/>
        <v>6462</v>
      </c>
      <c r="AQ20" s="53"/>
      <c r="AR20" s="61"/>
      <c r="AS20" s="53"/>
      <c r="AT20" s="53"/>
      <c r="AU20" s="55"/>
      <c r="AV20" s="53"/>
      <c r="AW20" s="53"/>
      <c r="AX20" s="66">
        <v>2748</v>
      </c>
      <c r="AY20" s="53"/>
      <c r="AZ20" s="68">
        <f t="shared" si="13"/>
        <v>0.57853329586962632</v>
      </c>
      <c r="BA20" s="68">
        <f t="shared" si="14"/>
        <v>0.60522618713121668</v>
      </c>
      <c r="BB20" s="68">
        <f t="shared" si="15"/>
        <v>0.44487615347255949</v>
      </c>
      <c r="BC20" s="55">
        <f t="shared" si="16"/>
        <v>602729</v>
      </c>
      <c r="BD20" s="55">
        <f t="shared" si="17"/>
        <v>571035</v>
      </c>
      <c r="BE20" s="55">
        <f t="shared" si="18"/>
        <v>602729</v>
      </c>
      <c r="BF20" s="55">
        <f t="shared" si="19"/>
        <v>604011.5</v>
      </c>
      <c r="BG20" s="62">
        <v>732728.5</v>
      </c>
      <c r="BH20" s="63">
        <v>483983.74</v>
      </c>
      <c r="BI20" s="69">
        <f t="shared" si="20"/>
        <v>66.052260830580494</v>
      </c>
      <c r="BJ20" s="70">
        <f t="shared" si="21"/>
        <v>48627</v>
      </c>
      <c r="BK20" s="71">
        <f t="shared" si="22"/>
        <v>6.6364280903499717E-2</v>
      </c>
      <c r="BL20" s="72">
        <f t="shared" si="23"/>
        <v>6</v>
      </c>
      <c r="BM20" s="61">
        <f t="shared" si="24"/>
        <v>76930</v>
      </c>
      <c r="BN20" s="69">
        <f t="shared" si="25"/>
        <v>2.4167317041466272</v>
      </c>
      <c r="BO20" s="73">
        <f t="shared" si="26"/>
        <v>0</v>
      </c>
      <c r="BP20" s="69" t="e">
        <f t="shared" si="27"/>
        <v>#DIV/0!</v>
      </c>
      <c r="BQ20" s="61">
        <f t="shared" si="28"/>
        <v>9316.9</v>
      </c>
      <c r="BR20" s="69">
        <f t="shared" si="29"/>
        <v>19.955046206356194</v>
      </c>
      <c r="BS20" s="64">
        <f t="shared" si="30"/>
        <v>51045.270000000019</v>
      </c>
      <c r="BT20" s="69">
        <f t="shared" si="31"/>
        <v>3.6422408971487457</v>
      </c>
      <c r="BU20" s="65">
        <v>185919.17</v>
      </c>
      <c r="BV20" s="74">
        <f t="shared" si="32"/>
        <v>25.37354149592926</v>
      </c>
      <c r="BW20" s="75">
        <f t="shared" si="33"/>
        <v>62825.59</v>
      </c>
      <c r="BX20" s="69">
        <f t="shared" si="34"/>
        <v>8.5741976734902483</v>
      </c>
      <c r="BY20" s="55">
        <v>15296</v>
      </c>
      <c r="BZ20" s="55">
        <v>13840</v>
      </c>
      <c r="CA20" s="55">
        <v>13781</v>
      </c>
      <c r="CB20" s="55">
        <v>5710</v>
      </c>
      <c r="CC20" s="64">
        <v>76930</v>
      </c>
      <c r="CD20" s="64"/>
      <c r="CE20" s="64">
        <v>9316.9</v>
      </c>
      <c r="CF20" s="76">
        <f t="shared" si="35"/>
        <v>2.0875399278177387E-2</v>
      </c>
      <c r="CG20" s="76">
        <f t="shared" si="36"/>
        <v>1.8888305832242092E-2</v>
      </c>
      <c r="CH20" s="76">
        <f t="shared" si="37"/>
        <v>1.8807784875298286E-2</v>
      </c>
      <c r="CI20" s="76">
        <f t="shared" si="38"/>
        <v>7.7927909177819615E-3</v>
      </c>
      <c r="CJ20" s="76">
        <f t="shared" si="39"/>
        <v>0.10499113928283123</v>
      </c>
      <c r="CK20" s="63">
        <f t="shared" si="40"/>
        <v>12565.118</v>
      </c>
      <c r="CL20" s="77">
        <f t="shared" si="41"/>
        <v>50260.472000000002</v>
      </c>
    </row>
    <row r="21" spans="1:90" ht="18.75" customHeight="1" x14ac:dyDescent="0.35">
      <c r="A21" s="50">
        <f t="shared" si="42"/>
        <v>13</v>
      </c>
      <c r="B21" s="51">
        <v>5</v>
      </c>
      <c r="C21" s="52" t="s">
        <v>9</v>
      </c>
      <c r="D21" s="52"/>
      <c r="E21" s="52"/>
      <c r="F21" s="53"/>
      <c r="G21" s="54">
        <v>40</v>
      </c>
      <c r="H21" s="55">
        <f t="shared" si="0"/>
        <v>0</v>
      </c>
      <c r="I21" s="53">
        <v>11604</v>
      </c>
      <c r="J21" s="56">
        <v>50</v>
      </c>
      <c r="K21" s="55">
        <f t="shared" si="1"/>
        <v>580200</v>
      </c>
      <c r="L21" s="53"/>
      <c r="M21" s="57">
        <v>60</v>
      </c>
      <c r="N21" s="55">
        <f t="shared" si="2"/>
        <v>0</v>
      </c>
      <c r="O21" s="53">
        <v>4996</v>
      </c>
      <c r="P21" s="57">
        <v>12</v>
      </c>
      <c r="Q21" s="55">
        <f t="shared" si="3"/>
        <v>59952</v>
      </c>
      <c r="R21" s="53">
        <v>1470</v>
      </c>
      <c r="S21" s="59">
        <v>12</v>
      </c>
      <c r="T21" s="55">
        <f t="shared" si="4"/>
        <v>17640</v>
      </c>
      <c r="U21" s="53">
        <v>779</v>
      </c>
      <c r="V21" s="57">
        <v>8</v>
      </c>
      <c r="W21" s="55">
        <f t="shared" si="5"/>
        <v>6232</v>
      </c>
      <c r="X21" s="53">
        <v>515</v>
      </c>
      <c r="Y21" s="57">
        <v>12</v>
      </c>
      <c r="Z21" s="55">
        <f t="shared" si="6"/>
        <v>6180</v>
      </c>
      <c r="AA21" s="53">
        <v>973</v>
      </c>
      <c r="AB21" s="57">
        <v>10</v>
      </c>
      <c r="AC21" s="55">
        <f t="shared" si="7"/>
        <v>9730</v>
      </c>
      <c r="AD21" s="53">
        <v>311</v>
      </c>
      <c r="AE21" s="57">
        <v>25</v>
      </c>
      <c r="AF21" s="55">
        <f t="shared" si="8"/>
        <v>7775</v>
      </c>
      <c r="AG21" s="53">
        <v>116</v>
      </c>
      <c r="AH21" s="57">
        <v>7.5</v>
      </c>
      <c r="AI21" s="55">
        <f t="shared" si="9"/>
        <v>870</v>
      </c>
      <c r="AJ21" s="53"/>
      <c r="AK21" s="56">
        <v>15</v>
      </c>
      <c r="AL21" s="55">
        <f t="shared" si="10"/>
        <v>0</v>
      </c>
      <c r="AM21" s="53">
        <v>256</v>
      </c>
      <c r="AN21" s="57">
        <v>10</v>
      </c>
      <c r="AO21" s="55">
        <f t="shared" si="43"/>
        <v>2560</v>
      </c>
      <c r="AP21" s="53">
        <f t="shared" si="12"/>
        <v>4420</v>
      </c>
      <c r="AQ21" s="53"/>
      <c r="AR21" s="61"/>
      <c r="AS21" s="53"/>
      <c r="AT21" s="53"/>
      <c r="AU21" s="55"/>
      <c r="AV21" s="53"/>
      <c r="AW21" s="53"/>
      <c r="AX21" s="66">
        <v>2217</v>
      </c>
      <c r="AY21" s="53"/>
      <c r="AZ21" s="68">
        <f t="shared" si="13"/>
        <v>0.43054119269217511</v>
      </c>
      <c r="BA21" s="68">
        <f t="shared" si="14"/>
        <v>0.38090313684936228</v>
      </c>
      <c r="BB21" s="68">
        <f t="shared" si="15"/>
        <v>0.44375500400320256</v>
      </c>
      <c r="BC21" s="55">
        <f t="shared" si="16"/>
        <v>627757</v>
      </c>
      <c r="BD21" s="55">
        <f t="shared" si="17"/>
        <v>605615</v>
      </c>
      <c r="BE21" s="55">
        <f t="shared" si="18"/>
        <v>627757</v>
      </c>
      <c r="BF21" s="55">
        <f t="shared" si="19"/>
        <v>628627</v>
      </c>
      <c r="BG21" s="62">
        <v>730344</v>
      </c>
      <c r="BH21" s="63">
        <v>489400.4</v>
      </c>
      <c r="BI21" s="69">
        <f t="shared" si="20"/>
        <v>67.009573570810474</v>
      </c>
      <c r="BJ21" s="70">
        <f t="shared" si="21"/>
        <v>50208</v>
      </c>
      <c r="BK21" s="71">
        <f t="shared" si="22"/>
        <v>6.8745686963951225E-2</v>
      </c>
      <c r="BL21" s="72">
        <f t="shared" si="23"/>
        <v>5</v>
      </c>
      <c r="BM21" s="61">
        <f t="shared" si="24"/>
        <v>53800</v>
      </c>
      <c r="BN21" s="69">
        <f t="shared" si="25"/>
        <v>3.278389219330855</v>
      </c>
      <c r="BO21" s="73">
        <f t="shared" si="26"/>
        <v>0</v>
      </c>
      <c r="BP21" s="69" t="e">
        <f t="shared" si="27"/>
        <v>#DIV/0!</v>
      </c>
      <c r="BQ21" s="61">
        <f t="shared" si="28"/>
        <v>31500</v>
      </c>
      <c r="BR21" s="69">
        <f t="shared" si="29"/>
        <v>5.5992806349206345</v>
      </c>
      <c r="BS21" s="64">
        <f t="shared" si="30"/>
        <v>40869.339999999997</v>
      </c>
      <c r="BT21" s="69">
        <f t="shared" si="31"/>
        <v>4.3156395478860192</v>
      </c>
      <c r="BU21" s="65">
        <v>176377.34</v>
      </c>
      <c r="BV21" s="74">
        <f t="shared" si="32"/>
        <v>24.149899225570415</v>
      </c>
      <c r="BW21" s="75">
        <f t="shared" si="33"/>
        <v>64566.25999999998</v>
      </c>
      <c r="BX21" s="69">
        <f t="shared" si="34"/>
        <v>8.8405272036191143</v>
      </c>
      <c r="BY21" s="55">
        <v>19022</v>
      </c>
      <c r="BZ21" s="55">
        <v>12728</v>
      </c>
      <c r="CA21" s="55">
        <v>13868</v>
      </c>
      <c r="CB21" s="55">
        <v>4590</v>
      </c>
      <c r="CC21" s="64">
        <v>53800</v>
      </c>
      <c r="CD21" s="64"/>
      <c r="CE21" s="64">
        <v>31500</v>
      </c>
      <c r="CF21" s="76">
        <f t="shared" si="35"/>
        <v>2.604526086337397E-2</v>
      </c>
      <c r="CG21" s="76">
        <f t="shared" si="36"/>
        <v>1.7427404072601405E-2</v>
      </c>
      <c r="CH21" s="76">
        <f t="shared" si="37"/>
        <v>1.8988312356916739E-2</v>
      </c>
      <c r="CI21" s="76">
        <f t="shared" si="38"/>
        <v>6.2847096710591174E-3</v>
      </c>
      <c r="CJ21" s="76">
        <f t="shared" si="39"/>
        <v>7.3663917277337801E-2</v>
      </c>
      <c r="CK21" s="63">
        <f t="shared" si="40"/>
        <v>12913.251999999997</v>
      </c>
      <c r="CL21" s="77">
        <f t="shared" si="41"/>
        <v>51653.007999999987</v>
      </c>
    </row>
    <row r="22" spans="1:90" ht="18.75" customHeight="1" x14ac:dyDescent="0.35">
      <c r="A22" s="50">
        <f t="shared" si="42"/>
        <v>14</v>
      </c>
      <c r="B22" s="58">
        <v>5</v>
      </c>
      <c r="C22" s="52" t="s">
        <v>211</v>
      </c>
      <c r="D22" s="52"/>
      <c r="E22" s="52"/>
      <c r="F22" s="53"/>
      <c r="G22" s="54">
        <v>40</v>
      </c>
      <c r="H22" s="55">
        <f t="shared" si="0"/>
        <v>0</v>
      </c>
      <c r="I22" s="53">
        <v>10179</v>
      </c>
      <c r="J22" s="56">
        <v>50</v>
      </c>
      <c r="K22" s="55">
        <f t="shared" si="1"/>
        <v>508950</v>
      </c>
      <c r="L22" s="53"/>
      <c r="M22" s="57">
        <v>60</v>
      </c>
      <c r="N22" s="55">
        <f t="shared" si="2"/>
        <v>0</v>
      </c>
      <c r="O22" s="53">
        <v>4079</v>
      </c>
      <c r="P22" s="57">
        <v>12</v>
      </c>
      <c r="Q22" s="55">
        <f t="shared" si="3"/>
        <v>48948</v>
      </c>
      <c r="R22" s="53">
        <v>3700</v>
      </c>
      <c r="S22" s="59">
        <v>12</v>
      </c>
      <c r="T22" s="55">
        <f t="shared" si="4"/>
        <v>44400</v>
      </c>
      <c r="U22" s="53">
        <v>534</v>
      </c>
      <c r="V22" s="57">
        <v>8</v>
      </c>
      <c r="W22" s="55">
        <f t="shared" si="5"/>
        <v>4272</v>
      </c>
      <c r="X22" s="53">
        <v>672</v>
      </c>
      <c r="Y22" s="57">
        <v>12</v>
      </c>
      <c r="Z22" s="55">
        <f t="shared" si="6"/>
        <v>8064</v>
      </c>
      <c r="AA22" s="53">
        <v>743</v>
      </c>
      <c r="AB22" s="57">
        <v>10</v>
      </c>
      <c r="AC22" s="55">
        <f t="shared" si="7"/>
        <v>7430</v>
      </c>
      <c r="AD22" s="53">
        <v>273</v>
      </c>
      <c r="AE22" s="57">
        <v>25</v>
      </c>
      <c r="AF22" s="55">
        <f t="shared" si="8"/>
        <v>6825</v>
      </c>
      <c r="AG22" s="53">
        <v>186</v>
      </c>
      <c r="AH22" s="57">
        <v>7.5</v>
      </c>
      <c r="AI22" s="55">
        <f t="shared" si="9"/>
        <v>1395</v>
      </c>
      <c r="AJ22" s="53"/>
      <c r="AK22" s="56">
        <v>15</v>
      </c>
      <c r="AL22" s="55">
        <f t="shared" si="10"/>
        <v>0</v>
      </c>
      <c r="AM22" s="53">
        <v>222</v>
      </c>
      <c r="AN22" s="57">
        <v>12</v>
      </c>
      <c r="AO22" s="55">
        <f t="shared" si="43"/>
        <v>2664</v>
      </c>
      <c r="AP22" s="53">
        <f t="shared" si="12"/>
        <v>6330</v>
      </c>
      <c r="AQ22" s="53"/>
      <c r="AR22" s="61"/>
      <c r="AS22" s="53"/>
      <c r="AT22" s="53"/>
      <c r="AU22" s="55"/>
      <c r="AV22" s="53"/>
      <c r="AW22" s="53"/>
      <c r="AX22" s="66">
        <v>1041</v>
      </c>
      <c r="AY22" s="53"/>
      <c r="AZ22" s="68">
        <f t="shared" si="13"/>
        <v>0.40072698693388348</v>
      </c>
      <c r="BA22" s="68">
        <f t="shared" si="14"/>
        <v>0.62186855290303567</v>
      </c>
      <c r="BB22" s="68">
        <f t="shared" si="15"/>
        <v>0.25520961019857807</v>
      </c>
      <c r="BC22" s="55">
        <f t="shared" si="16"/>
        <v>579941</v>
      </c>
      <c r="BD22" s="55">
        <f t="shared" si="17"/>
        <v>560175</v>
      </c>
      <c r="BE22" s="55">
        <f t="shared" si="18"/>
        <v>579941</v>
      </c>
      <c r="BF22" s="55">
        <f t="shared" si="19"/>
        <v>581336</v>
      </c>
      <c r="BG22" s="62">
        <v>654873</v>
      </c>
      <c r="BH22" s="63">
        <v>436782.76</v>
      </c>
      <c r="BI22" s="69">
        <f t="shared" si="20"/>
        <v>66.697322992397005</v>
      </c>
      <c r="BJ22" s="70">
        <f t="shared" si="21"/>
        <v>48122</v>
      </c>
      <c r="BK22" s="71">
        <f t="shared" si="22"/>
        <v>7.3482950129261704E-2</v>
      </c>
      <c r="BL22" s="72">
        <f t="shared" si="23"/>
        <v>5</v>
      </c>
      <c r="BM22" s="61">
        <f t="shared" si="24"/>
        <v>59440</v>
      </c>
      <c r="BN22" s="69">
        <f t="shared" si="25"/>
        <v>3.0131726110363393</v>
      </c>
      <c r="BO22" s="73">
        <f t="shared" si="26"/>
        <v>343.75</v>
      </c>
      <c r="BP22" s="69">
        <f t="shared" si="27"/>
        <v>521.02685090909097</v>
      </c>
      <c r="BQ22" s="61">
        <f t="shared" si="28"/>
        <v>15000</v>
      </c>
      <c r="BR22" s="69">
        <f t="shared" si="29"/>
        <v>11.940198666666667</v>
      </c>
      <c r="BS22" s="64">
        <f t="shared" si="30"/>
        <v>56197.23000000001</v>
      </c>
      <c r="BT22" s="69">
        <f t="shared" si="31"/>
        <v>3.1870428489091007</v>
      </c>
      <c r="BU22" s="65">
        <v>179102.98</v>
      </c>
      <c r="BV22" s="74">
        <f t="shared" si="32"/>
        <v>27.349269247625116</v>
      </c>
      <c r="BW22" s="75">
        <f t="shared" si="33"/>
        <v>38987.25999999998</v>
      </c>
      <c r="BX22" s="69">
        <f t="shared" si="34"/>
        <v>5.9534077599778863</v>
      </c>
      <c r="BY22" s="55">
        <v>20422</v>
      </c>
      <c r="BZ22" s="55">
        <v>12110</v>
      </c>
      <c r="CA22" s="55">
        <v>9830</v>
      </c>
      <c r="CB22" s="55">
        <v>5760</v>
      </c>
      <c r="CC22" s="64">
        <v>59440</v>
      </c>
      <c r="CD22" s="64">
        <v>343.75</v>
      </c>
      <c r="CE22" s="64">
        <v>15000</v>
      </c>
      <c r="CF22" s="76">
        <f t="shared" si="35"/>
        <v>3.1184672447940289E-2</v>
      </c>
      <c r="CG22" s="76">
        <f t="shared" si="36"/>
        <v>1.8492135116274452E-2</v>
      </c>
      <c r="CH22" s="76">
        <f t="shared" si="37"/>
        <v>1.5010544029147636E-2</v>
      </c>
      <c r="CI22" s="76">
        <f t="shared" si="38"/>
        <v>8.7955985358993266E-3</v>
      </c>
      <c r="CJ22" s="76">
        <f t="shared" si="39"/>
        <v>9.0765690446849998E-2</v>
      </c>
      <c r="CK22" s="63">
        <f t="shared" si="40"/>
        <v>7797.4519999999966</v>
      </c>
      <c r="CL22" s="77">
        <f t="shared" si="41"/>
        <v>31189.807999999986</v>
      </c>
    </row>
    <row r="23" spans="1:90" ht="18.75" customHeight="1" x14ac:dyDescent="0.35">
      <c r="A23" s="50">
        <f t="shared" si="42"/>
        <v>15</v>
      </c>
      <c r="B23" s="58">
        <v>3</v>
      </c>
      <c r="C23" s="52" t="s">
        <v>212</v>
      </c>
      <c r="D23" s="52"/>
      <c r="E23" s="52"/>
      <c r="F23" s="53"/>
      <c r="G23" s="54">
        <v>40</v>
      </c>
      <c r="H23" s="55">
        <f t="shared" si="0"/>
        <v>0</v>
      </c>
      <c r="I23" s="53">
        <v>9807</v>
      </c>
      <c r="J23" s="56">
        <v>50</v>
      </c>
      <c r="K23" s="55">
        <f t="shared" si="1"/>
        <v>490350</v>
      </c>
      <c r="L23" s="53"/>
      <c r="M23" s="57">
        <v>60</v>
      </c>
      <c r="N23" s="55">
        <f t="shared" si="2"/>
        <v>0</v>
      </c>
      <c r="O23" s="53">
        <v>3648</v>
      </c>
      <c r="P23" s="57">
        <v>12</v>
      </c>
      <c r="Q23" s="55">
        <f t="shared" si="3"/>
        <v>43776</v>
      </c>
      <c r="R23" s="53">
        <v>2550</v>
      </c>
      <c r="S23" s="59">
        <v>12</v>
      </c>
      <c r="T23" s="55">
        <f t="shared" si="4"/>
        <v>30600</v>
      </c>
      <c r="U23" s="53">
        <v>701</v>
      </c>
      <c r="V23" s="57">
        <v>8</v>
      </c>
      <c r="W23" s="55">
        <f t="shared" si="5"/>
        <v>5608</v>
      </c>
      <c r="X23" s="53">
        <v>518</v>
      </c>
      <c r="Y23" s="57">
        <v>12</v>
      </c>
      <c r="Z23" s="55">
        <f t="shared" si="6"/>
        <v>6216</v>
      </c>
      <c r="AA23" s="53">
        <v>969</v>
      </c>
      <c r="AB23" s="57">
        <v>10</v>
      </c>
      <c r="AC23" s="55">
        <f t="shared" si="7"/>
        <v>9690</v>
      </c>
      <c r="AD23" s="53">
        <v>350</v>
      </c>
      <c r="AE23" s="57">
        <v>25</v>
      </c>
      <c r="AF23" s="55">
        <f t="shared" si="8"/>
        <v>8750</v>
      </c>
      <c r="AG23" s="53"/>
      <c r="AH23" s="57">
        <v>7.5</v>
      </c>
      <c r="AI23" s="55">
        <f t="shared" si="9"/>
        <v>0</v>
      </c>
      <c r="AJ23" s="53"/>
      <c r="AK23" s="56">
        <v>15</v>
      </c>
      <c r="AL23" s="55">
        <f t="shared" si="10"/>
        <v>0</v>
      </c>
      <c r="AM23" s="53">
        <v>172</v>
      </c>
      <c r="AN23" s="57">
        <v>10</v>
      </c>
      <c r="AO23" s="55">
        <f t="shared" si="43"/>
        <v>1720</v>
      </c>
      <c r="AP23" s="53">
        <f t="shared" si="12"/>
        <v>5260</v>
      </c>
      <c r="AQ23" s="53"/>
      <c r="AR23" s="61"/>
      <c r="AS23" s="53"/>
      <c r="AT23" s="53"/>
      <c r="AU23" s="55"/>
      <c r="AV23" s="53"/>
      <c r="AW23" s="53"/>
      <c r="AX23" s="66">
        <v>1301</v>
      </c>
      <c r="AY23" s="53"/>
      <c r="AZ23" s="68">
        <f t="shared" si="13"/>
        <v>0.37197919853166106</v>
      </c>
      <c r="BA23" s="68">
        <f t="shared" si="14"/>
        <v>0.53635158560212093</v>
      </c>
      <c r="BB23" s="68">
        <f t="shared" si="15"/>
        <v>0.35663377192982454</v>
      </c>
      <c r="BC23" s="55">
        <f t="shared" si="16"/>
        <v>551214</v>
      </c>
      <c r="BD23" s="55">
        <f t="shared" si="17"/>
        <v>529700</v>
      </c>
      <c r="BE23" s="55">
        <f t="shared" si="18"/>
        <v>551214</v>
      </c>
      <c r="BF23" s="55">
        <f t="shared" si="19"/>
        <v>551214</v>
      </c>
      <c r="BG23" s="62">
        <v>622892</v>
      </c>
      <c r="BH23" s="63">
        <v>416735.97</v>
      </c>
      <c r="BI23" s="69">
        <f t="shared" si="20"/>
        <v>66.903407011167261</v>
      </c>
      <c r="BJ23" s="70">
        <f t="shared" si="21"/>
        <v>41481</v>
      </c>
      <c r="BK23" s="71">
        <f t="shared" si="22"/>
        <v>6.6594208947939618E-2</v>
      </c>
      <c r="BL23" s="72">
        <f t="shared" si="23"/>
        <v>3</v>
      </c>
      <c r="BM23" s="61">
        <f t="shared" si="24"/>
        <v>44187.5</v>
      </c>
      <c r="BN23" s="69">
        <f t="shared" si="25"/>
        <v>2.8876856577086278</v>
      </c>
      <c r="BO23" s="73">
        <f t="shared" si="26"/>
        <v>125</v>
      </c>
      <c r="BP23" s="69">
        <f t="shared" si="27"/>
        <v>1020.79688</v>
      </c>
      <c r="BQ23" s="61">
        <f t="shared" si="28"/>
        <v>16500</v>
      </c>
      <c r="BR23" s="69">
        <f t="shared" si="29"/>
        <v>7.7333096969696973</v>
      </c>
      <c r="BS23" s="64">
        <f t="shared" si="30"/>
        <v>25306.11</v>
      </c>
      <c r="BT23" s="69">
        <f t="shared" si="31"/>
        <v>5.042245133685106</v>
      </c>
      <c r="BU23" s="65">
        <v>127599.61</v>
      </c>
      <c r="BV23" s="74">
        <f t="shared" si="32"/>
        <v>20.485029507522974</v>
      </c>
      <c r="BW23" s="75">
        <f t="shared" si="33"/>
        <v>78556.420000000027</v>
      </c>
      <c r="BX23" s="69">
        <f t="shared" si="34"/>
        <v>12.611563481309766</v>
      </c>
      <c r="BY23" s="55">
        <v>11514</v>
      </c>
      <c r="BZ23" s="55">
        <v>11137</v>
      </c>
      <c r="CA23" s="55">
        <v>13700</v>
      </c>
      <c r="CB23" s="55">
        <v>5130</v>
      </c>
      <c r="CC23" s="64">
        <v>44187.5</v>
      </c>
      <c r="CD23" s="64">
        <v>125</v>
      </c>
      <c r="CE23" s="64">
        <v>16500</v>
      </c>
      <c r="CF23" s="76">
        <f t="shared" si="35"/>
        <v>1.8484745349113488E-2</v>
      </c>
      <c r="CG23" s="76">
        <f t="shared" si="36"/>
        <v>1.7879503991061051E-2</v>
      </c>
      <c r="CH23" s="76">
        <f t="shared" si="37"/>
        <v>2.1994181976971932E-2</v>
      </c>
      <c r="CI23" s="76">
        <f t="shared" si="38"/>
        <v>8.2357776307931396E-3</v>
      </c>
      <c r="CJ23" s="76">
        <f t="shared" si="39"/>
        <v>7.0939263949448703E-2</v>
      </c>
      <c r="CK23" s="63">
        <f t="shared" si="40"/>
        <v>15711.284000000007</v>
      </c>
      <c r="CL23" s="77">
        <f t="shared" si="41"/>
        <v>62845.136000000028</v>
      </c>
    </row>
    <row r="24" spans="1:90" ht="18.75" customHeight="1" x14ac:dyDescent="0.35">
      <c r="A24" s="50">
        <f t="shared" si="42"/>
        <v>16</v>
      </c>
      <c r="B24" s="58">
        <v>4</v>
      </c>
      <c r="C24" s="52" t="s">
        <v>11</v>
      </c>
      <c r="D24" s="52"/>
      <c r="E24" s="52"/>
      <c r="F24" s="53"/>
      <c r="G24" s="54">
        <v>40</v>
      </c>
      <c r="H24" s="55">
        <f t="shared" si="0"/>
        <v>0</v>
      </c>
      <c r="I24" s="53">
        <v>8491</v>
      </c>
      <c r="J24" s="56">
        <v>50</v>
      </c>
      <c r="K24" s="55">
        <f t="shared" si="1"/>
        <v>424550</v>
      </c>
      <c r="L24" s="53"/>
      <c r="M24" s="57">
        <v>60</v>
      </c>
      <c r="N24" s="55">
        <f t="shared" si="2"/>
        <v>0</v>
      </c>
      <c r="O24" s="53">
        <v>5512</v>
      </c>
      <c r="P24" s="57">
        <v>12</v>
      </c>
      <c r="Q24" s="55">
        <f t="shared" si="3"/>
        <v>66144</v>
      </c>
      <c r="R24" s="53">
        <v>3750</v>
      </c>
      <c r="S24" s="59">
        <v>12</v>
      </c>
      <c r="T24" s="55">
        <f t="shared" si="4"/>
        <v>45000</v>
      </c>
      <c r="U24" s="53">
        <v>1227</v>
      </c>
      <c r="V24" s="57">
        <v>8</v>
      </c>
      <c r="W24" s="55">
        <f t="shared" si="5"/>
        <v>9816</v>
      </c>
      <c r="X24" s="53">
        <v>280</v>
      </c>
      <c r="Y24" s="57">
        <v>12</v>
      </c>
      <c r="Z24" s="55">
        <f t="shared" si="6"/>
        <v>3360</v>
      </c>
      <c r="AA24" s="53">
        <v>1029</v>
      </c>
      <c r="AB24" s="57">
        <v>10</v>
      </c>
      <c r="AC24" s="55">
        <f t="shared" si="7"/>
        <v>10290</v>
      </c>
      <c r="AD24" s="53">
        <v>390</v>
      </c>
      <c r="AE24" s="57">
        <v>25</v>
      </c>
      <c r="AF24" s="55">
        <f t="shared" si="8"/>
        <v>9750</v>
      </c>
      <c r="AG24" s="53">
        <v>576</v>
      </c>
      <c r="AH24" s="57">
        <v>7.5</v>
      </c>
      <c r="AI24" s="55">
        <f t="shared" si="9"/>
        <v>4320</v>
      </c>
      <c r="AJ24" s="53"/>
      <c r="AK24" s="56">
        <v>15</v>
      </c>
      <c r="AL24" s="55">
        <f t="shared" si="10"/>
        <v>0</v>
      </c>
      <c r="AM24" s="53">
        <v>271</v>
      </c>
      <c r="AN24" s="57">
        <v>10</v>
      </c>
      <c r="AO24" s="55">
        <f t="shared" si="43"/>
        <v>2710</v>
      </c>
      <c r="AP24" s="53">
        <f t="shared" si="12"/>
        <v>7523</v>
      </c>
      <c r="AQ24" s="53"/>
      <c r="AR24" s="61"/>
      <c r="AS24" s="53"/>
      <c r="AT24" s="53"/>
      <c r="AU24" s="55"/>
      <c r="AV24" s="53"/>
      <c r="AW24" s="53"/>
      <c r="AX24" s="66">
        <v>1945</v>
      </c>
      <c r="AY24" s="53"/>
      <c r="AZ24" s="68">
        <f t="shared" si="13"/>
        <v>0.6491579319279237</v>
      </c>
      <c r="BA24" s="68">
        <f t="shared" si="14"/>
        <v>0.88599693793428336</v>
      </c>
      <c r="BB24" s="68">
        <f t="shared" si="15"/>
        <v>0.35286647314949204</v>
      </c>
      <c r="BC24" s="55">
        <f t="shared" si="16"/>
        <v>502766</v>
      </c>
      <c r="BD24" s="55">
        <f t="shared" si="17"/>
        <v>479300</v>
      </c>
      <c r="BE24" s="55">
        <f t="shared" si="18"/>
        <v>502766</v>
      </c>
      <c r="BF24" s="55">
        <f t="shared" si="19"/>
        <v>507086</v>
      </c>
      <c r="BG24" s="62">
        <v>612575</v>
      </c>
      <c r="BH24" s="63">
        <v>412999.13</v>
      </c>
      <c r="BI24" s="69">
        <f t="shared" si="20"/>
        <v>67.420173856262494</v>
      </c>
      <c r="BJ24" s="70">
        <f t="shared" si="21"/>
        <v>34608.5</v>
      </c>
      <c r="BK24" s="71">
        <f t="shared" si="22"/>
        <v>5.6496755499326611E-2</v>
      </c>
      <c r="BL24" s="72">
        <f t="shared" si="23"/>
        <v>4</v>
      </c>
      <c r="BM24" s="61">
        <f t="shared" si="24"/>
        <v>57300</v>
      </c>
      <c r="BN24" s="69">
        <f t="shared" si="25"/>
        <v>2.5085240837696334</v>
      </c>
      <c r="BO24" s="73">
        <f t="shared" si="26"/>
        <v>62.5</v>
      </c>
      <c r="BP24" s="69">
        <f t="shared" si="27"/>
        <v>2299.8148799999999</v>
      </c>
      <c r="BQ24" s="61">
        <f t="shared" si="28"/>
        <v>16000</v>
      </c>
      <c r="BR24" s="69">
        <f t="shared" si="29"/>
        <v>8.9836518749999996</v>
      </c>
      <c r="BS24" s="64">
        <f t="shared" si="30"/>
        <v>35767.429999999993</v>
      </c>
      <c r="BT24" s="69">
        <f t="shared" si="31"/>
        <v>4.0186960595155989</v>
      </c>
      <c r="BU24" s="65">
        <v>143738.43</v>
      </c>
      <c r="BV24" s="74">
        <f t="shared" si="32"/>
        <v>23.464625556054358</v>
      </c>
      <c r="BW24" s="75">
        <f t="shared" si="33"/>
        <v>55837.440000000002</v>
      </c>
      <c r="BX24" s="69">
        <f t="shared" si="34"/>
        <v>9.115200587683141</v>
      </c>
      <c r="BY24" s="55">
        <v>11456.5</v>
      </c>
      <c r="BZ24" s="55">
        <v>9546</v>
      </c>
      <c r="CA24" s="55">
        <v>10096</v>
      </c>
      <c r="CB24" s="55">
        <v>3510</v>
      </c>
      <c r="CC24" s="64">
        <v>57300</v>
      </c>
      <c r="CD24" s="64">
        <v>62.5</v>
      </c>
      <c r="CE24" s="64">
        <v>16000</v>
      </c>
      <c r="CF24" s="76">
        <f t="shared" si="35"/>
        <v>1.8702199730645228E-2</v>
      </c>
      <c r="CG24" s="76">
        <f t="shared" si="36"/>
        <v>1.5583397951271272E-2</v>
      </c>
      <c r="CH24" s="76">
        <f t="shared" si="37"/>
        <v>1.6481247194221116E-2</v>
      </c>
      <c r="CI24" s="76">
        <f t="shared" si="38"/>
        <v>5.7299106231889973E-3</v>
      </c>
      <c r="CJ24" s="76">
        <f t="shared" si="39"/>
        <v>9.3539566583683634E-2</v>
      </c>
      <c r="CK24" s="63">
        <f t="shared" si="40"/>
        <v>11167.488000000001</v>
      </c>
      <c r="CL24" s="77">
        <f t="shared" si="41"/>
        <v>44669.952000000005</v>
      </c>
    </row>
    <row r="25" spans="1:90" ht="18.75" customHeight="1" x14ac:dyDescent="0.35">
      <c r="A25" s="50">
        <f t="shared" si="42"/>
        <v>17</v>
      </c>
      <c r="B25" s="58">
        <v>4</v>
      </c>
      <c r="C25" s="52" t="s">
        <v>207</v>
      </c>
      <c r="D25" s="52"/>
      <c r="E25" s="52"/>
      <c r="F25" s="53"/>
      <c r="G25" s="54">
        <v>40</v>
      </c>
      <c r="H25" s="55">
        <f t="shared" si="0"/>
        <v>0</v>
      </c>
      <c r="I25" s="53">
        <v>9518</v>
      </c>
      <c r="J25" s="56">
        <v>50</v>
      </c>
      <c r="K25" s="55">
        <f t="shared" si="1"/>
        <v>475900</v>
      </c>
      <c r="L25" s="53"/>
      <c r="M25" s="57">
        <v>60</v>
      </c>
      <c r="N25" s="55">
        <f t="shared" si="2"/>
        <v>0</v>
      </c>
      <c r="O25" s="53">
        <v>3681</v>
      </c>
      <c r="P25" s="57">
        <v>12</v>
      </c>
      <c r="Q25" s="55">
        <f t="shared" si="3"/>
        <v>44172</v>
      </c>
      <c r="R25" s="53">
        <v>1460</v>
      </c>
      <c r="S25" s="59">
        <v>12</v>
      </c>
      <c r="T25" s="55">
        <f t="shared" si="4"/>
        <v>17520</v>
      </c>
      <c r="U25" s="53">
        <v>573</v>
      </c>
      <c r="V25" s="57">
        <v>8</v>
      </c>
      <c r="W25" s="55">
        <f t="shared" si="5"/>
        <v>4584</v>
      </c>
      <c r="X25" s="53">
        <v>849</v>
      </c>
      <c r="Y25" s="57">
        <v>12</v>
      </c>
      <c r="Z25" s="55">
        <f t="shared" si="6"/>
        <v>10188</v>
      </c>
      <c r="AA25" s="53">
        <v>679</v>
      </c>
      <c r="AB25" s="57">
        <v>10</v>
      </c>
      <c r="AC25" s="55">
        <f t="shared" si="7"/>
        <v>6790</v>
      </c>
      <c r="AD25" s="53">
        <v>278</v>
      </c>
      <c r="AE25" s="57">
        <v>25</v>
      </c>
      <c r="AF25" s="55">
        <f t="shared" si="8"/>
        <v>6950</v>
      </c>
      <c r="AG25" s="53">
        <v>1530</v>
      </c>
      <c r="AH25" s="57">
        <v>7.5</v>
      </c>
      <c r="AI25" s="55">
        <f t="shared" si="9"/>
        <v>11475</v>
      </c>
      <c r="AJ25" s="53"/>
      <c r="AK25" s="56">
        <v>15</v>
      </c>
      <c r="AL25" s="55">
        <f t="shared" si="10"/>
        <v>0</v>
      </c>
      <c r="AM25" s="53">
        <v>402</v>
      </c>
      <c r="AN25" s="57">
        <v>10</v>
      </c>
      <c r="AO25" s="55">
        <f t="shared" si="43"/>
        <v>4020</v>
      </c>
      <c r="AP25" s="53">
        <f t="shared" si="12"/>
        <v>5771</v>
      </c>
      <c r="AQ25" s="53"/>
      <c r="AR25" s="61"/>
      <c r="AS25" s="53"/>
      <c r="AT25" s="53"/>
      <c r="AU25" s="55"/>
      <c r="AV25" s="53"/>
      <c r="AW25" s="53"/>
      <c r="AX25" s="66">
        <v>1639</v>
      </c>
      <c r="AY25" s="53"/>
      <c r="AZ25" s="68">
        <f t="shared" si="13"/>
        <v>0.38674091195629334</v>
      </c>
      <c r="BA25" s="68">
        <f t="shared" si="14"/>
        <v>0.6063248581634797</v>
      </c>
      <c r="BB25" s="68">
        <f t="shared" si="15"/>
        <v>0.4452594403694648</v>
      </c>
      <c r="BC25" s="55">
        <f t="shared" si="16"/>
        <v>521932</v>
      </c>
      <c r="BD25" s="55">
        <f t="shared" si="17"/>
        <v>500370</v>
      </c>
      <c r="BE25" s="55">
        <f t="shared" si="18"/>
        <v>521932</v>
      </c>
      <c r="BF25" s="55">
        <f t="shared" si="19"/>
        <v>533407</v>
      </c>
      <c r="BG25" s="62">
        <v>611948</v>
      </c>
      <c r="BH25" s="63">
        <v>411984.75</v>
      </c>
      <c r="BI25" s="69">
        <f t="shared" si="20"/>
        <v>67.323489904370959</v>
      </c>
      <c r="BJ25" s="70">
        <f t="shared" si="21"/>
        <v>36148</v>
      </c>
      <c r="BK25" s="71">
        <f t="shared" si="22"/>
        <v>5.9070378528894608E-2</v>
      </c>
      <c r="BL25" s="72">
        <f t="shared" si="23"/>
        <v>4</v>
      </c>
      <c r="BM25" s="61">
        <f t="shared" si="24"/>
        <v>48748</v>
      </c>
      <c r="BN25" s="69">
        <f t="shared" si="25"/>
        <v>3.6738157462870276</v>
      </c>
      <c r="BO25" s="73">
        <f t="shared" si="26"/>
        <v>0</v>
      </c>
      <c r="BP25" s="69" t="e">
        <f t="shared" si="27"/>
        <v>#DIV/0!</v>
      </c>
      <c r="BQ25" s="61">
        <f t="shared" si="28"/>
        <v>36000</v>
      </c>
      <c r="BR25" s="69">
        <f t="shared" si="29"/>
        <v>4.9747547222222224</v>
      </c>
      <c r="BS25" s="64">
        <f t="shared" si="30"/>
        <v>58195.170000000013</v>
      </c>
      <c r="BT25" s="69">
        <f t="shared" si="31"/>
        <v>3.0774232638206911</v>
      </c>
      <c r="BU25" s="65">
        <v>179091.17</v>
      </c>
      <c r="BV25" s="74">
        <f t="shared" si="32"/>
        <v>29.265749704223239</v>
      </c>
      <c r="BW25" s="75">
        <f t="shared" si="33"/>
        <v>20872.079999999987</v>
      </c>
      <c r="BX25" s="69">
        <f t="shared" si="34"/>
        <v>3.410760391405804</v>
      </c>
      <c r="BY25" s="55">
        <v>11458</v>
      </c>
      <c r="BZ25" s="55">
        <v>10380</v>
      </c>
      <c r="CA25" s="55">
        <v>9830</v>
      </c>
      <c r="CB25" s="55">
        <v>4480</v>
      </c>
      <c r="CC25" s="64">
        <v>48748</v>
      </c>
      <c r="CD25" s="64"/>
      <c r="CE25" s="64">
        <v>36000</v>
      </c>
      <c r="CF25" s="76">
        <f t="shared" si="35"/>
        <v>1.8723813134449332E-2</v>
      </c>
      <c r="CG25" s="76">
        <f t="shared" si="36"/>
        <v>1.6962225548576022E-2</v>
      </c>
      <c r="CH25" s="76">
        <f t="shared" si="37"/>
        <v>1.6063456372110048E-2</v>
      </c>
      <c r="CI25" s="76">
        <f t="shared" si="38"/>
        <v>7.3208834737592083E-3</v>
      </c>
      <c r="CJ25" s="76">
        <f t="shared" si="39"/>
        <v>7.9660363298842379E-2</v>
      </c>
      <c r="CK25" s="63">
        <f t="shared" si="40"/>
        <v>4174.4159999999974</v>
      </c>
      <c r="CL25" s="77">
        <f t="shared" si="41"/>
        <v>16697.66399999999</v>
      </c>
    </row>
    <row r="26" spans="1:90" ht="18.75" customHeight="1" x14ac:dyDescent="0.35">
      <c r="A26" s="50">
        <f t="shared" si="42"/>
        <v>18</v>
      </c>
      <c r="B26" s="58">
        <v>4</v>
      </c>
      <c r="C26" s="52" t="s">
        <v>214</v>
      </c>
      <c r="D26" s="52"/>
      <c r="E26" s="52"/>
      <c r="F26" s="53"/>
      <c r="G26" s="54">
        <v>40</v>
      </c>
      <c r="H26" s="55">
        <f t="shared" si="0"/>
        <v>0</v>
      </c>
      <c r="I26" s="53">
        <v>8657</v>
      </c>
      <c r="J26" s="56">
        <v>50</v>
      </c>
      <c r="K26" s="55">
        <f t="shared" si="1"/>
        <v>432850</v>
      </c>
      <c r="L26" s="53"/>
      <c r="M26" s="57">
        <v>60</v>
      </c>
      <c r="N26" s="55">
        <f t="shared" si="2"/>
        <v>0</v>
      </c>
      <c r="O26" s="53">
        <v>3794</v>
      </c>
      <c r="P26" s="57">
        <v>12</v>
      </c>
      <c r="Q26" s="55">
        <f t="shared" si="3"/>
        <v>45528</v>
      </c>
      <c r="R26" s="53">
        <v>2720</v>
      </c>
      <c r="S26" s="59">
        <v>12</v>
      </c>
      <c r="T26" s="55">
        <f t="shared" si="4"/>
        <v>32640</v>
      </c>
      <c r="U26" s="53">
        <v>648</v>
      </c>
      <c r="V26" s="57">
        <v>8</v>
      </c>
      <c r="W26" s="55">
        <f t="shared" si="5"/>
        <v>5184</v>
      </c>
      <c r="X26" s="53">
        <v>965</v>
      </c>
      <c r="Y26" s="57">
        <v>12</v>
      </c>
      <c r="Z26" s="55">
        <f t="shared" si="6"/>
        <v>11580</v>
      </c>
      <c r="AA26" s="53">
        <v>1032</v>
      </c>
      <c r="AB26" s="57">
        <v>10</v>
      </c>
      <c r="AC26" s="55">
        <f t="shared" si="7"/>
        <v>10320</v>
      </c>
      <c r="AD26" s="53">
        <v>226</v>
      </c>
      <c r="AE26" s="57">
        <v>25</v>
      </c>
      <c r="AF26" s="55">
        <f t="shared" si="8"/>
        <v>5650</v>
      </c>
      <c r="AG26" s="53">
        <v>345</v>
      </c>
      <c r="AH26" s="57">
        <v>7.5</v>
      </c>
      <c r="AI26" s="55">
        <f t="shared" si="9"/>
        <v>2587.5</v>
      </c>
      <c r="AJ26" s="53"/>
      <c r="AK26" s="56">
        <v>15</v>
      </c>
      <c r="AL26" s="55">
        <f t="shared" si="10"/>
        <v>0</v>
      </c>
      <c r="AM26" s="53">
        <v>194</v>
      </c>
      <c r="AN26" s="57">
        <v>12</v>
      </c>
      <c r="AO26" s="55">
        <f t="shared" si="43"/>
        <v>2328</v>
      </c>
      <c r="AP26" s="53">
        <f t="shared" si="12"/>
        <v>6130</v>
      </c>
      <c r="AQ26" s="53"/>
      <c r="AR26" s="61"/>
      <c r="AS26" s="53"/>
      <c r="AT26" s="53"/>
      <c r="AU26" s="55"/>
      <c r="AV26" s="53"/>
      <c r="AW26" s="53"/>
      <c r="AX26" s="66">
        <v>1764</v>
      </c>
      <c r="AY26" s="53"/>
      <c r="AZ26" s="68">
        <f t="shared" si="13"/>
        <v>0.4382580570636479</v>
      </c>
      <c r="BA26" s="68">
        <f t="shared" si="14"/>
        <v>0.70809749335797623</v>
      </c>
      <c r="BB26" s="68">
        <f t="shared" si="15"/>
        <v>0.46494464944649444</v>
      </c>
      <c r="BC26" s="55">
        <f t="shared" si="16"/>
        <v>498224</v>
      </c>
      <c r="BD26" s="55">
        <f t="shared" si="17"/>
        <v>471140</v>
      </c>
      <c r="BE26" s="55">
        <f t="shared" si="18"/>
        <v>498224</v>
      </c>
      <c r="BF26" s="55">
        <f t="shared" si="19"/>
        <v>500811.5</v>
      </c>
      <c r="BG26" s="62">
        <v>584447.5</v>
      </c>
      <c r="BH26" s="63">
        <v>389286.66</v>
      </c>
      <c r="BI26" s="69">
        <f t="shared" si="20"/>
        <v>66.607635416354753</v>
      </c>
      <c r="BJ26" s="70">
        <f t="shared" si="21"/>
        <v>36918</v>
      </c>
      <c r="BK26" s="71">
        <f t="shared" si="22"/>
        <v>6.3167350360810851E-2</v>
      </c>
      <c r="BL26" s="72">
        <f t="shared" si="23"/>
        <v>4</v>
      </c>
      <c r="BM26" s="61">
        <f t="shared" si="24"/>
        <v>51512</v>
      </c>
      <c r="BN26" s="69">
        <f t="shared" si="25"/>
        <v>2.845591706786768</v>
      </c>
      <c r="BO26" s="73">
        <f t="shared" si="26"/>
        <v>0</v>
      </c>
      <c r="BP26" s="69" t="e">
        <f t="shared" si="27"/>
        <v>#DIV/0!</v>
      </c>
      <c r="BQ26" s="61">
        <f t="shared" si="28"/>
        <v>20000</v>
      </c>
      <c r="BR26" s="69">
        <f t="shared" si="29"/>
        <v>7.3291059999999995</v>
      </c>
      <c r="BS26" s="64">
        <f t="shared" si="30"/>
        <v>38152.119999999995</v>
      </c>
      <c r="BT26" s="69">
        <f t="shared" si="31"/>
        <v>3.842043902147509</v>
      </c>
      <c r="BU26" s="65">
        <v>146582.12</v>
      </c>
      <c r="BV26" s="74">
        <f t="shared" si="32"/>
        <v>25.080459750448071</v>
      </c>
      <c r="BW26" s="75">
        <f t="shared" si="33"/>
        <v>48578.72000000003</v>
      </c>
      <c r="BX26" s="69">
        <f t="shared" si="34"/>
        <v>8.3119048331971701</v>
      </c>
      <c r="BY26" s="55">
        <v>11514</v>
      </c>
      <c r="BZ26" s="55">
        <v>10380</v>
      </c>
      <c r="CA26" s="55">
        <v>8624</v>
      </c>
      <c r="CB26" s="55">
        <v>6400</v>
      </c>
      <c r="CC26" s="55">
        <v>51512</v>
      </c>
      <c r="CD26" s="64"/>
      <c r="CE26" s="64">
        <v>20000</v>
      </c>
      <c r="CF26" s="76">
        <f t="shared" si="35"/>
        <v>1.9700657458539904E-2</v>
      </c>
      <c r="CG26" s="76">
        <f t="shared" si="36"/>
        <v>1.7760363420153222E-2</v>
      </c>
      <c r="CH26" s="76">
        <f t="shared" si="37"/>
        <v>1.4755816390693776E-2</v>
      </c>
      <c r="CI26" s="76">
        <f t="shared" si="38"/>
        <v>1.0950513091423952E-2</v>
      </c>
      <c r="CJ26" s="76">
        <f t="shared" si="39"/>
        <v>8.8137942244598533E-2</v>
      </c>
      <c r="CK26" s="63">
        <f t="shared" si="40"/>
        <v>9715.7440000000061</v>
      </c>
      <c r="CL26" s="77">
        <f t="shared" si="41"/>
        <v>38862.976000000024</v>
      </c>
    </row>
    <row r="27" spans="1:90" ht="18.75" customHeight="1" x14ac:dyDescent="0.35">
      <c r="A27" s="50">
        <f t="shared" si="42"/>
        <v>19</v>
      </c>
      <c r="B27" s="51">
        <v>4</v>
      </c>
      <c r="C27" s="52" t="s">
        <v>215</v>
      </c>
      <c r="D27" s="52"/>
      <c r="E27" s="52"/>
      <c r="F27" s="53"/>
      <c r="G27" s="54">
        <v>40</v>
      </c>
      <c r="H27" s="55">
        <f t="shared" si="0"/>
        <v>0</v>
      </c>
      <c r="I27" s="53">
        <v>8217</v>
      </c>
      <c r="J27" s="56">
        <v>50</v>
      </c>
      <c r="K27" s="55">
        <f t="shared" si="1"/>
        <v>410850</v>
      </c>
      <c r="L27" s="53"/>
      <c r="M27" s="57">
        <v>60</v>
      </c>
      <c r="N27" s="55">
        <f t="shared" si="2"/>
        <v>0</v>
      </c>
      <c r="O27" s="53">
        <v>3983</v>
      </c>
      <c r="P27" s="57">
        <v>12</v>
      </c>
      <c r="Q27" s="55">
        <f t="shared" si="3"/>
        <v>47796</v>
      </c>
      <c r="R27" s="53">
        <v>3070</v>
      </c>
      <c r="S27" s="59">
        <v>12</v>
      </c>
      <c r="T27" s="55">
        <f t="shared" si="4"/>
        <v>36840</v>
      </c>
      <c r="U27" s="53">
        <v>806</v>
      </c>
      <c r="V27" s="57">
        <v>8</v>
      </c>
      <c r="W27" s="55">
        <f t="shared" si="5"/>
        <v>6448</v>
      </c>
      <c r="X27" s="53">
        <v>844</v>
      </c>
      <c r="Y27" s="57">
        <v>12</v>
      </c>
      <c r="Z27" s="55">
        <f t="shared" si="6"/>
        <v>10128</v>
      </c>
      <c r="AA27" s="53">
        <v>1440</v>
      </c>
      <c r="AB27" s="57">
        <v>10</v>
      </c>
      <c r="AC27" s="55">
        <f t="shared" si="7"/>
        <v>14400</v>
      </c>
      <c r="AD27" s="53">
        <v>370</v>
      </c>
      <c r="AE27" s="57">
        <v>25</v>
      </c>
      <c r="AF27" s="55">
        <f t="shared" si="8"/>
        <v>9250</v>
      </c>
      <c r="AG27" s="53">
        <v>510</v>
      </c>
      <c r="AH27" s="57">
        <v>7.5</v>
      </c>
      <c r="AI27" s="55">
        <f t="shared" si="9"/>
        <v>3825</v>
      </c>
      <c r="AJ27" s="53"/>
      <c r="AK27" s="56">
        <v>15</v>
      </c>
      <c r="AL27" s="55">
        <f t="shared" si="10"/>
        <v>0</v>
      </c>
      <c r="AM27" s="53">
        <v>126</v>
      </c>
      <c r="AN27" s="57">
        <v>10</v>
      </c>
      <c r="AO27" s="55">
        <f t="shared" si="43"/>
        <v>1260</v>
      </c>
      <c r="AP27" s="53">
        <f t="shared" si="12"/>
        <v>7166</v>
      </c>
      <c r="AQ27" s="53"/>
      <c r="AR27" s="61"/>
      <c r="AS27" s="53"/>
      <c r="AT27" s="53"/>
      <c r="AU27" s="55"/>
      <c r="AV27" s="53"/>
      <c r="AW27" s="53"/>
      <c r="AX27" s="66">
        <v>1745</v>
      </c>
      <c r="AY27" s="53"/>
      <c r="AZ27" s="68">
        <f t="shared" si="13"/>
        <v>0.48472678593160523</v>
      </c>
      <c r="BA27" s="68">
        <f t="shared" si="14"/>
        <v>0.87209443835949862</v>
      </c>
      <c r="BB27" s="68">
        <f t="shared" si="15"/>
        <v>0.43811197589756468</v>
      </c>
      <c r="BC27" s="55">
        <f t="shared" si="16"/>
        <v>487916</v>
      </c>
      <c r="BD27" s="55">
        <f t="shared" si="17"/>
        <v>456940</v>
      </c>
      <c r="BE27" s="55">
        <f t="shared" si="18"/>
        <v>487916</v>
      </c>
      <c r="BF27" s="55">
        <f t="shared" si="19"/>
        <v>491741</v>
      </c>
      <c r="BG27" s="62">
        <v>581045</v>
      </c>
      <c r="BH27" s="63">
        <v>387794.17</v>
      </c>
      <c r="BI27" s="69">
        <f t="shared" si="20"/>
        <v>66.740815255272821</v>
      </c>
      <c r="BJ27" s="70">
        <f t="shared" si="21"/>
        <v>36404</v>
      </c>
      <c r="BK27" s="71">
        <f t="shared" si="22"/>
        <v>6.2652634477536162E-2</v>
      </c>
      <c r="BL27" s="72">
        <f t="shared" si="23"/>
        <v>4</v>
      </c>
      <c r="BM27" s="61">
        <f t="shared" si="24"/>
        <v>50412</v>
      </c>
      <c r="BN27" s="69">
        <f t="shared" si="25"/>
        <v>2.7322330000793458</v>
      </c>
      <c r="BO27" s="73">
        <f t="shared" si="26"/>
        <v>0</v>
      </c>
      <c r="BP27" s="69" t="e">
        <f t="shared" si="27"/>
        <v>#DIV/0!</v>
      </c>
      <c r="BQ27" s="61">
        <f t="shared" si="28"/>
        <v>12000</v>
      </c>
      <c r="BR27" s="69">
        <f t="shared" si="29"/>
        <v>11.478110833333332</v>
      </c>
      <c r="BS27" s="64">
        <f t="shared" si="30"/>
        <v>38921.329999999987</v>
      </c>
      <c r="BT27" s="69">
        <f t="shared" si="31"/>
        <v>3.5388649360132356</v>
      </c>
      <c r="BU27" s="65">
        <v>137737.32999999999</v>
      </c>
      <c r="BV27" s="74">
        <f t="shared" si="32"/>
        <v>23.705105456548115</v>
      </c>
      <c r="BW27" s="75">
        <f t="shared" si="33"/>
        <v>55513.500000000029</v>
      </c>
      <c r="BX27" s="69">
        <f t="shared" si="34"/>
        <v>9.5540792881790626</v>
      </c>
      <c r="BY27" s="55">
        <v>11458</v>
      </c>
      <c r="BZ27" s="55">
        <v>10380</v>
      </c>
      <c r="CA27" s="55">
        <v>8806</v>
      </c>
      <c r="CB27" s="55">
        <v>5760</v>
      </c>
      <c r="CC27" s="64">
        <v>50412</v>
      </c>
      <c r="CD27" s="64"/>
      <c r="CE27" s="64">
        <v>12000</v>
      </c>
      <c r="CF27" s="76">
        <f t="shared" si="35"/>
        <v>1.9719643056906093E-2</v>
      </c>
      <c r="CG27" s="76">
        <f t="shared" si="36"/>
        <v>1.7864365066389006E-2</v>
      </c>
      <c r="CH27" s="76">
        <f t="shared" si="37"/>
        <v>1.5155452675782426E-2</v>
      </c>
      <c r="CI27" s="76">
        <f t="shared" si="38"/>
        <v>9.913173678458639E-3</v>
      </c>
      <c r="CJ27" s="76">
        <f t="shared" si="39"/>
        <v>8.6760922131676549E-2</v>
      </c>
      <c r="CK27" s="63">
        <f t="shared" si="40"/>
        <v>11102.700000000006</v>
      </c>
      <c r="CL27" s="77">
        <f t="shared" si="41"/>
        <v>44410.800000000025</v>
      </c>
    </row>
    <row r="28" spans="1:90" ht="18.75" customHeight="1" x14ac:dyDescent="0.35">
      <c r="A28" s="50">
        <f t="shared" si="42"/>
        <v>20</v>
      </c>
      <c r="B28" s="58">
        <v>4</v>
      </c>
      <c r="C28" s="52" t="s">
        <v>216</v>
      </c>
      <c r="D28" s="52"/>
      <c r="E28" s="52"/>
      <c r="F28" s="53"/>
      <c r="G28" s="54">
        <v>40</v>
      </c>
      <c r="H28" s="55">
        <f t="shared" si="0"/>
        <v>0</v>
      </c>
      <c r="I28" s="53">
        <v>9237</v>
      </c>
      <c r="J28" s="56">
        <v>50</v>
      </c>
      <c r="K28" s="55">
        <f t="shared" si="1"/>
        <v>461850</v>
      </c>
      <c r="L28" s="53"/>
      <c r="M28" s="57">
        <v>60</v>
      </c>
      <c r="N28" s="55">
        <f t="shared" si="2"/>
        <v>0</v>
      </c>
      <c r="O28" s="53">
        <v>3304</v>
      </c>
      <c r="P28" s="57">
        <v>12</v>
      </c>
      <c r="Q28" s="55">
        <f t="shared" si="3"/>
        <v>39648</v>
      </c>
      <c r="R28" s="53">
        <v>2670</v>
      </c>
      <c r="S28" s="59">
        <v>12</v>
      </c>
      <c r="T28" s="55">
        <f t="shared" si="4"/>
        <v>32040</v>
      </c>
      <c r="U28" s="53">
        <v>492</v>
      </c>
      <c r="V28" s="57">
        <v>8</v>
      </c>
      <c r="W28" s="55">
        <f t="shared" si="5"/>
        <v>3936</v>
      </c>
      <c r="X28" s="53">
        <v>693</v>
      </c>
      <c r="Y28" s="57">
        <v>12</v>
      </c>
      <c r="Z28" s="55">
        <f t="shared" si="6"/>
        <v>8316</v>
      </c>
      <c r="AA28" s="53">
        <v>725</v>
      </c>
      <c r="AB28" s="57">
        <v>10</v>
      </c>
      <c r="AC28" s="55">
        <f t="shared" si="7"/>
        <v>7250</v>
      </c>
      <c r="AD28" s="53">
        <v>230</v>
      </c>
      <c r="AE28" s="57">
        <v>25</v>
      </c>
      <c r="AF28" s="55">
        <f t="shared" si="8"/>
        <v>5750</v>
      </c>
      <c r="AG28" s="53">
        <v>249</v>
      </c>
      <c r="AH28" s="57">
        <v>7.5</v>
      </c>
      <c r="AI28" s="55">
        <f t="shared" si="9"/>
        <v>1867.5</v>
      </c>
      <c r="AJ28" s="53"/>
      <c r="AK28" s="56">
        <v>15</v>
      </c>
      <c r="AL28" s="55">
        <f t="shared" si="10"/>
        <v>0</v>
      </c>
      <c r="AM28" s="53">
        <v>150</v>
      </c>
      <c r="AN28" s="57">
        <v>12</v>
      </c>
      <c r="AO28" s="55">
        <f t="shared" si="43"/>
        <v>1800</v>
      </c>
      <c r="AP28" s="53">
        <f t="shared" si="12"/>
        <v>5209</v>
      </c>
      <c r="AQ28" s="53"/>
      <c r="AR28" s="61"/>
      <c r="AS28" s="53"/>
      <c r="AT28" s="53"/>
      <c r="AU28" s="55"/>
      <c r="AV28" s="53"/>
      <c r="AW28" s="53"/>
      <c r="AX28" s="66">
        <v>948</v>
      </c>
      <c r="AY28" s="53"/>
      <c r="AZ28" s="68">
        <f t="shared" si="13"/>
        <v>0.35769189130670132</v>
      </c>
      <c r="BA28" s="68">
        <f t="shared" si="14"/>
        <v>0.56392768214788347</v>
      </c>
      <c r="BB28" s="68">
        <f t="shared" si="15"/>
        <v>0.28692493946731235</v>
      </c>
      <c r="BC28" s="55">
        <f t="shared" si="16"/>
        <v>519142</v>
      </c>
      <c r="BD28" s="55">
        <f t="shared" si="17"/>
        <v>499640</v>
      </c>
      <c r="BE28" s="55">
        <f t="shared" si="18"/>
        <v>519142</v>
      </c>
      <c r="BF28" s="55">
        <f t="shared" si="19"/>
        <v>521009.5</v>
      </c>
      <c r="BG28" s="62">
        <v>580461.5</v>
      </c>
      <c r="BH28" s="63">
        <v>389908.14</v>
      </c>
      <c r="BI28" s="69">
        <f t="shared" si="20"/>
        <v>67.172093239603328</v>
      </c>
      <c r="BJ28" s="70">
        <f t="shared" si="21"/>
        <v>41952</v>
      </c>
      <c r="BK28" s="71">
        <f t="shared" si="22"/>
        <v>7.2273527184834818E-2</v>
      </c>
      <c r="BL28" s="72">
        <f t="shared" si="23"/>
        <v>4</v>
      </c>
      <c r="BM28" s="61">
        <f t="shared" si="24"/>
        <v>45684</v>
      </c>
      <c r="BN28" s="69">
        <f t="shared" si="25"/>
        <v>3.506865423342965</v>
      </c>
      <c r="BO28" s="73">
        <f t="shared" si="26"/>
        <v>0</v>
      </c>
      <c r="BP28" s="69" t="e">
        <f t="shared" si="27"/>
        <v>#DIV/0!</v>
      </c>
      <c r="BQ28" s="61">
        <f t="shared" si="28"/>
        <v>30000</v>
      </c>
      <c r="BR28" s="69">
        <f t="shared" si="29"/>
        <v>5.3402546666666675</v>
      </c>
      <c r="BS28" s="64">
        <f t="shared" si="30"/>
        <v>42571.640000000014</v>
      </c>
      <c r="BT28" s="69">
        <f t="shared" si="31"/>
        <v>3.7632480214527786</v>
      </c>
      <c r="BU28" s="65">
        <v>160207.64000000001</v>
      </c>
      <c r="BV28" s="74">
        <f t="shared" si="32"/>
        <v>27.60004582560601</v>
      </c>
      <c r="BW28" s="75">
        <f t="shared" si="33"/>
        <v>30345.719999999972</v>
      </c>
      <c r="BX28" s="69">
        <f t="shared" si="34"/>
        <v>5.2278609347906748</v>
      </c>
      <c r="BY28" s="55">
        <v>15296</v>
      </c>
      <c r="BZ28" s="55">
        <v>12110</v>
      </c>
      <c r="CA28" s="55">
        <v>10066</v>
      </c>
      <c r="CB28" s="55">
        <v>4480</v>
      </c>
      <c r="CC28" s="64">
        <v>45684</v>
      </c>
      <c r="CD28" s="64"/>
      <c r="CE28" s="64">
        <v>30000</v>
      </c>
      <c r="CF28" s="76">
        <f t="shared" si="35"/>
        <v>2.6351446219947405E-2</v>
      </c>
      <c r="CG28" s="76">
        <f t="shared" si="36"/>
        <v>2.0862710102220388E-2</v>
      </c>
      <c r="CH28" s="76">
        <f t="shared" si="37"/>
        <v>1.7341374061845619E-2</v>
      </c>
      <c r="CI28" s="76">
        <f t="shared" si="38"/>
        <v>7.7179968008214157E-3</v>
      </c>
      <c r="CJ28" s="76">
        <f t="shared" si="39"/>
        <v>7.8702894162661949E-2</v>
      </c>
      <c r="CK28" s="63">
        <f t="shared" si="40"/>
        <v>6069.1439999999948</v>
      </c>
      <c r="CL28" s="77">
        <f t="shared" si="41"/>
        <v>24276.575999999979</v>
      </c>
    </row>
    <row r="29" spans="1:90" ht="18.75" customHeight="1" x14ac:dyDescent="0.35">
      <c r="A29" s="50">
        <f t="shared" si="42"/>
        <v>21</v>
      </c>
      <c r="B29" s="58">
        <v>4</v>
      </c>
      <c r="C29" s="52" t="s">
        <v>108</v>
      </c>
      <c r="D29" s="52"/>
      <c r="E29" s="52"/>
      <c r="F29" s="53"/>
      <c r="G29" s="54">
        <v>40</v>
      </c>
      <c r="H29" s="55">
        <f t="shared" si="0"/>
        <v>0</v>
      </c>
      <c r="I29" s="53">
        <v>7603</v>
      </c>
      <c r="J29" s="56">
        <v>50</v>
      </c>
      <c r="K29" s="55">
        <f t="shared" si="1"/>
        <v>380150</v>
      </c>
      <c r="L29" s="53"/>
      <c r="M29" s="57">
        <v>60</v>
      </c>
      <c r="N29" s="55">
        <f t="shared" si="2"/>
        <v>0</v>
      </c>
      <c r="O29" s="53">
        <v>6517</v>
      </c>
      <c r="P29" s="57">
        <v>12</v>
      </c>
      <c r="Q29" s="55">
        <f t="shared" si="3"/>
        <v>78204</v>
      </c>
      <c r="R29" s="53">
        <v>1707</v>
      </c>
      <c r="S29" s="59">
        <v>12</v>
      </c>
      <c r="T29" s="55">
        <f t="shared" si="4"/>
        <v>20484</v>
      </c>
      <c r="U29" s="53">
        <v>1555</v>
      </c>
      <c r="V29" s="57">
        <v>8</v>
      </c>
      <c r="W29" s="55">
        <f t="shared" si="5"/>
        <v>12440</v>
      </c>
      <c r="X29" s="53">
        <v>465</v>
      </c>
      <c r="Y29" s="57">
        <v>12</v>
      </c>
      <c r="Z29" s="55">
        <f t="shared" si="6"/>
        <v>5580</v>
      </c>
      <c r="AA29" s="53">
        <v>1291</v>
      </c>
      <c r="AB29" s="57">
        <v>10</v>
      </c>
      <c r="AC29" s="55">
        <f t="shared" si="7"/>
        <v>12910</v>
      </c>
      <c r="AD29" s="53">
        <v>316</v>
      </c>
      <c r="AE29" s="57">
        <v>25</v>
      </c>
      <c r="AF29" s="55">
        <f t="shared" si="8"/>
        <v>7900</v>
      </c>
      <c r="AG29" s="53">
        <v>402</v>
      </c>
      <c r="AH29" s="57">
        <v>7.5</v>
      </c>
      <c r="AI29" s="55">
        <f t="shared" si="9"/>
        <v>3015</v>
      </c>
      <c r="AJ29" s="53"/>
      <c r="AK29" s="56">
        <v>15</v>
      </c>
      <c r="AL29" s="55">
        <f t="shared" si="10"/>
        <v>0</v>
      </c>
      <c r="AM29" s="53">
        <v>264</v>
      </c>
      <c r="AN29" s="57">
        <v>10</v>
      </c>
      <c r="AO29" s="55">
        <f t="shared" si="43"/>
        <v>2640</v>
      </c>
      <c r="AP29" s="53">
        <f t="shared" si="12"/>
        <v>6000</v>
      </c>
      <c r="AQ29" s="53"/>
      <c r="AR29" s="61"/>
      <c r="AS29" s="53"/>
      <c r="AT29" s="53"/>
      <c r="AU29" s="55"/>
      <c r="AV29" s="53"/>
      <c r="AW29" s="53"/>
      <c r="AX29" s="66">
        <v>2462</v>
      </c>
      <c r="AY29" s="53"/>
      <c r="AZ29" s="68">
        <f t="shared" si="13"/>
        <v>0.85716164671840067</v>
      </c>
      <c r="BA29" s="68">
        <f t="shared" si="14"/>
        <v>0.7891621728265158</v>
      </c>
      <c r="BB29" s="68">
        <f t="shared" si="15"/>
        <v>0.37778118766303515</v>
      </c>
      <c r="BC29" s="55">
        <f t="shared" si="16"/>
        <v>439464</v>
      </c>
      <c r="BD29" s="55">
        <f t="shared" si="17"/>
        <v>408534</v>
      </c>
      <c r="BE29" s="55">
        <f t="shared" si="18"/>
        <v>439464</v>
      </c>
      <c r="BF29" s="55">
        <f t="shared" si="19"/>
        <v>442479</v>
      </c>
      <c r="BG29" s="62">
        <v>569205</v>
      </c>
      <c r="BH29" s="63">
        <v>382404.08</v>
      </c>
      <c r="BI29" s="69">
        <f t="shared" si="20"/>
        <v>67.182136488611306</v>
      </c>
      <c r="BJ29" s="70">
        <f t="shared" si="21"/>
        <v>35534.5</v>
      </c>
      <c r="BK29" s="71">
        <f t="shared" si="22"/>
        <v>6.2428299118946602E-2</v>
      </c>
      <c r="BL29" s="72">
        <f t="shared" si="23"/>
        <v>4</v>
      </c>
      <c r="BM29" s="61">
        <f t="shared" si="24"/>
        <v>48250</v>
      </c>
      <c r="BN29" s="69">
        <f t="shared" si="25"/>
        <v>3.3070435233160622</v>
      </c>
      <c r="BO29" s="73">
        <f t="shared" si="26"/>
        <v>62.5</v>
      </c>
      <c r="BP29" s="69">
        <f t="shared" si="27"/>
        <v>2553.0376000000001</v>
      </c>
      <c r="BQ29" s="61">
        <f t="shared" si="28"/>
        <v>28000</v>
      </c>
      <c r="BR29" s="69">
        <f t="shared" si="29"/>
        <v>5.6987446428571431</v>
      </c>
      <c r="BS29" s="64">
        <f t="shared" si="30"/>
        <v>47717.850000000006</v>
      </c>
      <c r="BT29" s="69">
        <f t="shared" si="31"/>
        <v>3.3439237098905332</v>
      </c>
      <c r="BU29" s="65">
        <v>159564.85</v>
      </c>
      <c r="BV29" s="74">
        <f t="shared" si="32"/>
        <v>28.032931896241248</v>
      </c>
      <c r="BW29" s="75">
        <f t="shared" si="33"/>
        <v>27236.069999999978</v>
      </c>
      <c r="BX29" s="69">
        <f t="shared" si="34"/>
        <v>4.7849316151474381</v>
      </c>
      <c r="BY29" s="55">
        <v>11456.5</v>
      </c>
      <c r="BZ29" s="55">
        <v>9546</v>
      </c>
      <c r="CA29" s="55">
        <v>11292</v>
      </c>
      <c r="CB29" s="55">
        <v>3240</v>
      </c>
      <c r="CC29" s="64">
        <v>48250</v>
      </c>
      <c r="CD29" s="64">
        <v>62.5</v>
      </c>
      <c r="CE29" s="64">
        <v>28000</v>
      </c>
      <c r="CF29" s="76">
        <f t="shared" si="35"/>
        <v>2.0127194947338833E-2</v>
      </c>
      <c r="CG29" s="76">
        <f t="shared" si="36"/>
        <v>1.6770759216802381E-2</v>
      </c>
      <c r="CH29" s="76">
        <f t="shared" si="37"/>
        <v>1.9838195377763723E-2</v>
      </c>
      <c r="CI29" s="76">
        <f t="shared" si="38"/>
        <v>5.6921495770416632E-3</v>
      </c>
      <c r="CJ29" s="76">
        <f t="shared" si="39"/>
        <v>8.4767350954401313E-2</v>
      </c>
      <c r="CK29" s="63">
        <f t="shared" si="40"/>
        <v>5447.2139999999963</v>
      </c>
      <c r="CL29" s="77">
        <f t="shared" si="41"/>
        <v>21788.855999999985</v>
      </c>
    </row>
    <row r="30" spans="1:90" ht="18.75" customHeight="1" x14ac:dyDescent="0.35">
      <c r="A30" s="50">
        <f t="shared" si="42"/>
        <v>22</v>
      </c>
      <c r="B30" s="58">
        <v>4</v>
      </c>
      <c r="C30" s="52" t="s">
        <v>111</v>
      </c>
      <c r="D30" s="52"/>
      <c r="E30" s="52"/>
      <c r="F30" s="53"/>
      <c r="G30" s="54">
        <v>40</v>
      </c>
      <c r="H30" s="55">
        <f t="shared" si="0"/>
        <v>0</v>
      </c>
      <c r="I30" s="53">
        <v>9282</v>
      </c>
      <c r="J30" s="56">
        <v>50</v>
      </c>
      <c r="K30" s="55">
        <f t="shared" si="1"/>
        <v>464100</v>
      </c>
      <c r="L30" s="53"/>
      <c r="M30" s="57">
        <v>60</v>
      </c>
      <c r="N30" s="55">
        <f t="shared" si="2"/>
        <v>0</v>
      </c>
      <c r="O30" s="53">
        <v>3147</v>
      </c>
      <c r="P30" s="57">
        <v>12</v>
      </c>
      <c r="Q30" s="55">
        <f t="shared" si="3"/>
        <v>37764</v>
      </c>
      <c r="R30" s="53">
        <v>340</v>
      </c>
      <c r="S30" s="59">
        <v>12</v>
      </c>
      <c r="T30" s="55">
        <f t="shared" si="4"/>
        <v>4080</v>
      </c>
      <c r="U30" s="53">
        <v>710</v>
      </c>
      <c r="V30" s="57">
        <v>8</v>
      </c>
      <c r="W30" s="55">
        <f t="shared" si="5"/>
        <v>5680</v>
      </c>
      <c r="X30" s="53">
        <v>536</v>
      </c>
      <c r="Y30" s="57">
        <v>12</v>
      </c>
      <c r="Z30" s="55">
        <f t="shared" si="6"/>
        <v>6432</v>
      </c>
      <c r="AA30" s="53">
        <v>798</v>
      </c>
      <c r="AB30" s="57">
        <v>10</v>
      </c>
      <c r="AC30" s="55">
        <f t="shared" si="7"/>
        <v>7980</v>
      </c>
      <c r="AD30" s="53">
        <v>255</v>
      </c>
      <c r="AE30" s="57">
        <v>25</v>
      </c>
      <c r="AF30" s="55">
        <f t="shared" si="8"/>
        <v>6375</v>
      </c>
      <c r="AG30" s="53">
        <v>330</v>
      </c>
      <c r="AH30" s="57">
        <v>7.5</v>
      </c>
      <c r="AI30" s="55">
        <f t="shared" si="9"/>
        <v>2475</v>
      </c>
      <c r="AJ30" s="53"/>
      <c r="AK30" s="56">
        <v>15</v>
      </c>
      <c r="AL30" s="55">
        <f t="shared" si="10"/>
        <v>0</v>
      </c>
      <c r="AM30" s="53"/>
      <c r="AN30" s="57">
        <v>10</v>
      </c>
      <c r="AO30" s="55">
        <f t="shared" si="43"/>
        <v>0</v>
      </c>
      <c r="AP30" s="53">
        <f t="shared" si="12"/>
        <v>2969</v>
      </c>
      <c r="AQ30" s="53"/>
      <c r="AR30" s="61"/>
      <c r="AS30" s="53"/>
      <c r="AT30" s="53"/>
      <c r="AU30" s="55"/>
      <c r="AV30" s="53"/>
      <c r="AW30" s="53"/>
      <c r="AX30" s="66">
        <v>1296</v>
      </c>
      <c r="AY30" s="53"/>
      <c r="AZ30" s="68">
        <f t="shared" si="13"/>
        <v>0.33904330963154494</v>
      </c>
      <c r="BA30" s="68">
        <f t="shared" si="14"/>
        <v>0.31986640810170219</v>
      </c>
      <c r="BB30" s="68">
        <f t="shared" si="15"/>
        <v>0.41182078169685415</v>
      </c>
      <c r="BC30" s="55">
        <f t="shared" si="16"/>
        <v>494647</v>
      </c>
      <c r="BD30" s="55">
        <f t="shared" si="17"/>
        <v>474555</v>
      </c>
      <c r="BE30" s="55">
        <f t="shared" si="18"/>
        <v>494647</v>
      </c>
      <c r="BF30" s="55">
        <f t="shared" si="19"/>
        <v>497122</v>
      </c>
      <c r="BG30" s="62">
        <v>560768</v>
      </c>
      <c r="BH30" s="63">
        <v>376312.23</v>
      </c>
      <c r="BI30" s="69">
        <f t="shared" si="20"/>
        <v>67.106580618009573</v>
      </c>
      <c r="BJ30" s="70">
        <f t="shared" si="21"/>
        <v>50009.5</v>
      </c>
      <c r="BK30" s="71">
        <f t="shared" si="22"/>
        <v>8.9180374058434153E-2</v>
      </c>
      <c r="BL30" s="72">
        <f t="shared" si="23"/>
        <v>4</v>
      </c>
      <c r="BM30" s="61">
        <f t="shared" si="24"/>
        <v>44325</v>
      </c>
      <c r="BN30" s="69">
        <f t="shared" si="25"/>
        <v>3.4044809926677946</v>
      </c>
      <c r="BO30" s="73">
        <f t="shared" si="26"/>
        <v>500</v>
      </c>
      <c r="BP30" s="69">
        <f t="shared" si="27"/>
        <v>301.80723999999998</v>
      </c>
      <c r="BQ30" s="61">
        <f t="shared" si="28"/>
        <v>13000</v>
      </c>
      <c r="BR30" s="69">
        <f t="shared" si="29"/>
        <v>11.60797076923077</v>
      </c>
      <c r="BS30" s="64">
        <f t="shared" si="30"/>
        <v>43069.119999999995</v>
      </c>
      <c r="BT30" s="69">
        <f t="shared" si="31"/>
        <v>3.5037544300881933</v>
      </c>
      <c r="BU30" s="65">
        <v>150903.62</v>
      </c>
      <c r="BV30" s="74">
        <f t="shared" si="32"/>
        <v>26.91016962451495</v>
      </c>
      <c r="BW30" s="75">
        <f t="shared" si="33"/>
        <v>33552.150000000023</v>
      </c>
      <c r="BX30" s="69">
        <f t="shared" si="34"/>
        <v>5.9832497574754662</v>
      </c>
      <c r="BY30" s="55">
        <v>19019.5</v>
      </c>
      <c r="BZ30" s="55">
        <v>12728</v>
      </c>
      <c r="CA30" s="55">
        <v>13672</v>
      </c>
      <c r="CB30" s="55">
        <v>4590</v>
      </c>
      <c r="CC30" s="64">
        <v>44325</v>
      </c>
      <c r="CD30" s="64">
        <v>500</v>
      </c>
      <c r="CE30" s="64">
        <v>13000</v>
      </c>
      <c r="CF30" s="76">
        <f t="shared" si="35"/>
        <v>3.3916878281214334E-2</v>
      </c>
      <c r="CG30" s="76">
        <f t="shared" si="36"/>
        <v>2.2697443506048846E-2</v>
      </c>
      <c r="CH30" s="76">
        <f t="shared" si="37"/>
        <v>2.4380849121205205E-2</v>
      </c>
      <c r="CI30" s="76">
        <f t="shared" si="38"/>
        <v>8.1852031499657606E-3</v>
      </c>
      <c r="CJ30" s="76">
        <f t="shared" si="39"/>
        <v>7.9043383359963484E-2</v>
      </c>
      <c r="CK30" s="63">
        <f t="shared" si="40"/>
        <v>6710.4300000000048</v>
      </c>
      <c r="CL30" s="77">
        <f t="shared" si="41"/>
        <v>26841.720000000019</v>
      </c>
    </row>
    <row r="31" spans="1:90" ht="18.75" customHeight="1" x14ac:dyDescent="0.35">
      <c r="A31" s="50">
        <f t="shared" si="42"/>
        <v>23</v>
      </c>
      <c r="B31" s="51">
        <v>4</v>
      </c>
      <c r="C31" s="52" t="s">
        <v>4</v>
      </c>
      <c r="D31" s="52"/>
      <c r="E31" s="52"/>
      <c r="F31" s="53"/>
      <c r="G31" s="54">
        <v>40</v>
      </c>
      <c r="H31" s="55">
        <f t="shared" si="0"/>
        <v>0</v>
      </c>
      <c r="I31" s="53">
        <v>8132</v>
      </c>
      <c r="J31" s="56">
        <v>50</v>
      </c>
      <c r="K31" s="55">
        <f t="shared" si="1"/>
        <v>406600</v>
      </c>
      <c r="L31" s="53"/>
      <c r="M31" s="57">
        <v>60</v>
      </c>
      <c r="N31" s="55">
        <f t="shared" si="2"/>
        <v>0</v>
      </c>
      <c r="O31" s="53">
        <v>2903</v>
      </c>
      <c r="P31" s="57">
        <v>12</v>
      </c>
      <c r="Q31" s="55">
        <f t="shared" si="3"/>
        <v>34836</v>
      </c>
      <c r="R31" s="53">
        <v>1510</v>
      </c>
      <c r="S31" s="59">
        <v>12</v>
      </c>
      <c r="T31" s="55">
        <f t="shared" si="4"/>
        <v>18120</v>
      </c>
      <c r="U31" s="53">
        <v>888</v>
      </c>
      <c r="V31" s="57">
        <v>8</v>
      </c>
      <c r="W31" s="55">
        <f t="shared" si="5"/>
        <v>7104</v>
      </c>
      <c r="X31" s="53">
        <v>442</v>
      </c>
      <c r="Y31" s="57">
        <v>12</v>
      </c>
      <c r="Z31" s="55">
        <f t="shared" si="6"/>
        <v>5304</v>
      </c>
      <c r="AA31" s="53">
        <v>1053</v>
      </c>
      <c r="AB31" s="57">
        <v>10</v>
      </c>
      <c r="AC31" s="55">
        <f t="shared" si="7"/>
        <v>10530</v>
      </c>
      <c r="AD31" s="53">
        <v>206</v>
      </c>
      <c r="AE31" s="57">
        <v>25</v>
      </c>
      <c r="AF31" s="55">
        <f t="shared" si="8"/>
        <v>5150</v>
      </c>
      <c r="AG31" s="53">
        <v>247</v>
      </c>
      <c r="AH31" s="57">
        <v>7.5</v>
      </c>
      <c r="AI31" s="55">
        <f t="shared" si="9"/>
        <v>1852.5</v>
      </c>
      <c r="AJ31" s="53"/>
      <c r="AK31" s="56">
        <v>15</v>
      </c>
      <c r="AL31" s="55">
        <f t="shared" si="10"/>
        <v>0</v>
      </c>
      <c r="AM31" s="53">
        <v>191</v>
      </c>
      <c r="AN31" s="57">
        <v>10</v>
      </c>
      <c r="AO31" s="55">
        <f t="shared" si="43"/>
        <v>1910</v>
      </c>
      <c r="AP31" s="53">
        <f t="shared" si="12"/>
        <v>4537</v>
      </c>
      <c r="AQ31" s="53"/>
      <c r="AR31" s="61"/>
      <c r="AS31" s="53"/>
      <c r="AT31" s="53"/>
      <c r="AU31" s="55"/>
      <c r="AV31" s="53"/>
      <c r="AW31" s="53"/>
      <c r="AX31" s="66">
        <v>1365</v>
      </c>
      <c r="AY31" s="53"/>
      <c r="AZ31" s="68">
        <f t="shared" si="13"/>
        <v>0.35698475159862275</v>
      </c>
      <c r="BA31" s="68">
        <f t="shared" si="14"/>
        <v>0.55791933103787505</v>
      </c>
      <c r="BB31" s="68">
        <f t="shared" si="15"/>
        <v>0.47020323802962455</v>
      </c>
      <c r="BC31" s="55">
        <f t="shared" si="16"/>
        <v>452808</v>
      </c>
      <c r="BD31" s="55">
        <f t="shared" si="17"/>
        <v>429870</v>
      </c>
      <c r="BE31" s="55">
        <f t="shared" si="18"/>
        <v>452808</v>
      </c>
      <c r="BF31" s="55">
        <f t="shared" si="19"/>
        <v>454660.5</v>
      </c>
      <c r="BG31" s="62">
        <v>519613.5</v>
      </c>
      <c r="BH31" s="63">
        <v>347500.32</v>
      </c>
      <c r="BI31" s="69">
        <f t="shared" si="20"/>
        <v>66.876692002805925</v>
      </c>
      <c r="BJ31" s="70">
        <f t="shared" si="21"/>
        <v>36662</v>
      </c>
      <c r="BK31" s="71">
        <f t="shared" si="22"/>
        <v>7.0556288472104739E-2</v>
      </c>
      <c r="BL31" s="72">
        <f t="shared" si="23"/>
        <v>4</v>
      </c>
      <c r="BM31" s="61">
        <f t="shared" si="24"/>
        <v>40050</v>
      </c>
      <c r="BN31" s="69">
        <f t="shared" si="25"/>
        <v>3.1586327091136082</v>
      </c>
      <c r="BO31" s="73">
        <f t="shared" si="26"/>
        <v>1364</v>
      </c>
      <c r="BP31" s="69">
        <f t="shared" si="27"/>
        <v>92.744310850439888</v>
      </c>
      <c r="BQ31" s="61">
        <f t="shared" si="28"/>
        <v>20000</v>
      </c>
      <c r="BR31" s="69">
        <f t="shared" si="29"/>
        <v>6.3251620000000006</v>
      </c>
      <c r="BS31" s="64">
        <f t="shared" si="30"/>
        <v>28427.240000000005</v>
      </c>
      <c r="BT31" s="69">
        <f t="shared" si="31"/>
        <v>4.4500711289594062</v>
      </c>
      <c r="BU31" s="65">
        <v>126503.24</v>
      </c>
      <c r="BV31" s="74">
        <f t="shared" si="32"/>
        <v>24.345641520091377</v>
      </c>
      <c r="BW31" s="75">
        <f t="shared" si="33"/>
        <v>45609.939999999988</v>
      </c>
      <c r="BX31" s="69">
        <f t="shared" si="34"/>
        <v>8.7776664771026898</v>
      </c>
      <c r="BY31" s="55">
        <v>11402</v>
      </c>
      <c r="BZ31" s="55">
        <v>9546</v>
      </c>
      <c r="CA31" s="55">
        <v>12474</v>
      </c>
      <c r="CB31" s="55">
        <v>3240</v>
      </c>
      <c r="CC31" s="64">
        <v>40050</v>
      </c>
      <c r="CD31" s="64">
        <v>1364</v>
      </c>
      <c r="CE31" s="64">
        <v>20000</v>
      </c>
      <c r="CF31" s="76">
        <f t="shared" si="35"/>
        <v>2.1943232806691897E-2</v>
      </c>
      <c r="CG31" s="76">
        <f t="shared" si="36"/>
        <v>1.8371347164767658E-2</v>
      </c>
      <c r="CH31" s="76">
        <f t="shared" si="37"/>
        <v>2.4006304686079172E-2</v>
      </c>
      <c r="CI31" s="76">
        <f t="shared" si="38"/>
        <v>6.2354038145660184E-3</v>
      </c>
      <c r="CJ31" s="76">
        <f t="shared" si="39"/>
        <v>7.7076519374496624E-2</v>
      </c>
      <c r="CK31" s="63">
        <f t="shared" si="40"/>
        <v>9121.9879999999976</v>
      </c>
      <c r="CL31" s="77">
        <f t="shared" si="41"/>
        <v>36487.95199999999</v>
      </c>
    </row>
    <row r="32" spans="1:90" ht="18.75" customHeight="1" x14ac:dyDescent="0.35">
      <c r="A32" s="50">
        <f t="shared" si="42"/>
        <v>24</v>
      </c>
      <c r="B32" s="51">
        <v>4</v>
      </c>
      <c r="C32" s="52" t="s">
        <v>99</v>
      </c>
      <c r="D32" s="52"/>
      <c r="E32" s="52"/>
      <c r="F32" s="53"/>
      <c r="G32" s="54">
        <v>40</v>
      </c>
      <c r="H32" s="55">
        <f t="shared" si="0"/>
        <v>0</v>
      </c>
      <c r="I32" s="53">
        <v>6140</v>
      </c>
      <c r="J32" s="56">
        <v>50</v>
      </c>
      <c r="K32" s="55">
        <f t="shared" si="1"/>
        <v>307000</v>
      </c>
      <c r="L32" s="53"/>
      <c r="M32" s="57">
        <v>60</v>
      </c>
      <c r="N32" s="55">
        <f t="shared" si="2"/>
        <v>0</v>
      </c>
      <c r="O32" s="53">
        <v>4984</v>
      </c>
      <c r="P32" s="57">
        <v>12</v>
      </c>
      <c r="Q32" s="55">
        <f t="shared" si="3"/>
        <v>59808</v>
      </c>
      <c r="R32" s="53">
        <v>5990</v>
      </c>
      <c r="S32" s="59">
        <v>12</v>
      </c>
      <c r="T32" s="55">
        <f t="shared" si="4"/>
        <v>71880</v>
      </c>
      <c r="U32" s="53">
        <v>712</v>
      </c>
      <c r="V32" s="57">
        <v>8</v>
      </c>
      <c r="W32" s="55">
        <f t="shared" si="5"/>
        <v>5696</v>
      </c>
      <c r="X32" s="53">
        <v>226</v>
      </c>
      <c r="Y32" s="57">
        <v>12</v>
      </c>
      <c r="Z32" s="55">
        <f t="shared" si="6"/>
        <v>2712</v>
      </c>
      <c r="AA32" s="53">
        <v>688</v>
      </c>
      <c r="AB32" s="57">
        <v>10</v>
      </c>
      <c r="AC32" s="55">
        <f t="shared" si="7"/>
        <v>6880</v>
      </c>
      <c r="AD32" s="53">
        <v>306</v>
      </c>
      <c r="AE32" s="57">
        <v>25</v>
      </c>
      <c r="AF32" s="55">
        <f t="shared" si="8"/>
        <v>7650</v>
      </c>
      <c r="AG32" s="53">
        <v>830</v>
      </c>
      <c r="AH32" s="57">
        <v>7.5</v>
      </c>
      <c r="AI32" s="55">
        <f t="shared" si="9"/>
        <v>6225</v>
      </c>
      <c r="AJ32" s="53"/>
      <c r="AK32" s="56">
        <v>15</v>
      </c>
      <c r="AL32" s="55">
        <f t="shared" si="10"/>
        <v>0</v>
      </c>
      <c r="AM32" s="53">
        <v>217</v>
      </c>
      <c r="AN32" s="57">
        <v>10</v>
      </c>
      <c r="AO32" s="55">
        <f t="shared" si="43"/>
        <v>2170</v>
      </c>
      <c r="AP32" s="53">
        <f t="shared" si="12"/>
        <v>8969</v>
      </c>
      <c r="AQ32" s="53"/>
      <c r="AR32" s="61"/>
      <c r="AS32" s="53"/>
      <c r="AT32" s="53"/>
      <c r="AU32" s="55"/>
      <c r="AV32" s="53"/>
      <c r="AW32" s="53"/>
      <c r="AX32" s="66">
        <v>1286</v>
      </c>
      <c r="AY32" s="53"/>
      <c r="AZ32" s="68">
        <f t="shared" si="13"/>
        <v>0.81172638436482081</v>
      </c>
      <c r="BA32" s="68">
        <f t="shared" si="14"/>
        <v>1.4607491856677524</v>
      </c>
      <c r="BB32" s="68">
        <f t="shared" si="15"/>
        <v>0.25802568218298555</v>
      </c>
      <c r="BC32" s="55">
        <f t="shared" si="16"/>
        <v>401818</v>
      </c>
      <c r="BD32" s="55">
        <f t="shared" si="17"/>
        <v>386530</v>
      </c>
      <c r="BE32" s="55">
        <f t="shared" si="18"/>
        <v>401818</v>
      </c>
      <c r="BF32" s="55">
        <f t="shared" si="19"/>
        <v>408043</v>
      </c>
      <c r="BG32" s="62">
        <v>495109</v>
      </c>
      <c r="BH32" s="63">
        <v>329923.08</v>
      </c>
      <c r="BI32" s="69">
        <f t="shared" si="20"/>
        <v>66.636453790983396</v>
      </c>
      <c r="BJ32" s="70">
        <f t="shared" si="21"/>
        <v>35487</v>
      </c>
      <c r="BK32" s="71">
        <f t="shared" si="22"/>
        <v>7.1675126083347307E-2</v>
      </c>
      <c r="BL32" s="72">
        <f t="shared" si="23"/>
        <v>4</v>
      </c>
      <c r="BM32" s="61">
        <f t="shared" si="24"/>
        <v>44000</v>
      </c>
      <c r="BN32" s="69">
        <f t="shared" si="25"/>
        <v>3.420533409090909</v>
      </c>
      <c r="BO32" s="73">
        <f t="shared" si="26"/>
        <v>0</v>
      </c>
      <c r="BP32" s="69" t="e">
        <f t="shared" si="27"/>
        <v>#DIV/0!</v>
      </c>
      <c r="BQ32" s="61">
        <f t="shared" si="28"/>
        <v>35000</v>
      </c>
      <c r="BR32" s="69">
        <f t="shared" si="29"/>
        <v>4.3000991428571425</v>
      </c>
      <c r="BS32" s="64">
        <f t="shared" si="30"/>
        <v>36016.47</v>
      </c>
      <c r="BT32" s="69">
        <f t="shared" si="31"/>
        <v>4.1787401708162957</v>
      </c>
      <c r="BU32" s="65">
        <v>150503.47</v>
      </c>
      <c r="BV32" s="74">
        <f t="shared" si="32"/>
        <v>30.398047702627096</v>
      </c>
      <c r="BW32" s="75">
        <f t="shared" si="33"/>
        <v>14682.449999999983</v>
      </c>
      <c r="BX32" s="69">
        <f t="shared" si="34"/>
        <v>2.9654985063894985</v>
      </c>
      <c r="BY32" s="55">
        <v>11683</v>
      </c>
      <c r="BZ32" s="55">
        <v>9546</v>
      </c>
      <c r="CA32" s="55">
        <v>11288</v>
      </c>
      <c r="CB32" s="55">
        <v>2970</v>
      </c>
      <c r="CC32" s="64">
        <v>44000</v>
      </c>
      <c r="CD32" s="64"/>
      <c r="CE32" s="64">
        <v>35000</v>
      </c>
      <c r="CF32" s="76">
        <f t="shared" si="35"/>
        <v>2.3596824133675615E-2</v>
      </c>
      <c r="CG32" s="76">
        <f t="shared" si="36"/>
        <v>1.9280602857148627E-2</v>
      </c>
      <c r="CH32" s="76">
        <f t="shared" si="37"/>
        <v>2.2799020013774745E-2</v>
      </c>
      <c r="CI32" s="76">
        <f t="shared" si="38"/>
        <v>5.9986790787483158E-3</v>
      </c>
      <c r="CJ32" s="76">
        <f t="shared" si="39"/>
        <v>8.8869319685160236E-2</v>
      </c>
      <c r="CK32" s="63">
        <f t="shared" si="40"/>
        <v>2936.4899999999966</v>
      </c>
      <c r="CL32" s="77">
        <f t="shared" si="41"/>
        <v>11745.959999999986</v>
      </c>
    </row>
    <row r="33" spans="1:90" ht="18.75" customHeight="1" x14ac:dyDescent="0.35">
      <c r="A33" s="50">
        <f t="shared" si="42"/>
        <v>25</v>
      </c>
      <c r="B33" s="58">
        <v>3</v>
      </c>
      <c r="C33" s="52" t="s">
        <v>97</v>
      </c>
      <c r="D33" s="52"/>
      <c r="E33" s="52"/>
      <c r="F33" s="53"/>
      <c r="G33" s="54">
        <v>40</v>
      </c>
      <c r="H33" s="55">
        <f t="shared" si="0"/>
        <v>0</v>
      </c>
      <c r="I33" s="53">
        <v>7487</v>
      </c>
      <c r="J33" s="56">
        <v>50</v>
      </c>
      <c r="K33" s="55">
        <f t="shared" si="1"/>
        <v>374350</v>
      </c>
      <c r="L33" s="53"/>
      <c r="M33" s="57">
        <v>60</v>
      </c>
      <c r="N33" s="55">
        <f t="shared" si="2"/>
        <v>0</v>
      </c>
      <c r="O33" s="53">
        <v>4009</v>
      </c>
      <c r="P33" s="57">
        <v>12</v>
      </c>
      <c r="Q33" s="55">
        <f t="shared" si="3"/>
        <v>48108</v>
      </c>
      <c r="R33" s="53">
        <v>850</v>
      </c>
      <c r="S33" s="59">
        <v>12</v>
      </c>
      <c r="T33" s="55">
        <f t="shared" si="4"/>
        <v>10200</v>
      </c>
      <c r="U33" s="53">
        <v>724</v>
      </c>
      <c r="V33" s="57">
        <v>8</v>
      </c>
      <c r="W33" s="55">
        <f t="shared" si="5"/>
        <v>5792</v>
      </c>
      <c r="X33" s="53">
        <v>335</v>
      </c>
      <c r="Y33" s="57">
        <v>12</v>
      </c>
      <c r="Z33" s="55">
        <f t="shared" si="6"/>
        <v>4020</v>
      </c>
      <c r="AA33" s="53">
        <v>700</v>
      </c>
      <c r="AB33" s="57">
        <v>10</v>
      </c>
      <c r="AC33" s="55">
        <f t="shared" si="7"/>
        <v>7000</v>
      </c>
      <c r="AD33" s="53">
        <v>90</v>
      </c>
      <c r="AE33" s="57">
        <v>25</v>
      </c>
      <c r="AF33" s="55">
        <f t="shared" si="8"/>
        <v>2250</v>
      </c>
      <c r="AG33" s="53">
        <v>113</v>
      </c>
      <c r="AH33" s="57">
        <v>7.5</v>
      </c>
      <c r="AI33" s="55">
        <f t="shared" si="9"/>
        <v>847.5</v>
      </c>
      <c r="AJ33" s="53"/>
      <c r="AK33" s="56">
        <v>15</v>
      </c>
      <c r="AL33" s="55">
        <f t="shared" si="10"/>
        <v>0</v>
      </c>
      <c r="AM33" s="53">
        <v>154</v>
      </c>
      <c r="AN33" s="57">
        <v>10</v>
      </c>
      <c r="AO33" s="55">
        <f t="shared" si="43"/>
        <v>1540</v>
      </c>
      <c r="AP33" s="53">
        <f t="shared" si="12"/>
        <v>2966</v>
      </c>
      <c r="AQ33" s="53"/>
      <c r="AR33" s="61"/>
      <c r="AS33" s="53"/>
      <c r="AT33" s="53"/>
      <c r="AU33" s="55"/>
      <c r="AV33" s="53"/>
      <c r="AW33" s="53"/>
      <c r="AX33" s="66">
        <v>1159</v>
      </c>
      <c r="AY33" s="53"/>
      <c r="AZ33" s="68">
        <f t="shared" si="13"/>
        <v>0.5354614665420061</v>
      </c>
      <c r="BA33" s="68">
        <f t="shared" si="14"/>
        <v>0.39615333244290102</v>
      </c>
      <c r="BB33" s="68">
        <f t="shared" si="15"/>
        <v>0.2890995260663507</v>
      </c>
      <c r="BC33" s="55">
        <f t="shared" si="16"/>
        <v>403612</v>
      </c>
      <c r="BD33" s="55">
        <f t="shared" si="17"/>
        <v>386800</v>
      </c>
      <c r="BE33" s="55">
        <f t="shared" si="18"/>
        <v>403612</v>
      </c>
      <c r="BF33" s="55">
        <f t="shared" si="19"/>
        <v>404459.5</v>
      </c>
      <c r="BG33" s="62">
        <v>476253.5</v>
      </c>
      <c r="BH33" s="63">
        <v>324943.64</v>
      </c>
      <c r="BI33" s="69">
        <f t="shared" si="20"/>
        <v>68.229134274078831</v>
      </c>
      <c r="BJ33" s="70">
        <f t="shared" si="21"/>
        <v>30877</v>
      </c>
      <c r="BK33" s="71">
        <f t="shared" si="22"/>
        <v>6.4833119336655795E-2</v>
      </c>
      <c r="BL33" s="72">
        <f t="shared" si="23"/>
        <v>3</v>
      </c>
      <c r="BM33" s="61">
        <f t="shared" si="24"/>
        <v>43750</v>
      </c>
      <c r="BN33" s="69">
        <f t="shared" si="25"/>
        <v>3.1948571428571428</v>
      </c>
      <c r="BO33" s="73">
        <f t="shared" si="26"/>
        <v>0</v>
      </c>
      <c r="BP33" s="69" t="e">
        <f t="shared" si="27"/>
        <v>#DIV/0!</v>
      </c>
      <c r="BQ33" s="61">
        <f t="shared" si="28"/>
        <v>26750</v>
      </c>
      <c r="BR33" s="69">
        <f t="shared" si="29"/>
        <v>5.2252336448598129</v>
      </c>
      <c r="BS33" s="64">
        <f t="shared" si="30"/>
        <v>38398</v>
      </c>
      <c r="BT33" s="69">
        <f t="shared" si="31"/>
        <v>3.6401635501849054</v>
      </c>
      <c r="BU33" s="65">
        <v>139775</v>
      </c>
      <c r="BV33" s="74">
        <f t="shared" si="32"/>
        <v>29.348865677627568</v>
      </c>
      <c r="BW33" s="75">
        <f t="shared" si="33"/>
        <v>11534.859999999986</v>
      </c>
      <c r="BX33" s="69">
        <f t="shared" si="34"/>
        <v>2.4220000482936053</v>
      </c>
      <c r="BY33" s="55">
        <v>6775</v>
      </c>
      <c r="BZ33" s="55">
        <v>9546</v>
      </c>
      <c r="CA33" s="55">
        <v>11316</v>
      </c>
      <c r="CB33" s="55">
        <v>3240</v>
      </c>
      <c r="CC33" s="64">
        <v>43750</v>
      </c>
      <c r="CD33" s="64"/>
      <c r="CE33" s="64">
        <v>26750</v>
      </c>
      <c r="CF33" s="76">
        <f t="shared" si="35"/>
        <v>1.4225617239558345E-2</v>
      </c>
      <c r="CG33" s="76">
        <f t="shared" si="36"/>
        <v>2.004394718359025E-2</v>
      </c>
      <c r="CH33" s="76">
        <f t="shared" si="37"/>
        <v>2.376045530374055E-2</v>
      </c>
      <c r="CI33" s="76">
        <f t="shared" si="38"/>
        <v>6.8030996097666477E-3</v>
      </c>
      <c r="CJ33" s="76">
        <f t="shared" si="39"/>
        <v>9.1862841952867536E-2</v>
      </c>
      <c r="CK33" s="63">
        <f t="shared" si="40"/>
        <v>2306.9719999999975</v>
      </c>
      <c r="CL33" s="77">
        <f t="shared" si="41"/>
        <v>9227.8879999999899</v>
      </c>
    </row>
    <row r="34" spans="1:90" ht="18.75" customHeight="1" x14ac:dyDescent="0.35">
      <c r="A34" s="50">
        <f t="shared" si="42"/>
        <v>26</v>
      </c>
      <c r="B34" s="51">
        <v>6</v>
      </c>
      <c r="C34" s="52" t="s">
        <v>219</v>
      </c>
      <c r="D34" s="52"/>
      <c r="E34" s="52"/>
      <c r="F34" s="53"/>
      <c r="G34" s="54">
        <v>40</v>
      </c>
      <c r="H34" s="55">
        <f t="shared" si="0"/>
        <v>0</v>
      </c>
      <c r="I34" s="53">
        <v>7002</v>
      </c>
      <c r="J34" s="56">
        <v>50</v>
      </c>
      <c r="K34" s="55">
        <f t="shared" si="1"/>
        <v>350100</v>
      </c>
      <c r="L34" s="53"/>
      <c r="M34" s="57">
        <v>60</v>
      </c>
      <c r="N34" s="55">
        <f t="shared" si="2"/>
        <v>0</v>
      </c>
      <c r="O34" s="53">
        <v>3641</v>
      </c>
      <c r="P34" s="57">
        <v>12</v>
      </c>
      <c r="Q34" s="55">
        <f t="shared" si="3"/>
        <v>43692</v>
      </c>
      <c r="R34" s="53"/>
      <c r="S34" s="59">
        <v>12</v>
      </c>
      <c r="T34" s="55">
        <f t="shared" si="4"/>
        <v>0</v>
      </c>
      <c r="U34" s="53">
        <v>1000</v>
      </c>
      <c r="V34" s="57">
        <v>8</v>
      </c>
      <c r="W34" s="55">
        <f t="shared" si="5"/>
        <v>8000</v>
      </c>
      <c r="X34" s="53">
        <v>1424</v>
      </c>
      <c r="Y34" s="57">
        <v>12</v>
      </c>
      <c r="Z34" s="55">
        <f t="shared" si="6"/>
        <v>17088</v>
      </c>
      <c r="AA34" s="53">
        <v>1154</v>
      </c>
      <c r="AB34" s="57">
        <v>10</v>
      </c>
      <c r="AC34" s="55">
        <f t="shared" si="7"/>
        <v>11540</v>
      </c>
      <c r="AD34" s="53">
        <v>726</v>
      </c>
      <c r="AE34" s="57">
        <v>25</v>
      </c>
      <c r="AF34" s="55">
        <f t="shared" si="8"/>
        <v>18150</v>
      </c>
      <c r="AG34" s="53">
        <v>540</v>
      </c>
      <c r="AH34" s="57">
        <v>7.5</v>
      </c>
      <c r="AI34" s="55">
        <f t="shared" si="9"/>
        <v>4050</v>
      </c>
      <c r="AJ34" s="53"/>
      <c r="AK34" s="56">
        <v>15</v>
      </c>
      <c r="AL34" s="55">
        <f t="shared" si="10"/>
        <v>0</v>
      </c>
      <c r="AM34" s="53"/>
      <c r="AN34" s="57">
        <v>10</v>
      </c>
      <c r="AO34" s="55">
        <f t="shared" si="43"/>
        <v>0</v>
      </c>
      <c r="AP34" s="53">
        <f t="shared" si="12"/>
        <v>4844</v>
      </c>
      <c r="AQ34" s="53"/>
      <c r="AR34" s="61"/>
      <c r="AS34" s="53"/>
      <c r="AT34" s="53"/>
      <c r="AU34" s="55"/>
      <c r="AV34" s="53"/>
      <c r="AW34" s="53"/>
      <c r="AX34" s="66">
        <f>596+152+11+614+50</f>
        <v>1423</v>
      </c>
      <c r="AY34" s="53"/>
      <c r="AZ34" s="68">
        <f t="shared" si="13"/>
        <v>0.51999428734647246</v>
      </c>
      <c r="BA34" s="68">
        <f t="shared" si="14"/>
        <v>0.69180234218794634</v>
      </c>
      <c r="BB34" s="68">
        <f t="shared" si="15"/>
        <v>0.39082669596264763</v>
      </c>
      <c r="BC34" s="55">
        <f t="shared" si="16"/>
        <v>404878</v>
      </c>
      <c r="BD34" s="55">
        <f t="shared" si="17"/>
        <v>368250</v>
      </c>
      <c r="BE34" s="55">
        <f t="shared" si="18"/>
        <v>404878</v>
      </c>
      <c r="BF34" s="55">
        <f t="shared" si="19"/>
        <v>408928</v>
      </c>
      <c r="BG34" s="62">
        <v>476087</v>
      </c>
      <c r="BH34" s="63">
        <v>318967.88</v>
      </c>
      <c r="BI34" s="69">
        <f t="shared" si="20"/>
        <v>66.997813424857227</v>
      </c>
      <c r="BJ34" s="70">
        <f t="shared" si="21"/>
        <v>35910</v>
      </c>
      <c r="BK34" s="71">
        <f t="shared" si="22"/>
        <v>7.5427390371927833E-2</v>
      </c>
      <c r="BL34" s="72">
        <v>4</v>
      </c>
      <c r="BM34" s="61">
        <f t="shared" si="24"/>
        <v>30137</v>
      </c>
      <c r="BN34" s="69">
        <f t="shared" si="25"/>
        <v>3.5250124431761622</v>
      </c>
      <c r="BO34" s="73">
        <f t="shared" si="26"/>
        <v>1187.5</v>
      </c>
      <c r="BP34" s="69">
        <f t="shared" si="27"/>
        <v>89.459621052631576</v>
      </c>
      <c r="BQ34" s="61">
        <f t="shared" si="28"/>
        <v>0</v>
      </c>
      <c r="BR34" s="69" t="e">
        <f t="shared" si="29"/>
        <v>#DIV/0!</v>
      </c>
      <c r="BS34" s="64">
        <f t="shared" si="30"/>
        <v>38998.800000000003</v>
      </c>
      <c r="BT34" s="69">
        <f t="shared" si="31"/>
        <v>2.7240145850641557</v>
      </c>
      <c r="BU34" s="65">
        <v>106233.3</v>
      </c>
      <c r="BV34" s="74">
        <f t="shared" si="32"/>
        <v>22.313841797822668</v>
      </c>
      <c r="BW34" s="75">
        <f t="shared" si="33"/>
        <v>50885.819999999992</v>
      </c>
      <c r="BX34" s="69">
        <f t="shared" si="34"/>
        <v>10.688344777320109</v>
      </c>
      <c r="BY34" s="55">
        <v>4016</v>
      </c>
      <c r="BZ34" s="55">
        <v>12728</v>
      </c>
      <c r="CA34" s="55">
        <v>14306</v>
      </c>
      <c r="CB34" s="55">
        <v>4860</v>
      </c>
      <c r="CC34" s="64">
        <v>30137</v>
      </c>
      <c r="CD34" s="64">
        <v>1187.5</v>
      </c>
      <c r="CE34" s="64">
        <v>0</v>
      </c>
      <c r="CF34" s="76">
        <f t="shared" si="35"/>
        <v>8.435433019595158E-3</v>
      </c>
      <c r="CG34" s="76">
        <f t="shared" si="36"/>
        <v>2.6734609430629275E-2</v>
      </c>
      <c r="CH34" s="76">
        <f t="shared" si="37"/>
        <v>3.0049129675878569E-2</v>
      </c>
      <c r="CI34" s="76">
        <f t="shared" si="38"/>
        <v>1.0208218245824817E-2</v>
      </c>
      <c r="CJ34" s="76">
        <f t="shared" si="39"/>
        <v>6.3301455406259782E-2</v>
      </c>
      <c r="CK34" s="63">
        <f t="shared" si="40"/>
        <v>10177.163999999999</v>
      </c>
      <c r="CL34" s="77">
        <f t="shared" si="41"/>
        <v>40708.655999999995</v>
      </c>
    </row>
    <row r="35" spans="1:90" ht="18.75" customHeight="1" x14ac:dyDescent="0.35">
      <c r="A35" s="50">
        <f t="shared" si="42"/>
        <v>27</v>
      </c>
      <c r="B35" s="58">
        <v>3</v>
      </c>
      <c r="C35" s="52" t="s">
        <v>208</v>
      </c>
      <c r="D35" s="52"/>
      <c r="E35" s="52"/>
      <c r="F35" s="53"/>
      <c r="G35" s="54">
        <v>40</v>
      </c>
      <c r="H35" s="55">
        <f t="shared" si="0"/>
        <v>0</v>
      </c>
      <c r="I35" s="53">
        <v>6808</v>
      </c>
      <c r="J35" s="56">
        <v>50</v>
      </c>
      <c r="K35" s="55">
        <f t="shared" si="1"/>
        <v>340400</v>
      </c>
      <c r="L35" s="53"/>
      <c r="M35" s="57">
        <v>60</v>
      </c>
      <c r="N35" s="55">
        <f t="shared" si="2"/>
        <v>0</v>
      </c>
      <c r="O35" s="53">
        <v>3144</v>
      </c>
      <c r="P35" s="57">
        <v>12</v>
      </c>
      <c r="Q35" s="55">
        <f t="shared" si="3"/>
        <v>37728</v>
      </c>
      <c r="R35" s="53">
        <v>2669</v>
      </c>
      <c r="S35" s="59">
        <v>12</v>
      </c>
      <c r="T35" s="55">
        <f t="shared" si="4"/>
        <v>32028</v>
      </c>
      <c r="U35" s="53">
        <v>654</v>
      </c>
      <c r="V35" s="57">
        <v>8</v>
      </c>
      <c r="W35" s="55">
        <f t="shared" si="5"/>
        <v>5232</v>
      </c>
      <c r="X35" s="53">
        <v>405</v>
      </c>
      <c r="Y35" s="57">
        <v>12</v>
      </c>
      <c r="Z35" s="55">
        <f t="shared" si="6"/>
        <v>4860</v>
      </c>
      <c r="AA35" s="53">
        <v>578</v>
      </c>
      <c r="AB35" s="57">
        <v>10</v>
      </c>
      <c r="AC35" s="55">
        <f t="shared" si="7"/>
        <v>5780</v>
      </c>
      <c r="AD35" s="53">
        <v>282</v>
      </c>
      <c r="AE35" s="57">
        <v>25</v>
      </c>
      <c r="AF35" s="55">
        <f t="shared" si="8"/>
        <v>7050</v>
      </c>
      <c r="AG35" s="53">
        <v>809</v>
      </c>
      <c r="AH35" s="57">
        <v>7.5</v>
      </c>
      <c r="AI35" s="55">
        <f t="shared" si="9"/>
        <v>6067.5</v>
      </c>
      <c r="AJ35" s="53"/>
      <c r="AK35" s="56">
        <v>15</v>
      </c>
      <c r="AL35" s="55">
        <f t="shared" si="10"/>
        <v>0</v>
      </c>
      <c r="AM35" s="53">
        <v>229</v>
      </c>
      <c r="AN35" s="57">
        <v>10</v>
      </c>
      <c r="AO35" s="55">
        <f t="shared" si="43"/>
        <v>2290</v>
      </c>
      <c r="AP35" s="53">
        <f t="shared" si="12"/>
        <v>5626</v>
      </c>
      <c r="AQ35" s="53"/>
      <c r="AR35" s="61"/>
      <c r="AS35" s="53"/>
      <c r="AT35" s="53"/>
      <c r="AU35" s="55"/>
      <c r="AV35" s="53"/>
      <c r="AW35" s="53"/>
      <c r="AX35" s="66">
        <v>1554</v>
      </c>
      <c r="AY35" s="53"/>
      <c r="AZ35" s="68">
        <f t="shared" si="13"/>
        <v>0.46180963572267919</v>
      </c>
      <c r="BA35" s="68">
        <f t="shared" si="14"/>
        <v>0.82638072855464162</v>
      </c>
      <c r="BB35" s="68">
        <f t="shared" si="15"/>
        <v>0.49427480916030536</v>
      </c>
      <c r="BC35" s="55">
        <f t="shared" si="16"/>
        <v>395350</v>
      </c>
      <c r="BD35" s="55">
        <f t="shared" si="17"/>
        <v>379478</v>
      </c>
      <c r="BE35" s="55">
        <f t="shared" si="18"/>
        <v>395350</v>
      </c>
      <c r="BF35" s="55">
        <f t="shared" si="19"/>
        <v>401417.5</v>
      </c>
      <c r="BG35" s="62">
        <v>471839.5</v>
      </c>
      <c r="BH35" s="63">
        <v>312389.28999999998</v>
      </c>
      <c r="BI35" s="69">
        <f t="shared" si="20"/>
        <v>66.206684688331507</v>
      </c>
      <c r="BJ35" s="70">
        <f t="shared" si="21"/>
        <v>35058</v>
      </c>
      <c r="BK35" s="71">
        <f t="shared" si="22"/>
        <v>7.4300689111445731E-2</v>
      </c>
      <c r="BL35" s="72">
        <f t="shared" ref="BL35:BL44" si="44">B35</f>
        <v>3</v>
      </c>
      <c r="BM35" s="61">
        <f t="shared" si="24"/>
        <v>45825</v>
      </c>
      <c r="BN35" s="69">
        <f t="shared" si="25"/>
        <v>2.8571570103655208</v>
      </c>
      <c r="BO35" s="73">
        <f t="shared" si="26"/>
        <v>0</v>
      </c>
      <c r="BP35" s="69" t="e">
        <f t="shared" si="27"/>
        <v>#DIV/0!</v>
      </c>
      <c r="BQ35" s="61">
        <f t="shared" si="28"/>
        <v>15000</v>
      </c>
      <c r="BR35" s="69">
        <f t="shared" si="29"/>
        <v>8.7286146666666671</v>
      </c>
      <c r="BS35" s="64">
        <f t="shared" si="30"/>
        <v>35046.22</v>
      </c>
      <c r="BT35" s="69">
        <f t="shared" si="31"/>
        <v>3.7359013325830861</v>
      </c>
      <c r="BU35" s="65">
        <v>130929.22</v>
      </c>
      <c r="BV35" s="74">
        <f t="shared" si="32"/>
        <v>27.74867725148064</v>
      </c>
      <c r="BW35" s="75">
        <f t="shared" si="33"/>
        <v>28520.99000000002</v>
      </c>
      <c r="BX35" s="69">
        <f t="shared" si="34"/>
        <v>6.0446380601878431</v>
      </c>
      <c r="BY35" s="55">
        <v>11906</v>
      </c>
      <c r="BZ35" s="55">
        <v>9546</v>
      </c>
      <c r="CA35" s="55">
        <v>10096</v>
      </c>
      <c r="CB35" s="55">
        <v>3510</v>
      </c>
      <c r="CC35" s="64">
        <v>45825</v>
      </c>
      <c r="CD35" s="64"/>
      <c r="CE35" s="64">
        <v>15000</v>
      </c>
      <c r="CF35" s="76">
        <f t="shared" si="35"/>
        <v>2.5233156613636627E-2</v>
      </c>
      <c r="CG35" s="76">
        <f t="shared" si="36"/>
        <v>2.0231455823431485E-2</v>
      </c>
      <c r="CH35" s="76">
        <f t="shared" si="37"/>
        <v>2.1397106431318275E-2</v>
      </c>
      <c r="CI35" s="76">
        <f t="shared" si="38"/>
        <v>7.4389702430593457E-3</v>
      </c>
      <c r="CJ35" s="76">
        <f t="shared" si="39"/>
        <v>9.7119889284385905E-2</v>
      </c>
      <c r="CK35" s="63">
        <f t="shared" si="40"/>
        <v>5704.198000000004</v>
      </c>
      <c r="CL35" s="77">
        <f t="shared" si="41"/>
        <v>22816.792000000016</v>
      </c>
    </row>
    <row r="36" spans="1:90" ht="18.75" customHeight="1" x14ac:dyDescent="0.35">
      <c r="A36" s="50">
        <f t="shared" si="42"/>
        <v>28</v>
      </c>
      <c r="B36" s="51">
        <v>4</v>
      </c>
      <c r="C36" s="52" t="s">
        <v>213</v>
      </c>
      <c r="D36" s="52"/>
      <c r="E36" s="52"/>
      <c r="F36" s="53"/>
      <c r="G36" s="54">
        <v>40</v>
      </c>
      <c r="H36" s="55">
        <f t="shared" si="0"/>
        <v>0</v>
      </c>
      <c r="I36" s="53">
        <v>7785</v>
      </c>
      <c r="J36" s="56">
        <v>50</v>
      </c>
      <c r="K36" s="55">
        <f t="shared" si="1"/>
        <v>389250</v>
      </c>
      <c r="L36" s="53"/>
      <c r="M36" s="57">
        <v>60</v>
      </c>
      <c r="N36" s="55">
        <f t="shared" si="2"/>
        <v>0</v>
      </c>
      <c r="O36" s="53">
        <v>3104</v>
      </c>
      <c r="P36" s="57">
        <v>12</v>
      </c>
      <c r="Q36" s="55">
        <f t="shared" si="3"/>
        <v>37248</v>
      </c>
      <c r="R36" s="53">
        <v>290</v>
      </c>
      <c r="S36" s="59">
        <v>12</v>
      </c>
      <c r="T36" s="55">
        <f t="shared" si="4"/>
        <v>3480</v>
      </c>
      <c r="U36" s="53">
        <v>360</v>
      </c>
      <c r="V36" s="57">
        <v>8</v>
      </c>
      <c r="W36" s="55">
        <f t="shared" si="5"/>
        <v>2880</v>
      </c>
      <c r="X36" s="53">
        <v>257</v>
      </c>
      <c r="Y36" s="57">
        <v>12</v>
      </c>
      <c r="Z36" s="55">
        <f t="shared" si="6"/>
        <v>3084</v>
      </c>
      <c r="AA36" s="53">
        <v>666</v>
      </c>
      <c r="AB36" s="57">
        <v>10</v>
      </c>
      <c r="AC36" s="55">
        <f t="shared" si="7"/>
        <v>6660</v>
      </c>
      <c r="AD36" s="53">
        <v>35</v>
      </c>
      <c r="AE36" s="57">
        <v>25</v>
      </c>
      <c r="AF36" s="55">
        <f t="shared" si="8"/>
        <v>875</v>
      </c>
      <c r="AG36" s="53">
        <v>120</v>
      </c>
      <c r="AH36" s="57">
        <v>7.5</v>
      </c>
      <c r="AI36" s="55">
        <f t="shared" si="9"/>
        <v>900</v>
      </c>
      <c r="AJ36" s="53"/>
      <c r="AK36" s="56">
        <v>15</v>
      </c>
      <c r="AL36" s="55">
        <f t="shared" si="10"/>
        <v>0</v>
      </c>
      <c r="AM36" s="53"/>
      <c r="AN36" s="57">
        <v>10</v>
      </c>
      <c r="AO36" s="55">
        <f t="shared" si="43"/>
        <v>0</v>
      </c>
      <c r="AP36" s="53">
        <f t="shared" si="12"/>
        <v>1728</v>
      </c>
      <c r="AQ36" s="53"/>
      <c r="AR36" s="61"/>
      <c r="AS36" s="53"/>
      <c r="AT36" s="53"/>
      <c r="AU36" s="55"/>
      <c r="AV36" s="53"/>
      <c r="AW36" s="53"/>
      <c r="AX36" s="66">
        <v>1270</v>
      </c>
      <c r="AY36" s="53"/>
      <c r="AZ36" s="68">
        <f t="shared" si="13"/>
        <v>0.39871547848426458</v>
      </c>
      <c r="BA36" s="68">
        <f t="shared" si="14"/>
        <v>0.22196531791907514</v>
      </c>
      <c r="BB36" s="68">
        <f t="shared" si="15"/>
        <v>0.40914948453608246</v>
      </c>
      <c r="BC36" s="55">
        <f t="shared" si="16"/>
        <v>406229</v>
      </c>
      <c r="BD36" s="55">
        <f t="shared" si="17"/>
        <v>393605</v>
      </c>
      <c r="BE36" s="55">
        <f t="shared" si="18"/>
        <v>406229</v>
      </c>
      <c r="BF36" s="55">
        <f t="shared" si="19"/>
        <v>407129</v>
      </c>
      <c r="BG36" s="62">
        <v>469699</v>
      </c>
      <c r="BH36" s="63">
        <v>313337.98</v>
      </c>
      <c r="BI36" s="69">
        <f t="shared" si="20"/>
        <v>66.710378348687144</v>
      </c>
      <c r="BJ36" s="70">
        <f t="shared" si="21"/>
        <v>41699</v>
      </c>
      <c r="BK36" s="71">
        <f t="shared" si="22"/>
        <v>8.8778132378395519E-2</v>
      </c>
      <c r="BL36" s="72">
        <f t="shared" si="44"/>
        <v>4</v>
      </c>
      <c r="BM36" s="61">
        <f t="shared" si="24"/>
        <v>47700</v>
      </c>
      <c r="BN36" s="69">
        <f t="shared" si="25"/>
        <v>2.8242756813417191</v>
      </c>
      <c r="BO36" s="73">
        <f t="shared" si="26"/>
        <v>0</v>
      </c>
      <c r="BP36" s="69" t="e">
        <f t="shared" si="27"/>
        <v>#DIV/0!</v>
      </c>
      <c r="BQ36" s="61">
        <f t="shared" si="28"/>
        <v>10000</v>
      </c>
      <c r="BR36" s="69">
        <f t="shared" si="29"/>
        <v>13.471795000000002</v>
      </c>
      <c r="BS36" s="64">
        <f t="shared" si="30"/>
        <v>35318.950000000012</v>
      </c>
      <c r="BT36" s="69">
        <f t="shared" si="31"/>
        <v>3.8143248879142773</v>
      </c>
      <c r="BU36" s="65">
        <v>134717.95000000001</v>
      </c>
      <c r="BV36" s="74">
        <f t="shared" si="32"/>
        <v>28.681762149802324</v>
      </c>
      <c r="BW36" s="75">
        <f t="shared" si="33"/>
        <v>21643.070000000007</v>
      </c>
      <c r="BX36" s="69">
        <f t="shared" si="34"/>
        <v>4.6078595015105437</v>
      </c>
      <c r="BY36" s="55">
        <v>15798</v>
      </c>
      <c r="BZ36" s="55">
        <v>11137</v>
      </c>
      <c r="CA36" s="55">
        <v>11254</v>
      </c>
      <c r="CB36" s="55">
        <v>3510</v>
      </c>
      <c r="CC36" s="64">
        <v>47700</v>
      </c>
      <c r="CD36" s="64"/>
      <c r="CE36" s="64">
        <v>10000</v>
      </c>
      <c r="CF36" s="76">
        <f t="shared" si="35"/>
        <v>3.3634306225902119E-2</v>
      </c>
      <c r="CG36" s="76">
        <f t="shared" si="36"/>
        <v>2.3710929765658431E-2</v>
      </c>
      <c r="CH36" s="76">
        <f t="shared" si="37"/>
        <v>2.396002546311574E-2</v>
      </c>
      <c r="CI36" s="76">
        <f t="shared" si="38"/>
        <v>7.4728709237192326E-3</v>
      </c>
      <c r="CJ36" s="76">
        <f t="shared" si="39"/>
        <v>0.10155439973259471</v>
      </c>
      <c r="CK36" s="63">
        <f t="shared" si="40"/>
        <v>4328.6140000000014</v>
      </c>
      <c r="CL36" s="77">
        <f t="shared" si="41"/>
        <v>17314.456000000006</v>
      </c>
    </row>
    <row r="37" spans="1:90" ht="18.75" customHeight="1" x14ac:dyDescent="0.35">
      <c r="A37" s="50">
        <f t="shared" si="42"/>
        <v>29</v>
      </c>
      <c r="B37" s="58">
        <v>4</v>
      </c>
      <c r="C37" s="52" t="s">
        <v>78</v>
      </c>
      <c r="D37" s="52"/>
      <c r="E37" s="52"/>
      <c r="F37" s="53"/>
      <c r="G37" s="54">
        <v>40</v>
      </c>
      <c r="H37" s="55">
        <f t="shared" si="0"/>
        <v>0</v>
      </c>
      <c r="I37" s="53">
        <v>7391</v>
      </c>
      <c r="J37" s="56">
        <v>50</v>
      </c>
      <c r="K37" s="55">
        <f t="shared" si="1"/>
        <v>369550</v>
      </c>
      <c r="L37" s="53"/>
      <c r="M37" s="57">
        <v>60</v>
      </c>
      <c r="N37" s="55">
        <f t="shared" si="2"/>
        <v>0</v>
      </c>
      <c r="O37" s="53">
        <v>2715</v>
      </c>
      <c r="P37" s="57">
        <v>12</v>
      </c>
      <c r="Q37" s="55">
        <f t="shared" si="3"/>
        <v>32580</v>
      </c>
      <c r="R37" s="53">
        <v>1300</v>
      </c>
      <c r="S37" s="59">
        <v>12</v>
      </c>
      <c r="T37" s="55">
        <f t="shared" si="4"/>
        <v>15600</v>
      </c>
      <c r="U37" s="53">
        <v>230</v>
      </c>
      <c r="V37" s="57">
        <v>8</v>
      </c>
      <c r="W37" s="55">
        <f t="shared" si="5"/>
        <v>1840</v>
      </c>
      <c r="X37" s="53">
        <v>158</v>
      </c>
      <c r="Y37" s="57">
        <v>12</v>
      </c>
      <c r="Z37" s="55">
        <f t="shared" si="6"/>
        <v>1896</v>
      </c>
      <c r="AA37" s="53">
        <v>386</v>
      </c>
      <c r="AB37" s="57">
        <v>10</v>
      </c>
      <c r="AC37" s="55">
        <f t="shared" si="7"/>
        <v>3860</v>
      </c>
      <c r="AD37" s="53">
        <v>156</v>
      </c>
      <c r="AE37" s="57">
        <v>25</v>
      </c>
      <c r="AF37" s="55">
        <f t="shared" si="8"/>
        <v>3900</v>
      </c>
      <c r="AG37" s="53">
        <v>68</v>
      </c>
      <c r="AH37" s="57">
        <v>7.5</v>
      </c>
      <c r="AI37" s="55">
        <f t="shared" si="9"/>
        <v>510</v>
      </c>
      <c r="AJ37" s="53"/>
      <c r="AK37" s="56">
        <v>15</v>
      </c>
      <c r="AL37" s="55">
        <f t="shared" si="10"/>
        <v>0</v>
      </c>
      <c r="AM37" s="53">
        <v>44</v>
      </c>
      <c r="AN37" s="57">
        <v>12</v>
      </c>
      <c r="AO37" s="55">
        <f t="shared" si="43"/>
        <v>528</v>
      </c>
      <c r="AP37" s="53">
        <f t="shared" si="12"/>
        <v>2342</v>
      </c>
      <c r="AQ37" s="53"/>
      <c r="AR37" s="61"/>
      <c r="AS37" s="53"/>
      <c r="AT37" s="53"/>
      <c r="AU37" s="55"/>
      <c r="AV37" s="53"/>
      <c r="AW37" s="53"/>
      <c r="AX37" s="66">
        <v>905</v>
      </c>
      <c r="AY37" s="53"/>
      <c r="AZ37" s="68">
        <f t="shared" si="13"/>
        <v>0.3673386551210932</v>
      </c>
      <c r="BA37" s="68">
        <f t="shared" si="14"/>
        <v>0.31687187119469623</v>
      </c>
      <c r="BB37" s="68">
        <f t="shared" si="15"/>
        <v>0.33333333333333331</v>
      </c>
      <c r="BC37" s="55">
        <f t="shared" si="16"/>
        <v>396646</v>
      </c>
      <c r="BD37" s="55">
        <f t="shared" si="17"/>
        <v>389050</v>
      </c>
      <c r="BE37" s="55">
        <f t="shared" si="18"/>
        <v>396646</v>
      </c>
      <c r="BF37" s="55">
        <f t="shared" si="19"/>
        <v>397156</v>
      </c>
      <c r="BG37" s="62">
        <v>447154</v>
      </c>
      <c r="BH37" s="63">
        <v>298492.17</v>
      </c>
      <c r="BI37" s="69">
        <f t="shared" si="20"/>
        <v>66.753773867616076</v>
      </c>
      <c r="BJ37" s="70">
        <f t="shared" si="21"/>
        <v>31270</v>
      </c>
      <c r="BK37" s="71">
        <f t="shared" si="22"/>
        <v>6.9931164654682729E-2</v>
      </c>
      <c r="BL37" s="72">
        <f t="shared" si="44"/>
        <v>4</v>
      </c>
      <c r="BM37" s="61">
        <f t="shared" si="24"/>
        <v>45312</v>
      </c>
      <c r="BN37" s="69">
        <f t="shared" si="25"/>
        <v>2.8857894156073445</v>
      </c>
      <c r="BO37" s="73">
        <f t="shared" si="26"/>
        <v>0</v>
      </c>
      <c r="BP37" s="69" t="e">
        <f t="shared" si="27"/>
        <v>#DIV/0!</v>
      </c>
      <c r="BQ37" s="61">
        <f t="shared" si="28"/>
        <v>18000</v>
      </c>
      <c r="BR37" s="69">
        <f t="shared" si="29"/>
        <v>7.2644938888888886</v>
      </c>
      <c r="BS37" s="64">
        <f t="shared" si="30"/>
        <v>36178.89</v>
      </c>
      <c r="BT37" s="69">
        <f t="shared" si="31"/>
        <v>3.614286950207704</v>
      </c>
      <c r="BU37" s="65">
        <v>130760.89</v>
      </c>
      <c r="BV37" s="74">
        <f t="shared" si="32"/>
        <v>29.242920783443736</v>
      </c>
      <c r="BW37" s="75">
        <f t="shared" si="33"/>
        <v>17900.940000000017</v>
      </c>
      <c r="BX37" s="69">
        <f t="shared" si="34"/>
        <v>4.0033053489401897</v>
      </c>
      <c r="BY37" s="55">
        <v>7678</v>
      </c>
      <c r="BZ37" s="55">
        <v>10380</v>
      </c>
      <c r="CA37" s="55">
        <v>10012</v>
      </c>
      <c r="CB37" s="55">
        <v>3200</v>
      </c>
      <c r="CC37" s="64">
        <v>45312</v>
      </c>
      <c r="CD37" s="64"/>
      <c r="CE37" s="64">
        <v>18000</v>
      </c>
      <c r="CF37" s="76">
        <f t="shared" si="35"/>
        <v>1.7170818107408187E-2</v>
      </c>
      <c r="CG37" s="76">
        <f t="shared" si="36"/>
        <v>2.3213479025123336E-2</v>
      </c>
      <c r="CH37" s="76">
        <f t="shared" si="37"/>
        <v>2.2390496339068866E-2</v>
      </c>
      <c r="CI37" s="76">
        <f t="shared" si="38"/>
        <v>7.1563711830823383E-3</v>
      </c>
      <c r="CJ37" s="76">
        <f t="shared" si="39"/>
        <v>0.10133421595244592</v>
      </c>
      <c r="CK37" s="63">
        <f t="shared" si="40"/>
        <v>3580.1880000000037</v>
      </c>
      <c r="CL37" s="77">
        <f t="shared" si="41"/>
        <v>14320.752000000015</v>
      </c>
    </row>
    <row r="38" spans="1:90" ht="18.75" customHeight="1" x14ac:dyDescent="0.35">
      <c r="A38" s="50">
        <f t="shared" si="42"/>
        <v>30</v>
      </c>
      <c r="B38" s="58">
        <v>3</v>
      </c>
      <c r="C38" s="52" t="s">
        <v>116</v>
      </c>
      <c r="D38" s="52"/>
      <c r="E38" s="52"/>
      <c r="F38" s="53"/>
      <c r="G38" s="54">
        <v>40</v>
      </c>
      <c r="H38" s="55">
        <f t="shared" si="0"/>
        <v>0</v>
      </c>
      <c r="I38" s="53">
        <v>7065</v>
      </c>
      <c r="J38" s="56">
        <v>50</v>
      </c>
      <c r="K38" s="55">
        <f t="shared" si="1"/>
        <v>353250</v>
      </c>
      <c r="L38" s="53"/>
      <c r="M38" s="57">
        <v>60</v>
      </c>
      <c r="N38" s="55">
        <f t="shared" si="2"/>
        <v>0</v>
      </c>
      <c r="O38" s="53">
        <v>1561</v>
      </c>
      <c r="P38" s="57">
        <v>12</v>
      </c>
      <c r="Q38" s="55">
        <f t="shared" si="3"/>
        <v>18732</v>
      </c>
      <c r="R38" s="53">
        <v>3070</v>
      </c>
      <c r="S38" s="59">
        <v>12</v>
      </c>
      <c r="T38" s="55">
        <f t="shared" si="4"/>
        <v>36840</v>
      </c>
      <c r="U38" s="53">
        <v>449</v>
      </c>
      <c r="V38" s="57">
        <v>8</v>
      </c>
      <c r="W38" s="55">
        <f t="shared" si="5"/>
        <v>3592</v>
      </c>
      <c r="X38" s="53">
        <v>168</v>
      </c>
      <c r="Y38" s="57">
        <v>12</v>
      </c>
      <c r="Z38" s="55">
        <f t="shared" si="6"/>
        <v>2016</v>
      </c>
      <c r="AA38" s="53">
        <v>453</v>
      </c>
      <c r="AB38" s="57">
        <v>10</v>
      </c>
      <c r="AC38" s="55">
        <f t="shared" si="7"/>
        <v>4530</v>
      </c>
      <c r="AD38" s="53">
        <v>191</v>
      </c>
      <c r="AE38" s="57">
        <v>25</v>
      </c>
      <c r="AF38" s="55">
        <f t="shared" si="8"/>
        <v>4775</v>
      </c>
      <c r="AG38" s="53">
        <v>380</v>
      </c>
      <c r="AH38" s="57">
        <v>7.5</v>
      </c>
      <c r="AI38" s="55">
        <f t="shared" si="9"/>
        <v>2850</v>
      </c>
      <c r="AJ38" s="53"/>
      <c r="AK38" s="56">
        <v>15</v>
      </c>
      <c r="AL38" s="55">
        <f t="shared" si="10"/>
        <v>0</v>
      </c>
      <c r="AM38" s="53">
        <v>186</v>
      </c>
      <c r="AN38" s="57">
        <v>10</v>
      </c>
      <c r="AO38" s="55">
        <f t="shared" si="43"/>
        <v>1860</v>
      </c>
      <c r="AP38" s="53">
        <f t="shared" si="12"/>
        <v>4897</v>
      </c>
      <c r="AQ38" s="53"/>
      <c r="AR38" s="61"/>
      <c r="AS38" s="53"/>
      <c r="AT38" s="53"/>
      <c r="AU38" s="55"/>
      <c r="AV38" s="53"/>
      <c r="AW38" s="53"/>
      <c r="AX38" s="66">
        <v>1021</v>
      </c>
      <c r="AY38" s="53"/>
      <c r="AZ38" s="68">
        <f t="shared" si="13"/>
        <v>0.22094833687190374</v>
      </c>
      <c r="BA38" s="68">
        <f t="shared" si="14"/>
        <v>0.69313517338995045</v>
      </c>
      <c r="BB38" s="68">
        <f t="shared" si="15"/>
        <v>0.65406790518898139</v>
      </c>
      <c r="BC38" s="55">
        <f t="shared" si="16"/>
        <v>405003</v>
      </c>
      <c r="BD38" s="55">
        <f t="shared" si="17"/>
        <v>394865</v>
      </c>
      <c r="BE38" s="55">
        <f t="shared" si="18"/>
        <v>405003</v>
      </c>
      <c r="BF38" s="55">
        <f t="shared" si="19"/>
        <v>407853</v>
      </c>
      <c r="BG38" s="62">
        <v>443250</v>
      </c>
      <c r="BH38" s="63">
        <v>301039.26</v>
      </c>
      <c r="BI38" s="69">
        <f t="shared" si="20"/>
        <v>67.916358714043994</v>
      </c>
      <c r="BJ38" s="70">
        <f t="shared" si="21"/>
        <v>31605</v>
      </c>
      <c r="BK38" s="71">
        <f t="shared" si="22"/>
        <v>7.1302876480541455E-2</v>
      </c>
      <c r="BL38" s="72">
        <f t="shared" si="44"/>
        <v>3</v>
      </c>
      <c r="BM38" s="61">
        <f t="shared" si="24"/>
        <v>37737.5</v>
      </c>
      <c r="BN38" s="69">
        <f t="shared" si="25"/>
        <v>2.9118431268631997</v>
      </c>
      <c r="BO38" s="73">
        <f t="shared" si="26"/>
        <v>0</v>
      </c>
      <c r="BP38" s="69" t="e">
        <f t="shared" si="27"/>
        <v>#DIV/0!</v>
      </c>
      <c r="BQ38" s="61">
        <f t="shared" si="28"/>
        <v>15000</v>
      </c>
      <c r="BR38" s="69">
        <f t="shared" si="29"/>
        <v>7.3257119999999993</v>
      </c>
      <c r="BS38" s="64">
        <f t="shared" si="30"/>
        <v>25543.179999999993</v>
      </c>
      <c r="BT38" s="69">
        <f t="shared" si="31"/>
        <v>4.3019577045614534</v>
      </c>
      <c r="BU38" s="65">
        <v>109885.68</v>
      </c>
      <c r="BV38" s="74">
        <f t="shared" si="32"/>
        <v>24.79090355329949</v>
      </c>
      <c r="BW38" s="75">
        <f t="shared" si="33"/>
        <v>32325.059999999998</v>
      </c>
      <c r="BX38" s="69">
        <f t="shared" si="34"/>
        <v>7.2927377326565139</v>
      </c>
      <c r="BY38" s="55">
        <v>11402</v>
      </c>
      <c r="BZ38" s="55">
        <v>7955</v>
      </c>
      <c r="CA38" s="55">
        <v>8738</v>
      </c>
      <c r="CB38" s="55">
        <v>3510</v>
      </c>
      <c r="CC38" s="64">
        <v>37737.5</v>
      </c>
      <c r="CD38" s="64"/>
      <c r="CE38" s="64">
        <v>15000</v>
      </c>
      <c r="CF38" s="76">
        <f t="shared" si="35"/>
        <v>2.5723632261703329E-2</v>
      </c>
      <c r="CG38" s="76">
        <f t="shared" si="36"/>
        <v>1.7946982515510433E-2</v>
      </c>
      <c r="CH38" s="76">
        <f t="shared" si="37"/>
        <v>1.9713479977439368E-2</v>
      </c>
      <c r="CI38" s="76">
        <f t="shared" si="38"/>
        <v>7.9187817258883249E-3</v>
      </c>
      <c r="CJ38" s="76">
        <f t="shared" si="39"/>
        <v>8.5138183869148343E-2</v>
      </c>
      <c r="CK38" s="63">
        <f t="shared" si="40"/>
        <v>6465.0119999999997</v>
      </c>
      <c r="CL38" s="77">
        <f t="shared" si="41"/>
        <v>25860.047999999999</v>
      </c>
    </row>
    <row r="39" spans="1:90" ht="18.75" customHeight="1" x14ac:dyDescent="0.35">
      <c r="A39" s="50">
        <f t="shared" si="42"/>
        <v>31</v>
      </c>
      <c r="B39" s="58">
        <v>2</v>
      </c>
      <c r="C39" s="52" t="s">
        <v>217</v>
      </c>
      <c r="D39" s="52"/>
      <c r="E39" s="52"/>
      <c r="F39" s="53"/>
      <c r="G39" s="54">
        <v>40</v>
      </c>
      <c r="H39" s="55">
        <f t="shared" si="0"/>
        <v>0</v>
      </c>
      <c r="I39" s="53">
        <v>6491</v>
      </c>
      <c r="J39" s="56">
        <v>50</v>
      </c>
      <c r="K39" s="55">
        <f t="shared" si="1"/>
        <v>324550</v>
      </c>
      <c r="L39" s="53"/>
      <c r="M39" s="57">
        <v>60</v>
      </c>
      <c r="N39" s="55">
        <f t="shared" si="2"/>
        <v>0</v>
      </c>
      <c r="O39" s="53">
        <v>2587</v>
      </c>
      <c r="P39" s="57">
        <v>12</v>
      </c>
      <c r="Q39" s="55">
        <f t="shared" si="3"/>
        <v>31044</v>
      </c>
      <c r="R39" s="53">
        <v>2230</v>
      </c>
      <c r="S39" s="59">
        <v>12</v>
      </c>
      <c r="T39" s="55">
        <f t="shared" si="4"/>
        <v>26760</v>
      </c>
      <c r="U39" s="53">
        <v>219</v>
      </c>
      <c r="V39" s="57">
        <v>8</v>
      </c>
      <c r="W39" s="55">
        <f t="shared" si="5"/>
        <v>1752</v>
      </c>
      <c r="X39" s="53">
        <v>215</v>
      </c>
      <c r="Y39" s="57">
        <v>12</v>
      </c>
      <c r="Z39" s="55">
        <f t="shared" si="6"/>
        <v>2580</v>
      </c>
      <c r="AA39" s="53">
        <v>295</v>
      </c>
      <c r="AB39" s="57">
        <v>10</v>
      </c>
      <c r="AC39" s="55">
        <f t="shared" si="7"/>
        <v>2950</v>
      </c>
      <c r="AD39" s="53">
        <v>97</v>
      </c>
      <c r="AE39" s="57">
        <v>25</v>
      </c>
      <c r="AF39" s="55">
        <f t="shared" si="8"/>
        <v>2425</v>
      </c>
      <c r="AG39" s="53">
        <v>185</v>
      </c>
      <c r="AH39" s="57">
        <v>7.5</v>
      </c>
      <c r="AI39" s="55">
        <f t="shared" si="9"/>
        <v>1387.5</v>
      </c>
      <c r="AJ39" s="53"/>
      <c r="AK39" s="56">
        <v>15</v>
      </c>
      <c r="AL39" s="55">
        <f t="shared" si="10"/>
        <v>0</v>
      </c>
      <c r="AM39" s="53">
        <v>32</v>
      </c>
      <c r="AN39" s="57">
        <v>12</v>
      </c>
      <c r="AO39" s="55">
        <f t="shared" si="43"/>
        <v>384</v>
      </c>
      <c r="AP39" s="53">
        <f t="shared" si="12"/>
        <v>3273</v>
      </c>
      <c r="AQ39" s="53"/>
      <c r="AR39" s="61"/>
      <c r="AS39" s="53"/>
      <c r="AT39" s="53"/>
      <c r="AU39" s="55"/>
      <c r="AV39" s="53"/>
      <c r="AW39" s="53"/>
      <c r="AX39" s="66">
        <v>1044</v>
      </c>
      <c r="AY39" s="53"/>
      <c r="AZ39" s="68">
        <f t="shared" si="13"/>
        <v>0.39855184101063013</v>
      </c>
      <c r="BA39" s="68">
        <f t="shared" si="14"/>
        <v>0.50423663534124175</v>
      </c>
      <c r="BB39" s="68">
        <f t="shared" si="15"/>
        <v>0.40355624275222263</v>
      </c>
      <c r="BC39" s="55">
        <f t="shared" si="16"/>
        <v>361017</v>
      </c>
      <c r="BD39" s="55">
        <f t="shared" si="17"/>
        <v>353735</v>
      </c>
      <c r="BE39" s="55">
        <f t="shared" si="18"/>
        <v>361017</v>
      </c>
      <c r="BF39" s="55">
        <f t="shared" si="19"/>
        <v>362404.5</v>
      </c>
      <c r="BG39" s="62">
        <v>412933.5</v>
      </c>
      <c r="BH39" s="63">
        <v>274169.96999999997</v>
      </c>
      <c r="BI39" s="69">
        <f t="shared" si="20"/>
        <v>66.39567145799505</v>
      </c>
      <c r="BJ39" s="70">
        <f t="shared" si="21"/>
        <v>29298</v>
      </c>
      <c r="BK39" s="71">
        <f t="shared" si="22"/>
        <v>7.0950891608455108E-2</v>
      </c>
      <c r="BL39" s="72">
        <f t="shared" si="44"/>
        <v>2</v>
      </c>
      <c r="BM39" s="61">
        <f t="shared" si="24"/>
        <v>35784</v>
      </c>
      <c r="BN39" s="69">
        <f t="shared" si="25"/>
        <v>3.3224837916387209</v>
      </c>
      <c r="BO39" s="73">
        <f t="shared" si="26"/>
        <v>640</v>
      </c>
      <c r="BP39" s="69">
        <f t="shared" si="27"/>
        <v>185.76837499999999</v>
      </c>
      <c r="BQ39" s="61">
        <f t="shared" si="28"/>
        <v>14000</v>
      </c>
      <c r="BR39" s="69">
        <f t="shared" si="29"/>
        <v>8.4922685714285713</v>
      </c>
      <c r="BS39" s="64">
        <f t="shared" si="30"/>
        <v>39169.759999999995</v>
      </c>
      <c r="BT39" s="69">
        <f t="shared" si="31"/>
        <v>3.0352945741817159</v>
      </c>
      <c r="BU39" s="65">
        <v>118891.76</v>
      </c>
      <c r="BV39" s="74">
        <f t="shared" si="32"/>
        <v>28.791987087509245</v>
      </c>
      <c r="BW39" s="75">
        <f t="shared" si="33"/>
        <v>19871.770000000033</v>
      </c>
      <c r="BX39" s="69">
        <f t="shared" si="34"/>
        <v>4.8123414544957077</v>
      </c>
      <c r="BY39" s="55">
        <v>9736</v>
      </c>
      <c r="BZ39" s="55">
        <v>8650</v>
      </c>
      <c r="CA39" s="55">
        <v>7272</v>
      </c>
      <c r="CB39" s="55">
        <v>3640</v>
      </c>
      <c r="CC39" s="64">
        <v>35784</v>
      </c>
      <c r="CD39" s="64">
        <v>640</v>
      </c>
      <c r="CE39" s="64">
        <v>14000</v>
      </c>
      <c r="CF39" s="76">
        <f t="shared" si="35"/>
        <v>2.3577646279606766E-2</v>
      </c>
      <c r="CG39" s="76">
        <f t="shared" si="36"/>
        <v>2.0947682859346603E-2</v>
      </c>
      <c r="CH39" s="76">
        <f t="shared" si="37"/>
        <v>1.7610583786493467E-2</v>
      </c>
      <c r="CI39" s="76">
        <f t="shared" si="38"/>
        <v>8.8149786830082812E-3</v>
      </c>
      <c r="CJ39" s="76">
        <f t="shared" si="39"/>
        <v>8.6658021206804492E-2</v>
      </c>
      <c r="CK39" s="63">
        <f t="shared" si="40"/>
        <v>3974.3540000000066</v>
      </c>
      <c r="CL39" s="77">
        <f t="shared" si="41"/>
        <v>15897.416000000027</v>
      </c>
    </row>
    <row r="40" spans="1:90" ht="18.75" customHeight="1" x14ac:dyDescent="0.35">
      <c r="A40" s="50">
        <f t="shared" si="42"/>
        <v>32</v>
      </c>
      <c r="B40" s="51">
        <v>2</v>
      </c>
      <c r="C40" s="52" t="s">
        <v>223</v>
      </c>
      <c r="D40" s="52"/>
      <c r="E40" s="52"/>
      <c r="F40" s="53"/>
      <c r="G40" s="54">
        <v>40</v>
      </c>
      <c r="H40" s="55">
        <f t="shared" si="0"/>
        <v>0</v>
      </c>
      <c r="I40" s="53">
        <v>4705</v>
      </c>
      <c r="J40" s="56">
        <v>50</v>
      </c>
      <c r="K40" s="55">
        <f t="shared" si="1"/>
        <v>235250</v>
      </c>
      <c r="L40" s="53"/>
      <c r="M40" s="57">
        <v>60</v>
      </c>
      <c r="N40" s="55">
        <f t="shared" si="2"/>
        <v>0</v>
      </c>
      <c r="O40" s="53">
        <v>4349</v>
      </c>
      <c r="P40" s="57">
        <v>12</v>
      </c>
      <c r="Q40" s="55">
        <f t="shared" si="3"/>
        <v>52188</v>
      </c>
      <c r="R40" s="53">
        <v>3190</v>
      </c>
      <c r="S40" s="59">
        <v>12</v>
      </c>
      <c r="T40" s="55">
        <f t="shared" si="4"/>
        <v>38280</v>
      </c>
      <c r="U40" s="53">
        <v>236</v>
      </c>
      <c r="V40" s="57">
        <v>8</v>
      </c>
      <c r="W40" s="55">
        <f t="shared" si="5"/>
        <v>1888</v>
      </c>
      <c r="X40" s="53">
        <v>122</v>
      </c>
      <c r="Y40" s="57">
        <v>12</v>
      </c>
      <c r="Z40" s="55">
        <f t="shared" si="6"/>
        <v>1464</v>
      </c>
      <c r="AA40" s="53">
        <v>329</v>
      </c>
      <c r="AB40" s="57">
        <v>10</v>
      </c>
      <c r="AC40" s="55">
        <f t="shared" si="7"/>
        <v>3290</v>
      </c>
      <c r="AD40" s="53">
        <v>116</v>
      </c>
      <c r="AE40" s="57">
        <v>25</v>
      </c>
      <c r="AF40" s="55">
        <f t="shared" si="8"/>
        <v>2900</v>
      </c>
      <c r="AG40" s="53">
        <v>187</v>
      </c>
      <c r="AH40" s="57">
        <v>7.5</v>
      </c>
      <c r="AI40" s="55">
        <f t="shared" si="9"/>
        <v>1402.5</v>
      </c>
      <c r="AJ40" s="53"/>
      <c r="AK40" s="56">
        <v>15</v>
      </c>
      <c r="AL40" s="55">
        <f t="shared" si="10"/>
        <v>0</v>
      </c>
      <c r="AM40" s="53">
        <v>177</v>
      </c>
      <c r="AN40" s="57">
        <v>10</v>
      </c>
      <c r="AO40" s="55">
        <f t="shared" si="43"/>
        <v>1770</v>
      </c>
      <c r="AP40" s="53">
        <f t="shared" si="12"/>
        <v>4357</v>
      </c>
      <c r="AQ40" s="53"/>
      <c r="AR40" s="61"/>
      <c r="AS40" s="53"/>
      <c r="AT40" s="53"/>
      <c r="AU40" s="55"/>
      <c r="AV40" s="53"/>
      <c r="AW40" s="53"/>
      <c r="AX40" s="66">
        <v>911</v>
      </c>
      <c r="AY40" s="53"/>
      <c r="AZ40" s="68">
        <f t="shared" si="13"/>
        <v>0.92433581296493095</v>
      </c>
      <c r="BA40" s="68">
        <f t="shared" si="14"/>
        <v>0.92603613177470778</v>
      </c>
      <c r="BB40" s="68">
        <f t="shared" si="15"/>
        <v>0.20947344217061392</v>
      </c>
      <c r="BC40" s="55">
        <f t="shared" si="16"/>
        <v>283072</v>
      </c>
      <c r="BD40" s="55">
        <f t="shared" si="17"/>
        <v>276430</v>
      </c>
      <c r="BE40" s="55">
        <f t="shared" si="18"/>
        <v>283072</v>
      </c>
      <c r="BF40" s="55">
        <f t="shared" si="19"/>
        <v>284474.5</v>
      </c>
      <c r="BG40" s="62">
        <v>356376.5</v>
      </c>
      <c r="BH40" s="63">
        <v>236642.56</v>
      </c>
      <c r="BI40" s="69">
        <f t="shared" si="20"/>
        <v>66.402403076521608</v>
      </c>
      <c r="BJ40" s="70">
        <f t="shared" si="21"/>
        <v>19595</v>
      </c>
      <c r="BK40" s="71">
        <f t="shared" si="22"/>
        <v>5.4983984634228128E-2</v>
      </c>
      <c r="BL40" s="72">
        <f t="shared" si="44"/>
        <v>2</v>
      </c>
      <c r="BM40" s="61">
        <f t="shared" si="24"/>
        <v>30362.5</v>
      </c>
      <c r="BN40" s="69">
        <f t="shared" si="25"/>
        <v>2.9532054343351173</v>
      </c>
      <c r="BO40" s="73">
        <f t="shared" si="26"/>
        <v>2812.5</v>
      </c>
      <c r="BP40" s="69">
        <f t="shared" si="27"/>
        <v>31.881493333333331</v>
      </c>
      <c r="BQ40" s="61">
        <f t="shared" si="28"/>
        <v>20000</v>
      </c>
      <c r="BR40" s="69">
        <f t="shared" si="29"/>
        <v>4.4833350000000003</v>
      </c>
      <c r="BS40" s="64">
        <f t="shared" si="30"/>
        <v>16896.699999999997</v>
      </c>
      <c r="BT40" s="69">
        <f t="shared" si="31"/>
        <v>5.3067581243674811</v>
      </c>
      <c r="BU40" s="65">
        <v>89666.7</v>
      </c>
      <c r="BV40" s="74">
        <f t="shared" si="32"/>
        <v>25.160665756580471</v>
      </c>
      <c r="BW40" s="75">
        <f t="shared" si="33"/>
        <v>30067.240000000005</v>
      </c>
      <c r="BX40" s="69">
        <f t="shared" si="34"/>
        <v>8.4369311668979314</v>
      </c>
      <c r="BY40" s="55">
        <v>7675</v>
      </c>
      <c r="BZ40" s="55">
        <v>6364</v>
      </c>
      <c r="CA40" s="55">
        <v>3936</v>
      </c>
      <c r="CB40" s="55">
        <v>1620</v>
      </c>
      <c r="CC40" s="55">
        <v>30362.5</v>
      </c>
      <c r="CD40" s="64">
        <v>2812.5</v>
      </c>
      <c r="CE40" s="64">
        <v>20000</v>
      </c>
      <c r="CF40" s="76">
        <f t="shared" si="35"/>
        <v>2.1536212404577742E-2</v>
      </c>
      <c r="CG40" s="76">
        <f t="shared" si="36"/>
        <v>1.7857518663548243E-2</v>
      </c>
      <c r="CH40" s="76">
        <f t="shared" si="37"/>
        <v>1.104449928656912E-2</v>
      </c>
      <c r="CI40" s="76">
        <f t="shared" si="38"/>
        <v>4.5457542795330217E-3</v>
      </c>
      <c r="CJ40" s="76">
        <f t="shared" si="39"/>
        <v>8.5197817476741586E-2</v>
      </c>
      <c r="CK40" s="63">
        <f t="shared" si="40"/>
        <v>6013.4480000000012</v>
      </c>
      <c r="CL40" s="77">
        <f t="shared" si="41"/>
        <v>24053.792000000005</v>
      </c>
    </row>
    <row r="41" spans="1:90" ht="18.75" customHeight="1" x14ac:dyDescent="0.35">
      <c r="A41" s="50">
        <f t="shared" si="42"/>
        <v>33</v>
      </c>
      <c r="B41" s="51">
        <v>2</v>
      </c>
      <c r="C41" s="52" t="s">
        <v>220</v>
      </c>
      <c r="D41" s="52"/>
      <c r="E41" s="52"/>
      <c r="F41" s="53"/>
      <c r="G41" s="54">
        <v>40</v>
      </c>
      <c r="H41" s="55">
        <f t="shared" si="0"/>
        <v>0</v>
      </c>
      <c r="I41" s="53">
        <v>4608</v>
      </c>
      <c r="J41" s="56">
        <v>50</v>
      </c>
      <c r="K41" s="55">
        <f t="shared" si="1"/>
        <v>230400</v>
      </c>
      <c r="L41" s="53"/>
      <c r="M41" s="57">
        <v>60</v>
      </c>
      <c r="N41" s="55">
        <f t="shared" si="2"/>
        <v>0</v>
      </c>
      <c r="O41" s="53">
        <v>1815</v>
      </c>
      <c r="P41" s="57">
        <v>12</v>
      </c>
      <c r="Q41" s="55">
        <f t="shared" si="3"/>
        <v>21780</v>
      </c>
      <c r="R41" s="53">
        <v>3970</v>
      </c>
      <c r="S41" s="59">
        <v>12</v>
      </c>
      <c r="T41" s="55">
        <f t="shared" si="4"/>
        <v>47640</v>
      </c>
      <c r="U41" s="53">
        <v>418</v>
      </c>
      <c r="V41" s="57">
        <v>8</v>
      </c>
      <c r="W41" s="55">
        <f t="shared" si="5"/>
        <v>3344</v>
      </c>
      <c r="X41" s="53">
        <v>260</v>
      </c>
      <c r="Y41" s="57">
        <v>12</v>
      </c>
      <c r="Z41" s="55">
        <f t="shared" si="6"/>
        <v>3120</v>
      </c>
      <c r="AA41" s="53">
        <v>500</v>
      </c>
      <c r="AB41" s="57">
        <v>10</v>
      </c>
      <c r="AC41" s="55">
        <f t="shared" si="7"/>
        <v>5000</v>
      </c>
      <c r="AD41" s="53">
        <v>214</v>
      </c>
      <c r="AE41" s="57">
        <v>25</v>
      </c>
      <c r="AF41" s="55">
        <f t="shared" si="8"/>
        <v>5350</v>
      </c>
      <c r="AG41" s="53"/>
      <c r="AH41" s="57">
        <v>7.5</v>
      </c>
      <c r="AI41" s="55">
        <f t="shared" si="9"/>
        <v>0</v>
      </c>
      <c r="AJ41" s="53"/>
      <c r="AK41" s="56">
        <v>15</v>
      </c>
      <c r="AL41" s="55">
        <f t="shared" si="10"/>
        <v>0</v>
      </c>
      <c r="AM41" s="53"/>
      <c r="AN41" s="57">
        <v>10</v>
      </c>
      <c r="AO41" s="55">
        <f t="shared" si="43"/>
        <v>0</v>
      </c>
      <c r="AP41" s="53">
        <f t="shared" si="12"/>
        <v>5362</v>
      </c>
      <c r="AQ41" s="53"/>
      <c r="AR41" s="61"/>
      <c r="AS41" s="53"/>
      <c r="AT41" s="53"/>
      <c r="AU41" s="55"/>
      <c r="AV41" s="53"/>
      <c r="AW41" s="53"/>
      <c r="AX41" s="66">
        <v>772</v>
      </c>
      <c r="AY41" s="53"/>
      <c r="AZ41" s="68">
        <f t="shared" si="13"/>
        <v>0.39388020833333331</v>
      </c>
      <c r="BA41" s="68">
        <f t="shared" si="14"/>
        <v>1.1636284722222223</v>
      </c>
      <c r="BB41" s="68">
        <f t="shared" si="15"/>
        <v>0.42534435261707987</v>
      </c>
      <c r="BC41" s="55">
        <f t="shared" si="16"/>
        <v>294854</v>
      </c>
      <c r="BD41" s="55">
        <f t="shared" si="17"/>
        <v>283390</v>
      </c>
      <c r="BE41" s="55">
        <f t="shared" si="18"/>
        <v>294854</v>
      </c>
      <c r="BF41" s="55">
        <f t="shared" si="19"/>
        <v>294854</v>
      </c>
      <c r="BG41" s="62">
        <v>331220</v>
      </c>
      <c r="BH41" s="63">
        <v>218625.46</v>
      </c>
      <c r="BI41" s="69">
        <f t="shared" si="20"/>
        <v>66.006116780387657</v>
      </c>
      <c r="BJ41" s="70">
        <f t="shared" si="21"/>
        <v>27195</v>
      </c>
      <c r="BK41" s="71">
        <f t="shared" si="22"/>
        <v>8.210554918181269E-2</v>
      </c>
      <c r="BL41" s="72">
        <f t="shared" si="44"/>
        <v>2</v>
      </c>
      <c r="BM41" s="61">
        <f t="shared" si="24"/>
        <v>28587.200000000001</v>
      </c>
      <c r="BN41" s="69">
        <f t="shared" si="25"/>
        <v>3.4691956539989923</v>
      </c>
      <c r="BO41" s="73">
        <f t="shared" si="26"/>
        <v>750</v>
      </c>
      <c r="BP41" s="69">
        <f t="shared" si="27"/>
        <v>132.23278666666667</v>
      </c>
      <c r="BQ41" s="61">
        <f t="shared" si="28"/>
        <v>10000</v>
      </c>
      <c r="BR41" s="69">
        <f t="shared" si="29"/>
        <v>9.9174589999999991</v>
      </c>
      <c r="BS41" s="64">
        <f t="shared" si="30"/>
        <v>32642.39</v>
      </c>
      <c r="BT41" s="69">
        <f t="shared" si="31"/>
        <v>3.0382147263114008</v>
      </c>
      <c r="BU41" s="65">
        <v>99174.59</v>
      </c>
      <c r="BV41" s="74">
        <f t="shared" si="32"/>
        <v>29.942210615301008</v>
      </c>
      <c r="BW41" s="75">
        <f t="shared" si="33"/>
        <v>13419.950000000012</v>
      </c>
      <c r="BX41" s="69">
        <f t="shared" si="34"/>
        <v>4.0516726043113378</v>
      </c>
      <c r="BY41" s="55">
        <v>11380</v>
      </c>
      <c r="BZ41" s="55">
        <v>7955</v>
      </c>
      <c r="CA41" s="55">
        <v>6240</v>
      </c>
      <c r="CB41" s="55">
        <v>1620</v>
      </c>
      <c r="CC41" s="64">
        <v>28587.200000000001</v>
      </c>
      <c r="CD41" s="64">
        <v>750</v>
      </c>
      <c r="CE41" s="64">
        <v>10000</v>
      </c>
      <c r="CF41" s="76">
        <f t="shared" si="35"/>
        <v>3.4357828633536619E-2</v>
      </c>
      <c r="CG41" s="76">
        <f t="shared" si="36"/>
        <v>2.4017269488557456E-2</v>
      </c>
      <c r="CH41" s="76">
        <f t="shared" si="37"/>
        <v>1.8839442062677375E-2</v>
      </c>
      <c r="CI41" s="76">
        <f t="shared" si="38"/>
        <v>4.8910089970412417E-3</v>
      </c>
      <c r="CJ41" s="76">
        <f t="shared" si="39"/>
        <v>8.6308797777911964E-2</v>
      </c>
      <c r="CK41" s="63">
        <f t="shared" si="40"/>
        <v>2683.9900000000025</v>
      </c>
      <c r="CL41" s="77">
        <f t="shared" si="41"/>
        <v>10735.96000000001</v>
      </c>
    </row>
    <row r="42" spans="1:90" ht="18.75" customHeight="1" x14ac:dyDescent="0.35">
      <c r="A42" s="50">
        <f t="shared" si="42"/>
        <v>34</v>
      </c>
      <c r="B42" s="58">
        <v>2</v>
      </c>
      <c r="C42" s="52" t="s">
        <v>105</v>
      </c>
      <c r="D42" s="52"/>
      <c r="E42" s="52"/>
      <c r="F42" s="53"/>
      <c r="G42" s="54">
        <v>40</v>
      </c>
      <c r="H42" s="55">
        <f t="shared" si="0"/>
        <v>0</v>
      </c>
      <c r="I42" s="53">
        <v>4134</v>
      </c>
      <c r="J42" s="56">
        <v>50</v>
      </c>
      <c r="K42" s="55">
        <f t="shared" si="1"/>
        <v>206700</v>
      </c>
      <c r="L42" s="53"/>
      <c r="M42" s="57">
        <v>60</v>
      </c>
      <c r="N42" s="55">
        <f t="shared" si="2"/>
        <v>0</v>
      </c>
      <c r="O42" s="53">
        <v>2660</v>
      </c>
      <c r="P42" s="57">
        <v>12</v>
      </c>
      <c r="Q42" s="55">
        <f t="shared" si="3"/>
        <v>31920</v>
      </c>
      <c r="R42" s="53">
        <v>3576</v>
      </c>
      <c r="S42" s="59">
        <v>12</v>
      </c>
      <c r="T42" s="55">
        <f t="shared" si="4"/>
        <v>42912</v>
      </c>
      <c r="U42" s="53">
        <v>449</v>
      </c>
      <c r="V42" s="57">
        <v>8</v>
      </c>
      <c r="W42" s="55">
        <f t="shared" si="5"/>
        <v>3592</v>
      </c>
      <c r="X42" s="53">
        <v>168</v>
      </c>
      <c r="Y42" s="57">
        <v>12</v>
      </c>
      <c r="Z42" s="55">
        <f t="shared" si="6"/>
        <v>2016</v>
      </c>
      <c r="AA42" s="53">
        <v>453</v>
      </c>
      <c r="AB42" s="57">
        <v>10</v>
      </c>
      <c r="AC42" s="55">
        <f t="shared" si="7"/>
        <v>4530</v>
      </c>
      <c r="AD42" s="53">
        <v>191</v>
      </c>
      <c r="AE42" s="57">
        <v>25</v>
      </c>
      <c r="AF42" s="55">
        <f t="shared" si="8"/>
        <v>4775</v>
      </c>
      <c r="AG42" s="53">
        <v>380</v>
      </c>
      <c r="AH42" s="57">
        <v>7.5</v>
      </c>
      <c r="AI42" s="55">
        <f t="shared" si="9"/>
        <v>2850</v>
      </c>
      <c r="AJ42" s="53"/>
      <c r="AK42" s="56">
        <v>15</v>
      </c>
      <c r="AL42" s="55">
        <f t="shared" si="10"/>
        <v>0</v>
      </c>
      <c r="AM42" s="53">
        <v>186</v>
      </c>
      <c r="AN42" s="57">
        <v>10</v>
      </c>
      <c r="AO42" s="55">
        <f t="shared" si="43"/>
        <v>1860</v>
      </c>
      <c r="AP42" s="53">
        <f t="shared" si="12"/>
        <v>5403</v>
      </c>
      <c r="AQ42" s="53"/>
      <c r="AR42" s="61"/>
      <c r="AS42" s="53"/>
      <c r="AT42" s="53"/>
      <c r="AU42" s="55"/>
      <c r="AV42" s="53"/>
      <c r="AW42" s="53"/>
      <c r="AX42" s="66">
        <v>1021</v>
      </c>
      <c r="AY42" s="53"/>
      <c r="AZ42" s="68">
        <f t="shared" si="13"/>
        <v>0.64344460570875661</v>
      </c>
      <c r="BA42" s="68">
        <f t="shared" si="14"/>
        <v>1.3069666182873729</v>
      </c>
      <c r="BB42" s="68">
        <f t="shared" si="15"/>
        <v>0.38383458646616542</v>
      </c>
      <c r="BC42" s="55">
        <f t="shared" si="16"/>
        <v>264525</v>
      </c>
      <c r="BD42" s="55">
        <f t="shared" si="17"/>
        <v>254387</v>
      </c>
      <c r="BE42" s="55">
        <f t="shared" si="18"/>
        <v>264525</v>
      </c>
      <c r="BF42" s="55">
        <f t="shared" si="19"/>
        <v>267375</v>
      </c>
      <c r="BG42" s="62">
        <v>321537</v>
      </c>
      <c r="BH42" s="63">
        <v>214530.92</v>
      </c>
      <c r="BI42" s="69">
        <f t="shared" si="20"/>
        <v>66.720445858485959</v>
      </c>
      <c r="BJ42" s="70">
        <f t="shared" si="21"/>
        <v>26490</v>
      </c>
      <c r="BK42" s="71">
        <f t="shared" si="22"/>
        <v>8.2385541943850948E-2</v>
      </c>
      <c r="BL42" s="72">
        <f t="shared" si="44"/>
        <v>2</v>
      </c>
      <c r="BM42" s="61">
        <f t="shared" si="24"/>
        <v>28925</v>
      </c>
      <c r="BN42" s="69">
        <f t="shared" si="25"/>
        <v>3.090632324978392</v>
      </c>
      <c r="BO42" s="73">
        <f t="shared" si="26"/>
        <v>1937</v>
      </c>
      <c r="BP42" s="69">
        <f t="shared" si="27"/>
        <v>46.1520598864223</v>
      </c>
      <c r="BQ42" s="61">
        <f t="shared" si="28"/>
        <v>8269</v>
      </c>
      <c r="BR42" s="69">
        <f t="shared" si="29"/>
        <v>10.811046075704438</v>
      </c>
      <c r="BS42" s="64">
        <f t="shared" si="30"/>
        <v>23775.539999999994</v>
      </c>
      <c r="BT42" s="69">
        <f t="shared" si="31"/>
        <v>3.7600214337928821</v>
      </c>
      <c r="BU42" s="65">
        <v>89396.54</v>
      </c>
      <c r="BV42" s="74">
        <f t="shared" si="32"/>
        <v>27.802878051359563</v>
      </c>
      <c r="BW42" s="75">
        <f t="shared" si="33"/>
        <v>17609.539999999994</v>
      </c>
      <c r="BX42" s="69">
        <f t="shared" si="34"/>
        <v>5.4766760901544753</v>
      </c>
      <c r="BY42" s="55">
        <v>11456</v>
      </c>
      <c r="BZ42" s="55">
        <v>6364</v>
      </c>
      <c r="CA42" s="55">
        <v>6240</v>
      </c>
      <c r="CB42" s="55">
        <v>2430</v>
      </c>
      <c r="CC42" s="64">
        <v>28925</v>
      </c>
      <c r="CD42" s="64">
        <v>1937</v>
      </c>
      <c r="CE42" s="64">
        <v>8269</v>
      </c>
      <c r="CF42" s="76">
        <f t="shared" si="35"/>
        <v>3.5628870083380761E-2</v>
      </c>
      <c r="CG42" s="76">
        <f t="shared" si="36"/>
        <v>1.9792434463218853E-2</v>
      </c>
      <c r="CH42" s="76">
        <f t="shared" si="37"/>
        <v>1.940678677726047E-2</v>
      </c>
      <c r="CI42" s="76">
        <f t="shared" si="38"/>
        <v>7.5574506199908567E-3</v>
      </c>
      <c r="CJ42" s="76">
        <f t="shared" si="39"/>
        <v>8.995854287375947E-2</v>
      </c>
      <c r="CK42" s="63">
        <f t="shared" si="40"/>
        <v>3521.907999999999</v>
      </c>
      <c r="CL42" s="77">
        <f t="shared" si="41"/>
        <v>14087.631999999996</v>
      </c>
    </row>
    <row r="43" spans="1:90" ht="18.75" customHeight="1" x14ac:dyDescent="0.35">
      <c r="A43" s="50">
        <f t="shared" si="42"/>
        <v>35</v>
      </c>
      <c r="B43" s="58">
        <v>2</v>
      </c>
      <c r="C43" s="52" t="s">
        <v>218</v>
      </c>
      <c r="D43" s="52"/>
      <c r="E43" s="52"/>
      <c r="F43" s="53"/>
      <c r="G43" s="54">
        <v>40</v>
      </c>
      <c r="H43" s="55">
        <f t="shared" si="0"/>
        <v>0</v>
      </c>
      <c r="I43" s="53">
        <v>4110</v>
      </c>
      <c r="J43" s="56">
        <v>50</v>
      </c>
      <c r="K43" s="55">
        <f t="shared" si="1"/>
        <v>205500</v>
      </c>
      <c r="L43" s="53"/>
      <c r="M43" s="57">
        <v>60</v>
      </c>
      <c r="N43" s="55">
        <f t="shared" si="2"/>
        <v>0</v>
      </c>
      <c r="O43" s="53">
        <v>1809</v>
      </c>
      <c r="P43" s="57">
        <v>12</v>
      </c>
      <c r="Q43" s="55">
        <f t="shared" si="3"/>
        <v>21708</v>
      </c>
      <c r="R43" s="53">
        <v>1150</v>
      </c>
      <c r="S43" s="59">
        <v>12</v>
      </c>
      <c r="T43" s="55">
        <f t="shared" si="4"/>
        <v>13800</v>
      </c>
      <c r="U43" s="53">
        <v>1001</v>
      </c>
      <c r="V43" s="57">
        <v>8</v>
      </c>
      <c r="W43" s="55">
        <f t="shared" si="5"/>
        <v>8008</v>
      </c>
      <c r="X43" s="53">
        <v>716</v>
      </c>
      <c r="Y43" s="57">
        <v>12</v>
      </c>
      <c r="Z43" s="55">
        <f t="shared" si="6"/>
        <v>8592</v>
      </c>
      <c r="AA43" s="53">
        <v>731</v>
      </c>
      <c r="AB43" s="57">
        <v>10</v>
      </c>
      <c r="AC43" s="55">
        <f t="shared" si="7"/>
        <v>7310</v>
      </c>
      <c r="AD43" s="53">
        <v>282</v>
      </c>
      <c r="AE43" s="57">
        <v>25</v>
      </c>
      <c r="AF43" s="55">
        <f t="shared" si="8"/>
        <v>7050</v>
      </c>
      <c r="AG43" s="53">
        <v>660</v>
      </c>
      <c r="AH43" s="57">
        <v>7.5</v>
      </c>
      <c r="AI43" s="55">
        <f t="shared" si="9"/>
        <v>4950</v>
      </c>
      <c r="AJ43" s="53"/>
      <c r="AK43" s="56">
        <v>15</v>
      </c>
      <c r="AL43" s="55">
        <f t="shared" si="10"/>
        <v>0</v>
      </c>
      <c r="AM43" s="53"/>
      <c r="AN43" s="57">
        <v>10</v>
      </c>
      <c r="AO43" s="55">
        <f t="shared" si="43"/>
        <v>0</v>
      </c>
      <c r="AP43" s="53">
        <f t="shared" si="12"/>
        <v>4540</v>
      </c>
      <c r="AQ43" s="53"/>
      <c r="AR43" s="61"/>
      <c r="AS43" s="53"/>
      <c r="AT43" s="53"/>
      <c r="AU43" s="55"/>
      <c r="AV43" s="53"/>
      <c r="AW43" s="53"/>
      <c r="AX43" s="66">
        <v>1044</v>
      </c>
      <c r="AY43" s="53"/>
      <c r="AZ43" s="68">
        <f t="shared" si="13"/>
        <v>0.44014598540145983</v>
      </c>
      <c r="BA43" s="68">
        <f t="shared" si="14"/>
        <v>1.1046228710462287</v>
      </c>
      <c r="BB43" s="68">
        <f t="shared" si="15"/>
        <v>0.57711442786069655</v>
      </c>
      <c r="BC43" s="55">
        <f t="shared" si="16"/>
        <v>250260</v>
      </c>
      <c r="BD43" s="55">
        <f t="shared" si="17"/>
        <v>226350</v>
      </c>
      <c r="BE43" s="55">
        <f t="shared" si="18"/>
        <v>250260</v>
      </c>
      <c r="BF43" s="55">
        <f t="shared" si="19"/>
        <v>255210</v>
      </c>
      <c r="BG43" s="62">
        <v>295853</v>
      </c>
      <c r="BH43" s="63">
        <v>197582.87</v>
      </c>
      <c r="BI43" s="69">
        <f t="shared" si="20"/>
        <v>66.784136040533639</v>
      </c>
      <c r="BJ43" s="70">
        <f t="shared" si="21"/>
        <v>18006</v>
      </c>
      <c r="BK43" s="71">
        <f t="shared" si="22"/>
        <v>6.0861306121621217E-2</v>
      </c>
      <c r="BL43" s="72">
        <f t="shared" si="44"/>
        <v>2</v>
      </c>
      <c r="BM43" s="61">
        <f t="shared" si="24"/>
        <v>28650</v>
      </c>
      <c r="BN43" s="69">
        <f t="shared" si="25"/>
        <v>2.7799123909249563</v>
      </c>
      <c r="BO43" s="73">
        <f t="shared" si="26"/>
        <v>4000</v>
      </c>
      <c r="BP43" s="69">
        <f t="shared" si="27"/>
        <v>19.911122500000001</v>
      </c>
      <c r="BQ43" s="61">
        <f t="shared" si="28"/>
        <v>12000</v>
      </c>
      <c r="BR43" s="69">
        <f t="shared" si="29"/>
        <v>6.6370408333333337</v>
      </c>
      <c r="BS43" s="64">
        <f t="shared" si="30"/>
        <v>16988.490000000005</v>
      </c>
      <c r="BT43" s="69">
        <f t="shared" si="31"/>
        <v>4.6881441493623024</v>
      </c>
      <c r="BU43" s="65">
        <v>79644.490000000005</v>
      </c>
      <c r="BV43" s="74">
        <f t="shared" si="32"/>
        <v>26.920291496114626</v>
      </c>
      <c r="BW43" s="75">
        <f t="shared" si="33"/>
        <v>18625.64</v>
      </c>
      <c r="BX43" s="69">
        <f t="shared" si="34"/>
        <v>6.2955724633517312</v>
      </c>
      <c r="BY43" s="55">
        <v>3936</v>
      </c>
      <c r="BZ43" s="55">
        <v>6364</v>
      </c>
      <c r="CA43" s="55">
        <v>6086</v>
      </c>
      <c r="CB43" s="55">
        <v>1620</v>
      </c>
      <c r="CC43" s="64">
        <v>28650</v>
      </c>
      <c r="CD43" s="64">
        <v>4000</v>
      </c>
      <c r="CE43" s="64">
        <v>12000</v>
      </c>
      <c r="CF43" s="76">
        <f t="shared" si="35"/>
        <v>1.3303904303826563E-2</v>
      </c>
      <c r="CG43" s="76">
        <f t="shared" si="36"/>
        <v>2.1510682670109818E-2</v>
      </c>
      <c r="CH43" s="76">
        <f t="shared" si="37"/>
        <v>2.0571026827512311E-2</v>
      </c>
      <c r="CI43" s="76">
        <f t="shared" si="38"/>
        <v>5.4756923201725177E-3</v>
      </c>
      <c r="CJ43" s="76">
        <f t="shared" si="39"/>
        <v>9.683863269934731E-2</v>
      </c>
      <c r="CK43" s="63">
        <f t="shared" si="40"/>
        <v>3725.1280000000002</v>
      </c>
      <c r="CL43" s="77">
        <f t="shared" si="41"/>
        <v>14900.512000000001</v>
      </c>
    </row>
    <row r="44" spans="1:90" ht="18.75" customHeight="1" x14ac:dyDescent="0.35">
      <c r="A44" s="50">
        <f t="shared" si="42"/>
        <v>36</v>
      </c>
      <c r="B44" s="58" t="s">
        <v>221</v>
      </c>
      <c r="C44" s="52" t="s">
        <v>222</v>
      </c>
      <c r="D44" s="52"/>
      <c r="E44" s="52"/>
      <c r="F44" s="53"/>
      <c r="G44" s="54">
        <v>40</v>
      </c>
      <c r="H44" s="55">
        <f t="shared" si="0"/>
        <v>0</v>
      </c>
      <c r="I44" s="53">
        <v>3797</v>
      </c>
      <c r="J44" s="56">
        <v>50</v>
      </c>
      <c r="K44" s="55">
        <f t="shared" si="1"/>
        <v>189850</v>
      </c>
      <c r="L44" s="53"/>
      <c r="M44" s="57">
        <v>60</v>
      </c>
      <c r="N44" s="55">
        <f t="shared" si="2"/>
        <v>0</v>
      </c>
      <c r="O44" s="53">
        <v>2435</v>
      </c>
      <c r="P44" s="57">
        <v>12</v>
      </c>
      <c r="Q44" s="55">
        <f t="shared" si="3"/>
        <v>29220</v>
      </c>
      <c r="R44" s="53">
        <v>630</v>
      </c>
      <c r="S44" s="59">
        <v>12</v>
      </c>
      <c r="T44" s="55">
        <f t="shared" si="4"/>
        <v>7560</v>
      </c>
      <c r="U44" s="53">
        <v>243</v>
      </c>
      <c r="V44" s="57">
        <v>8</v>
      </c>
      <c r="W44" s="55">
        <f t="shared" si="5"/>
        <v>1944</v>
      </c>
      <c r="X44" s="53">
        <v>129</v>
      </c>
      <c r="Y44" s="57">
        <v>12</v>
      </c>
      <c r="Z44" s="55">
        <f t="shared" si="6"/>
        <v>1548</v>
      </c>
      <c r="AA44" s="53">
        <v>361</v>
      </c>
      <c r="AB44" s="57">
        <v>10</v>
      </c>
      <c r="AC44" s="55">
        <f t="shared" si="7"/>
        <v>3610</v>
      </c>
      <c r="AD44" s="53">
        <v>85</v>
      </c>
      <c r="AE44" s="57">
        <v>25</v>
      </c>
      <c r="AF44" s="55">
        <f t="shared" si="8"/>
        <v>2125</v>
      </c>
      <c r="AG44" s="53"/>
      <c r="AH44" s="57">
        <v>7.5</v>
      </c>
      <c r="AI44" s="55">
        <f t="shared" si="9"/>
        <v>0</v>
      </c>
      <c r="AJ44" s="53"/>
      <c r="AK44" s="56">
        <v>15</v>
      </c>
      <c r="AL44" s="55">
        <f t="shared" si="10"/>
        <v>0</v>
      </c>
      <c r="AM44" s="53">
        <v>118</v>
      </c>
      <c r="AN44" s="57">
        <v>10</v>
      </c>
      <c r="AO44" s="55">
        <f t="shared" si="43"/>
        <v>1180</v>
      </c>
      <c r="AP44" s="53">
        <f t="shared" si="12"/>
        <v>1566</v>
      </c>
      <c r="AQ44" s="53"/>
      <c r="AR44" s="61"/>
      <c r="AS44" s="53"/>
      <c r="AT44" s="53"/>
      <c r="AU44" s="55"/>
      <c r="AV44" s="53"/>
      <c r="AW44" s="53"/>
      <c r="AX44" s="66">
        <v>1092</v>
      </c>
      <c r="AY44" s="53"/>
      <c r="AZ44" s="68">
        <f t="shared" si="13"/>
        <v>0.64129575981037656</v>
      </c>
      <c r="BA44" s="68">
        <f t="shared" si="14"/>
        <v>0.41243086647353172</v>
      </c>
      <c r="BB44" s="68">
        <f t="shared" si="15"/>
        <v>0.44845995893223817</v>
      </c>
      <c r="BC44" s="55">
        <f t="shared" si="16"/>
        <v>206637</v>
      </c>
      <c r="BD44" s="55">
        <f t="shared" si="17"/>
        <v>199535</v>
      </c>
      <c r="BE44" s="55">
        <f t="shared" si="18"/>
        <v>206637</v>
      </c>
      <c r="BF44" s="55">
        <f t="shared" si="19"/>
        <v>206637</v>
      </c>
      <c r="BG44" s="62">
        <v>259048</v>
      </c>
      <c r="BH44" s="63">
        <v>175837.79</v>
      </c>
      <c r="BI44" s="69">
        <f t="shared" si="20"/>
        <v>67.878458818442923</v>
      </c>
      <c r="BJ44" s="70">
        <f t="shared" si="21"/>
        <v>20581</v>
      </c>
      <c r="BK44" s="71">
        <f t="shared" si="22"/>
        <v>7.9448596399122939E-2</v>
      </c>
      <c r="BL44" s="72" t="str">
        <f t="shared" si="44"/>
        <v>,2</v>
      </c>
      <c r="BM44" s="61">
        <f t="shared" si="24"/>
        <v>28300</v>
      </c>
      <c r="BN44" s="69">
        <f t="shared" si="25"/>
        <v>2.8772201413427561</v>
      </c>
      <c r="BO44" s="73">
        <f t="shared" si="26"/>
        <v>0</v>
      </c>
      <c r="BP44" s="69" t="e">
        <f t="shared" si="27"/>
        <v>#DIV/0!</v>
      </c>
      <c r="BQ44" s="61">
        <f t="shared" si="28"/>
        <v>15000</v>
      </c>
      <c r="BR44" s="69">
        <f t="shared" si="29"/>
        <v>5.4283553333333332</v>
      </c>
      <c r="BS44" s="64">
        <f t="shared" si="30"/>
        <v>17544.330000000002</v>
      </c>
      <c r="BT44" s="69">
        <f t="shared" si="31"/>
        <v>4.6411193815893794</v>
      </c>
      <c r="BU44" s="65">
        <v>81425.33</v>
      </c>
      <c r="BV44" s="74">
        <f t="shared" si="32"/>
        <v>31.432526018344092</v>
      </c>
      <c r="BW44" s="75">
        <f t="shared" si="33"/>
        <v>1784.8799999999901</v>
      </c>
      <c r="BX44" s="69">
        <f t="shared" si="34"/>
        <v>0.6890151632129915</v>
      </c>
      <c r="BY44" s="55">
        <v>7675</v>
      </c>
      <c r="BZ44" s="55">
        <v>6364</v>
      </c>
      <c r="CA44" s="55">
        <v>4922</v>
      </c>
      <c r="CB44" s="55">
        <v>1620</v>
      </c>
      <c r="CC44" s="64">
        <v>28300</v>
      </c>
      <c r="CD44" s="64"/>
      <c r="CE44" s="64">
        <v>15000</v>
      </c>
      <c r="CF44" s="76">
        <f t="shared" si="35"/>
        <v>2.9627713782773849E-2</v>
      </c>
      <c r="CG44" s="76">
        <f t="shared" si="36"/>
        <v>2.4566875636947594E-2</v>
      </c>
      <c r="CH44" s="76">
        <f t="shared" si="37"/>
        <v>1.9000339705382785E-2</v>
      </c>
      <c r="CI44" s="76">
        <f t="shared" si="38"/>
        <v>6.2536672740187149E-3</v>
      </c>
      <c r="CJ44" s="76">
        <f t="shared" si="39"/>
        <v>0.10924616287328989</v>
      </c>
      <c r="CK44" s="63">
        <f t="shared" si="40"/>
        <v>356.97599999999807</v>
      </c>
      <c r="CL44" s="63">
        <f t="shared" si="41"/>
        <v>1427.9039999999923</v>
      </c>
    </row>
    <row r="45" spans="1:90" ht="18.75" customHeight="1" x14ac:dyDescent="0.35">
      <c r="A45" s="50">
        <f t="shared" si="42"/>
        <v>37</v>
      </c>
      <c r="B45" s="51">
        <v>6</v>
      </c>
      <c r="C45" s="52"/>
      <c r="D45" s="52"/>
      <c r="E45" s="52"/>
      <c r="F45" s="53"/>
      <c r="G45" s="54">
        <v>40</v>
      </c>
      <c r="H45" s="55">
        <f t="shared" si="0"/>
        <v>0</v>
      </c>
      <c r="I45" s="53"/>
      <c r="J45" s="56">
        <v>50</v>
      </c>
      <c r="K45" s="55">
        <f t="shared" si="1"/>
        <v>0</v>
      </c>
      <c r="L45" s="53"/>
      <c r="M45" s="57">
        <v>60</v>
      </c>
      <c r="N45" s="55">
        <f t="shared" si="2"/>
        <v>0</v>
      </c>
      <c r="O45" s="53"/>
      <c r="P45" s="57">
        <v>12</v>
      </c>
      <c r="Q45" s="55">
        <f t="shared" si="3"/>
        <v>0</v>
      </c>
      <c r="R45" s="53"/>
      <c r="S45" s="59">
        <v>12</v>
      </c>
      <c r="T45" s="55">
        <f t="shared" si="4"/>
        <v>0</v>
      </c>
      <c r="U45" s="53"/>
      <c r="V45" s="57">
        <v>8</v>
      </c>
      <c r="W45" s="55">
        <f t="shared" si="5"/>
        <v>0</v>
      </c>
      <c r="X45" s="53"/>
      <c r="Y45" s="57">
        <v>12</v>
      </c>
      <c r="Z45" s="55">
        <f t="shared" si="6"/>
        <v>0</v>
      </c>
      <c r="AA45" s="53"/>
      <c r="AB45" s="57">
        <v>10</v>
      </c>
      <c r="AC45" s="55">
        <f t="shared" si="7"/>
        <v>0</v>
      </c>
      <c r="AD45" s="53"/>
      <c r="AE45" s="57">
        <v>25</v>
      </c>
      <c r="AF45" s="55">
        <f t="shared" si="8"/>
        <v>0</v>
      </c>
      <c r="AG45" s="53"/>
      <c r="AH45" s="57">
        <v>7.5</v>
      </c>
      <c r="AI45" s="55">
        <f t="shared" si="9"/>
        <v>0</v>
      </c>
      <c r="AJ45" s="53"/>
      <c r="AK45" s="56">
        <v>15</v>
      </c>
      <c r="AL45" s="55">
        <f t="shared" si="10"/>
        <v>0</v>
      </c>
      <c r="AM45" s="53"/>
      <c r="AN45" s="57">
        <v>10</v>
      </c>
      <c r="AO45" s="55">
        <f t="shared" si="43"/>
        <v>0</v>
      </c>
      <c r="AP45" s="53">
        <f t="shared" si="12"/>
        <v>0</v>
      </c>
      <c r="AQ45" s="53"/>
      <c r="AR45" s="61"/>
      <c r="AS45" s="53"/>
      <c r="AT45" s="53"/>
      <c r="AU45" s="55"/>
      <c r="AV45" s="53"/>
      <c r="AW45" s="53"/>
      <c r="AX45" s="66"/>
      <c r="AY45" s="53"/>
      <c r="AZ45" s="68" t="e">
        <f t="shared" si="13"/>
        <v>#DIV/0!</v>
      </c>
      <c r="BA45" s="68" t="e">
        <f t="shared" si="14"/>
        <v>#DIV/0!</v>
      </c>
      <c r="BB45" s="68" t="e">
        <f t="shared" si="15"/>
        <v>#DIV/0!</v>
      </c>
      <c r="BC45" s="55">
        <f t="shared" si="16"/>
        <v>0</v>
      </c>
      <c r="BD45" s="55">
        <f t="shared" si="17"/>
        <v>0</v>
      </c>
      <c r="BE45" s="55">
        <f t="shared" si="18"/>
        <v>0</v>
      </c>
      <c r="BF45" s="55">
        <f t="shared" si="19"/>
        <v>0</v>
      </c>
      <c r="BG45" s="62"/>
      <c r="BH45" s="63"/>
      <c r="BI45" s="69" t="e">
        <f t="shared" si="20"/>
        <v>#DIV/0!</v>
      </c>
      <c r="BJ45" s="70">
        <f t="shared" si="21"/>
        <v>0</v>
      </c>
      <c r="BK45" s="71" t="e">
        <f t="shared" si="22"/>
        <v>#DIV/0!</v>
      </c>
      <c r="BL45" s="72"/>
      <c r="BM45" s="61">
        <f t="shared" si="24"/>
        <v>0</v>
      </c>
      <c r="BN45" s="69" t="e">
        <f t="shared" si="25"/>
        <v>#DIV/0!</v>
      </c>
      <c r="BO45" s="73">
        <f t="shared" si="26"/>
        <v>0</v>
      </c>
      <c r="BP45" s="69" t="e">
        <f t="shared" si="27"/>
        <v>#DIV/0!</v>
      </c>
      <c r="BQ45" s="61">
        <f t="shared" si="28"/>
        <v>0</v>
      </c>
      <c r="BR45" s="69" t="e">
        <f t="shared" si="29"/>
        <v>#DIV/0!</v>
      </c>
      <c r="BS45" s="64">
        <f t="shared" si="30"/>
        <v>0</v>
      </c>
      <c r="BT45" s="69" t="e">
        <f t="shared" si="31"/>
        <v>#DIV/0!</v>
      </c>
      <c r="BU45" s="65"/>
      <c r="BV45" s="74" t="e">
        <f t="shared" si="32"/>
        <v>#DIV/0!</v>
      </c>
      <c r="BW45" s="75">
        <f t="shared" si="33"/>
        <v>0</v>
      </c>
      <c r="BX45" s="69" t="e">
        <f t="shared" si="34"/>
        <v>#DIV/0!</v>
      </c>
      <c r="BY45" s="55"/>
      <c r="BZ45" s="55"/>
      <c r="CA45" s="55"/>
      <c r="CB45" s="55"/>
      <c r="CC45" s="64"/>
      <c r="CD45" s="64"/>
      <c r="CE45" s="64"/>
      <c r="CF45" s="76" t="e">
        <f t="shared" si="35"/>
        <v>#DIV/0!</v>
      </c>
      <c r="CG45" s="76" t="e">
        <f t="shared" si="36"/>
        <v>#DIV/0!</v>
      </c>
      <c r="CH45" s="76" t="e">
        <f t="shared" si="37"/>
        <v>#DIV/0!</v>
      </c>
      <c r="CI45" s="76" t="e">
        <f t="shared" si="38"/>
        <v>#DIV/0!</v>
      </c>
      <c r="CJ45" s="76" t="e">
        <f t="shared" si="39"/>
        <v>#DIV/0!</v>
      </c>
      <c r="CK45" s="63">
        <f t="shared" si="40"/>
        <v>0</v>
      </c>
      <c r="CL45" s="63">
        <f t="shared" si="41"/>
        <v>0</v>
      </c>
    </row>
    <row r="46" spans="1:90" ht="18.75" customHeight="1" x14ac:dyDescent="0.35">
      <c r="A46" s="50">
        <f t="shared" si="42"/>
        <v>38</v>
      </c>
      <c r="B46" s="51">
        <v>6</v>
      </c>
      <c r="C46" s="52"/>
      <c r="D46" s="52"/>
      <c r="E46" s="52"/>
      <c r="F46" s="53"/>
      <c r="G46" s="54">
        <v>40</v>
      </c>
      <c r="H46" s="55">
        <f t="shared" si="0"/>
        <v>0</v>
      </c>
      <c r="I46" s="53"/>
      <c r="J46" s="56">
        <v>50</v>
      </c>
      <c r="K46" s="55">
        <f t="shared" si="1"/>
        <v>0</v>
      </c>
      <c r="L46" s="53"/>
      <c r="M46" s="57">
        <v>60</v>
      </c>
      <c r="N46" s="55">
        <f t="shared" si="2"/>
        <v>0</v>
      </c>
      <c r="O46" s="53"/>
      <c r="P46" s="57">
        <v>12</v>
      </c>
      <c r="Q46" s="55">
        <f t="shared" si="3"/>
        <v>0</v>
      </c>
      <c r="R46" s="53"/>
      <c r="S46" s="59">
        <v>12</v>
      </c>
      <c r="T46" s="55">
        <f t="shared" si="4"/>
        <v>0</v>
      </c>
      <c r="U46" s="53"/>
      <c r="V46" s="57">
        <v>8</v>
      </c>
      <c r="W46" s="55">
        <f t="shared" si="5"/>
        <v>0</v>
      </c>
      <c r="X46" s="53"/>
      <c r="Y46" s="57">
        <v>12</v>
      </c>
      <c r="Z46" s="55">
        <f t="shared" si="6"/>
        <v>0</v>
      </c>
      <c r="AA46" s="53"/>
      <c r="AB46" s="57">
        <v>10</v>
      </c>
      <c r="AC46" s="55">
        <f t="shared" si="7"/>
        <v>0</v>
      </c>
      <c r="AD46" s="53"/>
      <c r="AE46" s="57">
        <v>25</v>
      </c>
      <c r="AF46" s="55">
        <f t="shared" si="8"/>
        <v>0</v>
      </c>
      <c r="AG46" s="53"/>
      <c r="AH46" s="57">
        <v>7.5</v>
      </c>
      <c r="AI46" s="55">
        <f t="shared" si="9"/>
        <v>0</v>
      </c>
      <c r="AJ46" s="53"/>
      <c r="AK46" s="56">
        <v>15</v>
      </c>
      <c r="AL46" s="55">
        <f t="shared" si="10"/>
        <v>0</v>
      </c>
      <c r="AM46" s="53"/>
      <c r="AN46" s="57">
        <v>10</v>
      </c>
      <c r="AO46" s="55">
        <f t="shared" si="43"/>
        <v>0</v>
      </c>
      <c r="AP46" s="53">
        <f t="shared" si="12"/>
        <v>0</v>
      </c>
      <c r="AQ46" s="53"/>
      <c r="AR46" s="61"/>
      <c r="AS46" s="53"/>
      <c r="AT46" s="53"/>
      <c r="AU46" s="55"/>
      <c r="AV46" s="53"/>
      <c r="AW46" s="53"/>
      <c r="AX46" s="66"/>
      <c r="AY46" s="53"/>
      <c r="AZ46" s="68" t="e">
        <f t="shared" si="13"/>
        <v>#DIV/0!</v>
      </c>
      <c r="BA46" s="68" t="e">
        <f t="shared" si="14"/>
        <v>#DIV/0!</v>
      </c>
      <c r="BB46" s="68" t="e">
        <f t="shared" si="15"/>
        <v>#DIV/0!</v>
      </c>
      <c r="BC46" s="55">
        <f t="shared" si="16"/>
        <v>0</v>
      </c>
      <c r="BD46" s="55">
        <f t="shared" si="17"/>
        <v>0</v>
      </c>
      <c r="BE46" s="55">
        <f t="shared" si="18"/>
        <v>0</v>
      </c>
      <c r="BF46" s="55">
        <f t="shared" si="19"/>
        <v>0</v>
      </c>
      <c r="BG46" s="62"/>
      <c r="BH46" s="63"/>
      <c r="BI46" s="69" t="e">
        <f t="shared" si="20"/>
        <v>#DIV/0!</v>
      </c>
      <c r="BJ46" s="70">
        <f t="shared" si="21"/>
        <v>0</v>
      </c>
      <c r="BK46" s="71" t="e">
        <f t="shared" si="22"/>
        <v>#DIV/0!</v>
      </c>
      <c r="BL46" s="72"/>
      <c r="BM46" s="61">
        <f t="shared" si="24"/>
        <v>0</v>
      </c>
      <c r="BN46" s="69" t="e">
        <f t="shared" si="25"/>
        <v>#DIV/0!</v>
      </c>
      <c r="BO46" s="73">
        <f t="shared" si="26"/>
        <v>0</v>
      </c>
      <c r="BP46" s="69" t="e">
        <f t="shared" si="27"/>
        <v>#DIV/0!</v>
      </c>
      <c r="BQ46" s="61">
        <f t="shared" si="28"/>
        <v>0</v>
      </c>
      <c r="BR46" s="69" t="e">
        <f t="shared" si="29"/>
        <v>#DIV/0!</v>
      </c>
      <c r="BS46" s="64">
        <f t="shared" si="30"/>
        <v>0</v>
      </c>
      <c r="BT46" s="69" t="e">
        <f t="shared" si="31"/>
        <v>#DIV/0!</v>
      </c>
      <c r="BU46" s="65"/>
      <c r="BV46" s="74" t="e">
        <f t="shared" si="32"/>
        <v>#DIV/0!</v>
      </c>
      <c r="BW46" s="75">
        <f t="shared" si="33"/>
        <v>0</v>
      </c>
      <c r="BX46" s="69" t="e">
        <f t="shared" si="34"/>
        <v>#DIV/0!</v>
      </c>
      <c r="BY46" s="55"/>
      <c r="BZ46" s="55"/>
      <c r="CA46" s="55"/>
      <c r="CB46" s="55"/>
      <c r="CC46" s="64"/>
      <c r="CD46" s="64"/>
      <c r="CE46" s="64"/>
      <c r="CF46" s="76" t="e">
        <f t="shared" si="35"/>
        <v>#DIV/0!</v>
      </c>
      <c r="CG46" s="76" t="e">
        <f t="shared" si="36"/>
        <v>#DIV/0!</v>
      </c>
      <c r="CH46" s="76" t="e">
        <f t="shared" si="37"/>
        <v>#DIV/0!</v>
      </c>
      <c r="CI46" s="76" t="e">
        <f t="shared" si="38"/>
        <v>#DIV/0!</v>
      </c>
      <c r="CJ46" s="76" t="e">
        <f t="shared" si="39"/>
        <v>#DIV/0!</v>
      </c>
      <c r="CK46" s="63">
        <f t="shared" si="40"/>
        <v>0</v>
      </c>
      <c r="CL46" s="63">
        <f t="shared" si="41"/>
        <v>0</v>
      </c>
    </row>
    <row r="47" spans="1:90" ht="18.75" customHeight="1" x14ac:dyDescent="0.35">
      <c r="A47" s="50">
        <f t="shared" si="42"/>
        <v>39</v>
      </c>
      <c r="B47" s="122">
        <v>6</v>
      </c>
      <c r="C47" s="52"/>
      <c r="D47" s="52"/>
      <c r="E47" s="52"/>
      <c r="F47" s="53"/>
      <c r="G47" s="54">
        <v>40</v>
      </c>
      <c r="H47" s="55">
        <f t="shared" si="0"/>
        <v>0</v>
      </c>
      <c r="I47" s="53"/>
      <c r="J47" s="56">
        <v>50</v>
      </c>
      <c r="K47" s="55">
        <f t="shared" si="1"/>
        <v>0</v>
      </c>
      <c r="L47" s="53"/>
      <c r="M47" s="57">
        <v>60</v>
      </c>
      <c r="N47" s="55">
        <f t="shared" si="2"/>
        <v>0</v>
      </c>
      <c r="O47" s="53"/>
      <c r="P47" s="57">
        <v>12</v>
      </c>
      <c r="Q47" s="55">
        <f t="shared" si="3"/>
        <v>0</v>
      </c>
      <c r="R47" s="53"/>
      <c r="S47" s="59">
        <v>12</v>
      </c>
      <c r="T47" s="55">
        <f t="shared" si="4"/>
        <v>0</v>
      </c>
      <c r="U47" s="53"/>
      <c r="V47" s="57">
        <v>8</v>
      </c>
      <c r="W47" s="55">
        <f t="shared" si="5"/>
        <v>0</v>
      </c>
      <c r="X47" s="53"/>
      <c r="Y47" s="57">
        <v>12</v>
      </c>
      <c r="Z47" s="55">
        <f t="shared" si="6"/>
        <v>0</v>
      </c>
      <c r="AA47" s="53"/>
      <c r="AB47" s="57">
        <v>10</v>
      </c>
      <c r="AC47" s="55">
        <f t="shared" si="7"/>
        <v>0</v>
      </c>
      <c r="AD47" s="53"/>
      <c r="AE47" s="57">
        <v>25</v>
      </c>
      <c r="AF47" s="55">
        <f t="shared" si="8"/>
        <v>0</v>
      </c>
      <c r="AG47" s="53"/>
      <c r="AH47" s="57">
        <v>7.5</v>
      </c>
      <c r="AI47" s="55">
        <f t="shared" si="9"/>
        <v>0</v>
      </c>
      <c r="AJ47" s="53"/>
      <c r="AK47" s="56">
        <v>15</v>
      </c>
      <c r="AL47" s="55">
        <f t="shared" si="10"/>
        <v>0</v>
      </c>
      <c r="AM47" s="53"/>
      <c r="AN47" s="57">
        <v>10</v>
      </c>
      <c r="AO47" s="55">
        <f t="shared" si="43"/>
        <v>0</v>
      </c>
      <c r="AP47" s="53">
        <f t="shared" si="12"/>
        <v>0</v>
      </c>
      <c r="AQ47" s="53"/>
      <c r="AR47" s="61"/>
      <c r="AS47" s="53"/>
      <c r="AT47" s="53"/>
      <c r="AU47" s="55"/>
      <c r="AV47" s="53"/>
      <c r="AW47" s="53"/>
      <c r="AX47" s="66"/>
      <c r="AY47" s="53"/>
      <c r="AZ47" s="68" t="e">
        <f t="shared" si="13"/>
        <v>#DIV/0!</v>
      </c>
      <c r="BA47" s="68" t="e">
        <f t="shared" si="14"/>
        <v>#DIV/0!</v>
      </c>
      <c r="BB47" s="68" t="e">
        <f t="shared" si="15"/>
        <v>#DIV/0!</v>
      </c>
      <c r="BC47" s="55">
        <f t="shared" si="16"/>
        <v>0</v>
      </c>
      <c r="BD47" s="55">
        <f t="shared" si="17"/>
        <v>0</v>
      </c>
      <c r="BE47" s="55">
        <f t="shared" si="18"/>
        <v>0</v>
      </c>
      <c r="BF47" s="55">
        <f t="shared" si="19"/>
        <v>0</v>
      </c>
      <c r="BG47" s="62"/>
      <c r="BH47" s="63"/>
      <c r="BI47" s="69" t="e">
        <f t="shared" si="20"/>
        <v>#DIV/0!</v>
      </c>
      <c r="BJ47" s="70">
        <f t="shared" si="21"/>
        <v>0</v>
      </c>
      <c r="BK47" s="71" t="e">
        <f t="shared" si="22"/>
        <v>#DIV/0!</v>
      </c>
      <c r="BL47" s="72"/>
      <c r="BM47" s="61">
        <f t="shared" si="24"/>
        <v>0</v>
      </c>
      <c r="BN47" s="69" t="e">
        <f t="shared" si="25"/>
        <v>#DIV/0!</v>
      </c>
      <c r="BO47" s="73">
        <f t="shared" si="26"/>
        <v>0</v>
      </c>
      <c r="BP47" s="69" t="e">
        <f t="shared" si="27"/>
        <v>#DIV/0!</v>
      </c>
      <c r="BQ47" s="61">
        <f t="shared" si="28"/>
        <v>0</v>
      </c>
      <c r="BR47" s="69" t="e">
        <f t="shared" si="29"/>
        <v>#DIV/0!</v>
      </c>
      <c r="BS47" s="64">
        <f t="shared" si="30"/>
        <v>0</v>
      </c>
      <c r="BT47" s="69" t="e">
        <f t="shared" si="31"/>
        <v>#DIV/0!</v>
      </c>
      <c r="BU47" s="65"/>
      <c r="BV47" s="74" t="e">
        <f t="shared" si="32"/>
        <v>#DIV/0!</v>
      </c>
      <c r="BW47" s="75">
        <f t="shared" si="33"/>
        <v>0</v>
      </c>
      <c r="BX47" s="69" t="e">
        <f t="shared" si="34"/>
        <v>#DIV/0!</v>
      </c>
      <c r="BY47" s="55"/>
      <c r="BZ47" s="55"/>
      <c r="CA47" s="55"/>
      <c r="CB47" s="55"/>
      <c r="CC47" s="64"/>
      <c r="CD47" s="64"/>
      <c r="CE47" s="64"/>
      <c r="CF47" s="76" t="e">
        <f t="shared" si="35"/>
        <v>#DIV/0!</v>
      </c>
      <c r="CG47" s="76" t="e">
        <f t="shared" si="36"/>
        <v>#DIV/0!</v>
      </c>
      <c r="CH47" s="76" t="e">
        <f t="shared" si="37"/>
        <v>#DIV/0!</v>
      </c>
      <c r="CI47" s="76" t="e">
        <f t="shared" si="38"/>
        <v>#DIV/0!</v>
      </c>
      <c r="CJ47" s="76" t="e">
        <f t="shared" si="39"/>
        <v>#DIV/0!</v>
      </c>
      <c r="CK47" s="63">
        <f t="shared" si="40"/>
        <v>0</v>
      </c>
      <c r="CL47" s="63">
        <f t="shared" si="41"/>
        <v>0</v>
      </c>
    </row>
    <row r="48" spans="1:90" ht="15" customHeight="1" x14ac:dyDescent="0.35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3">
        <f t="shared" ref="BG48:BH48" si="45">SUM(BG9:BG47)</f>
        <v>25541785.5</v>
      </c>
      <c r="BH48" s="143">
        <f t="shared" si="45"/>
        <v>17181193.200000007</v>
      </c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3">
        <f>SUM(BU9:BU47)</f>
        <v>6063602.8999999994</v>
      </c>
      <c r="BV48" s="144"/>
      <c r="BW48" s="143">
        <f>SUM(BW9:BW47)</f>
        <v>2296989.4000000004</v>
      </c>
      <c r="BX48" s="142"/>
      <c r="BY48" s="143">
        <f t="shared" ref="BY48:CE48" si="46">SUM(BY9:BY47)</f>
        <v>566044.19999999995</v>
      </c>
      <c r="BZ48" s="143">
        <f t="shared" si="46"/>
        <v>455071</v>
      </c>
      <c r="CA48" s="143">
        <f t="shared" si="46"/>
        <v>507116.5</v>
      </c>
      <c r="CB48" s="143">
        <f t="shared" si="46"/>
        <v>157170</v>
      </c>
      <c r="CC48" s="143">
        <f t="shared" si="46"/>
        <v>1979901.2</v>
      </c>
      <c r="CD48" s="143">
        <f t="shared" si="46"/>
        <v>20317.5</v>
      </c>
      <c r="CE48" s="143">
        <f t="shared" si="46"/>
        <v>759003.76</v>
      </c>
      <c r="CF48" s="142"/>
      <c r="CG48" s="142"/>
      <c r="CH48" s="142"/>
      <c r="CI48" s="142"/>
      <c r="CJ48" s="142"/>
      <c r="CK48" s="143">
        <f t="shared" ref="CK48:CL48" si="47">SUM(CK9:CK47)</f>
        <v>459397.88</v>
      </c>
      <c r="CL48" s="143">
        <f t="shared" si="47"/>
        <v>1837591.52</v>
      </c>
    </row>
    <row r="49" spans="1:90" ht="15" customHeight="1" x14ac:dyDescent="0.35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>
        <f>BH48/BG48</f>
        <v>0.67267001361357481</v>
      </c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>
        <f>BU48/BG48</f>
        <v>0.23739933529705665</v>
      </c>
      <c r="BV49" s="145"/>
      <c r="BW49" s="145">
        <f>BW48/BG48</f>
        <v>8.9930651089368846E-2</v>
      </c>
      <c r="BX49" s="145"/>
      <c r="BY49" s="146">
        <f>BY48/BG48</f>
        <v>2.2161496893003035E-2</v>
      </c>
      <c r="BZ49" s="146">
        <f>BZ48/BG48</f>
        <v>1.7816726242572196E-2</v>
      </c>
      <c r="CA49" s="146">
        <f>CA48/BG48</f>
        <v>1.9854387235379453E-2</v>
      </c>
      <c r="CB49" s="146">
        <f>CB48/BG48</f>
        <v>6.1534460854351779E-3</v>
      </c>
      <c r="CC49" s="146">
        <f>CC48/BG48</f>
        <v>7.7516162681735779E-2</v>
      </c>
      <c r="CD49" s="146">
        <f>CD48/BG48</f>
        <v>7.9546122568447688E-4</v>
      </c>
      <c r="CE49" s="146">
        <f>CE48/BG48</f>
        <v>2.9716159036728265E-2</v>
      </c>
      <c r="CF49" s="146"/>
      <c r="CG49" s="146"/>
      <c r="CH49" s="146"/>
      <c r="CI49" s="146"/>
      <c r="CJ49" s="146"/>
      <c r="CK49" s="146">
        <f>CK48/BG48</f>
        <v>1.7986130217873767E-2</v>
      </c>
      <c r="CL49" s="146">
        <f>CL48/BG48</f>
        <v>7.1944520871495068E-2</v>
      </c>
    </row>
    <row r="50" spans="1:90" ht="15" customHeight="1" x14ac:dyDescent="0.35">
      <c r="BV50" s="140"/>
      <c r="BY50" s="141"/>
      <c r="BZ50" s="141"/>
      <c r="CA50" s="141"/>
      <c r="CB50" s="141"/>
      <c r="CC50" s="141"/>
      <c r="CD50" s="141"/>
      <c r="CE50" s="141"/>
      <c r="CF50" s="141"/>
      <c r="CG50" s="141"/>
      <c r="CH50" s="141"/>
      <c r="CI50" s="141"/>
      <c r="CJ50" s="141"/>
      <c r="CK50" s="141"/>
      <c r="CL50" s="141"/>
    </row>
    <row r="51" spans="1:90" ht="15" customHeight="1" x14ac:dyDescent="0.35">
      <c r="BV51" s="140"/>
      <c r="BY51" s="141"/>
      <c r="BZ51" s="141"/>
      <c r="CA51" s="141"/>
      <c r="CB51" s="141"/>
      <c r="CC51" s="141"/>
      <c r="CD51" s="141"/>
      <c r="CE51" s="141"/>
      <c r="CF51" s="141"/>
      <c r="CG51" s="141"/>
      <c r="CH51" s="141"/>
      <c r="CI51" s="141"/>
      <c r="CJ51" s="141"/>
      <c r="CK51" s="141"/>
      <c r="CL51" s="141"/>
    </row>
    <row r="52" spans="1:90" ht="15" customHeight="1" x14ac:dyDescent="0.35">
      <c r="BV52" s="140"/>
      <c r="BY52" s="141"/>
      <c r="BZ52" s="141"/>
      <c r="CA52" s="141"/>
      <c r="CB52" s="141"/>
      <c r="CC52" s="141"/>
      <c r="CD52" s="141"/>
      <c r="CE52" s="141"/>
      <c r="CF52" s="141"/>
      <c r="CG52" s="141"/>
      <c r="CH52" s="141"/>
      <c r="CI52" s="141"/>
      <c r="CJ52" s="141"/>
      <c r="CK52" s="141"/>
      <c r="CL52" s="141"/>
    </row>
    <row r="53" spans="1:90" ht="15" customHeight="1" x14ac:dyDescent="0.35">
      <c r="BV53" s="140"/>
      <c r="BY53" s="141"/>
      <c r="BZ53" s="141"/>
      <c r="CA53" s="141"/>
      <c r="CB53" s="141"/>
      <c r="CC53" s="141"/>
      <c r="CD53" s="141"/>
      <c r="CE53" s="141"/>
      <c r="CF53" s="141"/>
      <c r="CG53" s="141"/>
      <c r="CH53" s="141"/>
      <c r="CI53" s="141"/>
      <c r="CJ53" s="141"/>
      <c r="CK53" s="141"/>
      <c r="CL53" s="141"/>
    </row>
    <row r="54" spans="1:90" ht="15" customHeight="1" x14ac:dyDescent="0.35">
      <c r="BV54" s="140"/>
      <c r="BY54" s="141"/>
      <c r="BZ54" s="141"/>
      <c r="CA54" s="141"/>
      <c r="CB54" s="141"/>
      <c r="CC54" s="141"/>
      <c r="CD54" s="141"/>
      <c r="CE54" s="141"/>
      <c r="CF54" s="141"/>
      <c r="CG54" s="141"/>
      <c r="CH54" s="141"/>
      <c r="CI54" s="141"/>
      <c r="CJ54" s="141"/>
      <c r="CK54" s="141"/>
      <c r="CL54" s="141"/>
    </row>
    <row r="55" spans="1:90" ht="15" customHeight="1" x14ac:dyDescent="0.35">
      <c r="A55" s="1"/>
      <c r="BV55" s="140"/>
      <c r="BY55" s="141"/>
      <c r="BZ55" s="141"/>
      <c r="CA55" s="141"/>
      <c r="CB55" s="141"/>
      <c r="CC55" s="141"/>
      <c r="CD55" s="141"/>
      <c r="CE55" s="141"/>
      <c r="CF55" s="141"/>
      <c r="CG55" s="141"/>
      <c r="CH55" s="141"/>
      <c r="CI55" s="141"/>
      <c r="CJ55" s="141"/>
      <c r="CK55" s="141"/>
      <c r="CL55" s="141"/>
    </row>
    <row r="56" spans="1:90" ht="15" customHeight="1" x14ac:dyDescent="0.35">
      <c r="BV56" s="140"/>
      <c r="BY56" s="141"/>
      <c r="BZ56" s="141"/>
      <c r="CA56" s="141"/>
      <c r="CB56" s="141"/>
      <c r="CC56" s="141"/>
      <c r="CD56" s="141"/>
      <c r="CE56" s="141"/>
      <c r="CF56" s="141"/>
      <c r="CG56" s="141"/>
      <c r="CH56" s="141"/>
      <c r="CI56" s="141"/>
      <c r="CJ56" s="141"/>
      <c r="CK56" s="141"/>
      <c r="CL56" s="141"/>
    </row>
    <row r="57" spans="1:90" ht="15" customHeight="1" x14ac:dyDescent="0.35">
      <c r="BV57" s="140"/>
      <c r="BY57" s="141"/>
      <c r="BZ57" s="141"/>
      <c r="CA57" s="141"/>
      <c r="CB57" s="141"/>
      <c r="CC57" s="141"/>
      <c r="CD57" s="141"/>
      <c r="CE57" s="141"/>
      <c r="CF57" s="141"/>
      <c r="CG57" s="141"/>
      <c r="CH57" s="141"/>
      <c r="CI57" s="141"/>
      <c r="CJ57" s="141"/>
      <c r="CK57" s="141"/>
      <c r="CL57" s="141"/>
    </row>
    <row r="58" spans="1:90" ht="15" customHeight="1" x14ac:dyDescent="0.35">
      <c r="BV58" s="140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</row>
    <row r="59" spans="1:90" ht="15" customHeight="1" x14ac:dyDescent="0.35">
      <c r="BV59" s="140"/>
      <c r="BY59" s="141"/>
      <c r="BZ59" s="141"/>
      <c r="CA59" s="141"/>
      <c r="CB59" s="141"/>
      <c r="CC59" s="141"/>
      <c r="CD59" s="141"/>
      <c r="CE59" s="141"/>
      <c r="CF59" s="141"/>
      <c r="CG59" s="141"/>
      <c r="CH59" s="141"/>
      <c r="CI59" s="141"/>
      <c r="CJ59" s="141"/>
      <c r="CK59" s="141"/>
      <c r="CL59" s="141"/>
    </row>
    <row r="60" spans="1:90" ht="15" customHeight="1" x14ac:dyDescent="0.35">
      <c r="BV60" s="140"/>
      <c r="BY60" s="141"/>
      <c r="BZ60" s="141"/>
      <c r="CA60" s="141"/>
      <c r="CB60" s="141"/>
      <c r="CC60" s="141"/>
      <c r="CD60" s="141"/>
      <c r="CE60" s="141"/>
      <c r="CF60" s="141"/>
      <c r="CG60" s="141"/>
      <c r="CH60" s="141"/>
      <c r="CI60" s="141"/>
      <c r="CJ60" s="141"/>
      <c r="CK60" s="141"/>
      <c r="CL60" s="141"/>
    </row>
    <row r="61" spans="1:90" ht="15" customHeight="1" x14ac:dyDescent="0.35">
      <c r="BV61" s="140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</row>
    <row r="62" spans="1:90" ht="15" customHeight="1" x14ac:dyDescent="0.35">
      <c r="BV62" s="140"/>
      <c r="BY62" s="141"/>
      <c r="BZ62" s="141"/>
      <c r="CA62" s="141"/>
      <c r="CB62" s="141"/>
      <c r="CC62" s="141"/>
      <c r="CD62" s="141"/>
      <c r="CE62" s="141"/>
      <c r="CF62" s="141"/>
      <c r="CG62" s="141"/>
      <c r="CH62" s="141"/>
      <c r="CI62" s="141"/>
      <c r="CJ62" s="141"/>
      <c r="CK62" s="141"/>
      <c r="CL62" s="141"/>
    </row>
    <row r="63" spans="1:90" ht="15" customHeight="1" x14ac:dyDescent="0.35">
      <c r="BV63" s="140"/>
      <c r="BY63" s="141"/>
      <c r="BZ63" s="141"/>
      <c r="CA63" s="141"/>
      <c r="CB63" s="141"/>
      <c r="CC63" s="141"/>
      <c r="CD63" s="141"/>
      <c r="CE63" s="141"/>
      <c r="CF63" s="141"/>
      <c r="CG63" s="141"/>
      <c r="CH63" s="141"/>
      <c r="CI63" s="141"/>
      <c r="CJ63" s="141"/>
      <c r="CK63" s="141"/>
      <c r="CL63" s="141"/>
    </row>
    <row r="64" spans="1:90" ht="15" customHeight="1" x14ac:dyDescent="0.35">
      <c r="BV64" s="140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</row>
    <row r="65" spans="74:90" ht="15" customHeight="1" x14ac:dyDescent="0.35">
      <c r="BV65" s="140"/>
      <c r="BY65" s="141"/>
      <c r="BZ65" s="141"/>
      <c r="CA65" s="141"/>
      <c r="CB65" s="141"/>
      <c r="CC65" s="141"/>
      <c r="CD65" s="141"/>
      <c r="CE65" s="141"/>
      <c r="CF65" s="141"/>
      <c r="CG65" s="141"/>
      <c r="CH65" s="141"/>
      <c r="CI65" s="141"/>
      <c r="CJ65" s="141"/>
      <c r="CK65" s="141"/>
      <c r="CL65" s="141"/>
    </row>
    <row r="66" spans="74:90" ht="15" customHeight="1" x14ac:dyDescent="0.35">
      <c r="BV66" s="140"/>
      <c r="BY66" s="141"/>
      <c r="BZ66" s="141"/>
      <c r="CA66" s="141"/>
      <c r="CB66" s="141"/>
      <c r="CC66" s="141"/>
      <c r="CD66" s="141"/>
      <c r="CE66" s="141"/>
      <c r="CF66" s="141"/>
      <c r="CG66" s="141"/>
      <c r="CH66" s="141"/>
      <c r="CI66" s="141"/>
      <c r="CJ66" s="141"/>
      <c r="CK66" s="141"/>
      <c r="CL66" s="141"/>
    </row>
    <row r="67" spans="74:90" ht="15" customHeight="1" x14ac:dyDescent="0.35">
      <c r="BV67" s="140"/>
      <c r="BY67" s="141"/>
      <c r="BZ67" s="141"/>
      <c r="CA67" s="141"/>
      <c r="CB67" s="141"/>
      <c r="CC67" s="141"/>
      <c r="CD67" s="141"/>
      <c r="CE67" s="141"/>
      <c r="CF67" s="141"/>
      <c r="CG67" s="141"/>
      <c r="CH67" s="141"/>
      <c r="CI67" s="141"/>
      <c r="CJ67" s="141"/>
      <c r="CK67" s="141"/>
      <c r="CL67" s="141"/>
    </row>
    <row r="68" spans="74:90" ht="15" customHeight="1" x14ac:dyDescent="0.35">
      <c r="BV68" s="140"/>
      <c r="BY68" s="141"/>
      <c r="BZ68" s="141"/>
      <c r="CA68" s="141"/>
      <c r="CB68" s="141"/>
      <c r="CC68" s="141"/>
      <c r="CD68" s="141"/>
      <c r="CE68" s="141"/>
      <c r="CF68" s="141"/>
      <c r="CG68" s="141"/>
      <c r="CH68" s="141"/>
      <c r="CI68" s="141"/>
      <c r="CJ68" s="141"/>
      <c r="CK68" s="141"/>
      <c r="CL68" s="141"/>
    </row>
    <row r="69" spans="74:90" ht="15" customHeight="1" x14ac:dyDescent="0.35">
      <c r="BV69" s="140"/>
      <c r="BY69" s="141"/>
      <c r="BZ69" s="141"/>
      <c r="CA69" s="141"/>
      <c r="CB69" s="141"/>
      <c r="CC69" s="141"/>
      <c r="CD69" s="141"/>
      <c r="CE69" s="141"/>
      <c r="CF69" s="141"/>
      <c r="CG69" s="141"/>
      <c r="CH69" s="141"/>
      <c r="CI69" s="141"/>
      <c r="CJ69" s="141"/>
      <c r="CK69" s="141"/>
      <c r="CL69" s="141"/>
    </row>
    <row r="70" spans="74:90" ht="15" customHeight="1" x14ac:dyDescent="0.35">
      <c r="BV70" s="140"/>
      <c r="BY70" s="141"/>
      <c r="BZ70" s="141"/>
      <c r="CA70" s="141"/>
      <c r="CB70" s="141"/>
      <c r="CC70" s="141"/>
      <c r="CD70" s="141"/>
      <c r="CE70" s="141"/>
      <c r="CF70" s="141"/>
      <c r="CG70" s="141"/>
      <c r="CH70" s="141"/>
      <c r="CI70" s="141"/>
      <c r="CJ70" s="141"/>
      <c r="CK70" s="141"/>
      <c r="CL70" s="141"/>
    </row>
    <row r="71" spans="74:90" ht="15" customHeight="1" x14ac:dyDescent="0.35">
      <c r="BV71" s="140"/>
      <c r="BY71" s="141"/>
      <c r="BZ71" s="141"/>
      <c r="CA71" s="141"/>
      <c r="CB71" s="141"/>
      <c r="CC71" s="141"/>
      <c r="CD71" s="141"/>
      <c r="CE71" s="141"/>
      <c r="CF71" s="141"/>
      <c r="CG71" s="141"/>
      <c r="CH71" s="141"/>
      <c r="CI71" s="141"/>
      <c r="CJ71" s="141"/>
      <c r="CK71" s="141"/>
      <c r="CL71" s="141"/>
    </row>
    <row r="72" spans="74:90" ht="15" customHeight="1" x14ac:dyDescent="0.35">
      <c r="BV72" s="140"/>
      <c r="BY72" s="141"/>
      <c r="BZ72" s="141"/>
      <c r="CA72" s="141"/>
      <c r="CB72" s="141"/>
      <c r="CC72" s="141"/>
      <c r="CD72" s="141"/>
      <c r="CE72" s="141"/>
      <c r="CF72" s="141"/>
      <c r="CG72" s="141"/>
      <c r="CH72" s="141"/>
      <c r="CI72" s="141"/>
      <c r="CJ72" s="141"/>
      <c r="CK72" s="141"/>
      <c r="CL72" s="141"/>
    </row>
    <row r="73" spans="74:90" ht="15" customHeight="1" x14ac:dyDescent="0.35">
      <c r="BV73" s="140"/>
      <c r="BY73" s="141"/>
      <c r="BZ73" s="141"/>
      <c r="CA73" s="141"/>
      <c r="CB73" s="141"/>
      <c r="CC73" s="141"/>
      <c r="CD73" s="141"/>
      <c r="CE73" s="141"/>
      <c r="CF73" s="141"/>
      <c r="CG73" s="141"/>
      <c r="CH73" s="141"/>
      <c r="CI73" s="141"/>
      <c r="CJ73" s="141"/>
      <c r="CK73" s="141"/>
      <c r="CL73" s="141"/>
    </row>
    <row r="74" spans="74:90" ht="15" customHeight="1" x14ac:dyDescent="0.35">
      <c r="BV74" s="140"/>
      <c r="BY74" s="141"/>
      <c r="BZ74" s="141"/>
      <c r="CA74" s="141"/>
      <c r="CB74" s="141"/>
      <c r="CC74" s="141"/>
      <c r="CD74" s="141"/>
      <c r="CE74" s="141"/>
      <c r="CF74" s="141"/>
      <c r="CG74" s="141"/>
      <c r="CH74" s="141"/>
      <c r="CI74" s="141"/>
      <c r="CJ74" s="141"/>
      <c r="CK74" s="141"/>
      <c r="CL74" s="141"/>
    </row>
    <row r="75" spans="74:90" ht="15" customHeight="1" x14ac:dyDescent="0.35">
      <c r="BV75" s="140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/>
      <c r="CK75" s="141"/>
      <c r="CL75" s="141"/>
    </row>
    <row r="76" spans="74:90" ht="15" customHeight="1" x14ac:dyDescent="0.35">
      <c r="BV76" s="140"/>
      <c r="BY76" s="141"/>
      <c r="BZ76" s="141"/>
      <c r="CA76" s="141"/>
      <c r="CB76" s="141"/>
      <c r="CC76" s="141"/>
      <c r="CD76" s="141"/>
      <c r="CE76" s="141"/>
      <c r="CF76" s="141"/>
      <c r="CG76" s="141"/>
      <c r="CH76" s="141"/>
      <c r="CI76" s="141"/>
      <c r="CJ76" s="141"/>
      <c r="CK76" s="141"/>
      <c r="CL76" s="141"/>
    </row>
    <row r="77" spans="74:90" ht="15" customHeight="1" x14ac:dyDescent="0.35">
      <c r="BV77" s="140"/>
      <c r="BY77" s="141"/>
      <c r="BZ77" s="141"/>
      <c r="CA77" s="141"/>
      <c r="CB77" s="141"/>
      <c r="CC77" s="141"/>
      <c r="CD77" s="141"/>
      <c r="CE77" s="141"/>
      <c r="CF77" s="141"/>
      <c r="CG77" s="141"/>
      <c r="CH77" s="141"/>
      <c r="CI77" s="141"/>
      <c r="CJ77" s="141"/>
      <c r="CK77" s="141"/>
      <c r="CL77" s="141"/>
    </row>
    <row r="78" spans="74:90" ht="15" customHeight="1" x14ac:dyDescent="0.35">
      <c r="BV78" s="140"/>
      <c r="BY78" s="141"/>
      <c r="BZ78" s="141"/>
      <c r="CA78" s="141"/>
      <c r="CB78" s="141"/>
      <c r="CC78" s="141"/>
      <c r="CD78" s="141"/>
      <c r="CE78" s="141"/>
      <c r="CF78" s="141"/>
      <c r="CG78" s="141"/>
      <c r="CH78" s="141"/>
      <c r="CI78" s="141"/>
      <c r="CJ78" s="141"/>
      <c r="CK78" s="141"/>
      <c r="CL78" s="141"/>
    </row>
    <row r="79" spans="74:90" ht="15" customHeight="1" x14ac:dyDescent="0.35">
      <c r="BV79" s="140"/>
      <c r="BY79" s="141"/>
      <c r="BZ79" s="141"/>
      <c r="CA79" s="141"/>
      <c r="CB79" s="141"/>
      <c r="CC79" s="141"/>
      <c r="CD79" s="141"/>
      <c r="CE79" s="141"/>
      <c r="CF79" s="141"/>
      <c r="CG79" s="141"/>
      <c r="CH79" s="141"/>
      <c r="CI79" s="141"/>
      <c r="CJ79" s="141"/>
      <c r="CK79" s="141"/>
      <c r="CL79" s="141"/>
    </row>
    <row r="80" spans="74:90" ht="15" customHeight="1" x14ac:dyDescent="0.35">
      <c r="BV80" s="140"/>
      <c r="BY80" s="141"/>
      <c r="BZ80" s="141"/>
      <c r="CA80" s="141"/>
      <c r="CB80" s="141"/>
      <c r="CC80" s="141"/>
      <c r="CD80" s="141"/>
      <c r="CE80" s="141"/>
      <c r="CF80" s="141"/>
      <c r="CG80" s="141"/>
      <c r="CH80" s="141"/>
      <c r="CI80" s="141"/>
      <c r="CJ80" s="141"/>
      <c r="CK80" s="141"/>
      <c r="CL80" s="141"/>
    </row>
    <row r="81" spans="74:90" ht="15" customHeight="1" x14ac:dyDescent="0.35">
      <c r="BV81" s="140"/>
      <c r="BY81" s="141"/>
      <c r="BZ81" s="141"/>
      <c r="CA81" s="141"/>
      <c r="CB81" s="141"/>
      <c r="CC81" s="141"/>
      <c r="CD81" s="141"/>
      <c r="CE81" s="141"/>
      <c r="CF81" s="141"/>
      <c r="CG81" s="141"/>
      <c r="CH81" s="141"/>
      <c r="CI81" s="141"/>
      <c r="CJ81" s="141"/>
      <c r="CK81" s="141"/>
      <c r="CL81" s="141"/>
    </row>
    <row r="82" spans="74:90" ht="15" customHeight="1" x14ac:dyDescent="0.35">
      <c r="BV82" s="140"/>
      <c r="BY82" s="141"/>
      <c r="BZ82" s="141"/>
      <c r="CA82" s="141"/>
      <c r="CB82" s="141"/>
      <c r="CC82" s="141"/>
      <c r="CD82" s="141"/>
      <c r="CE82" s="141"/>
      <c r="CF82" s="141"/>
      <c r="CG82" s="141"/>
      <c r="CH82" s="141"/>
      <c r="CI82" s="141"/>
      <c r="CJ82" s="141"/>
      <c r="CK82" s="141"/>
      <c r="CL82" s="141"/>
    </row>
    <row r="83" spans="74:90" ht="15" customHeight="1" x14ac:dyDescent="0.35">
      <c r="BV83" s="140"/>
      <c r="BY83" s="141"/>
      <c r="BZ83" s="141"/>
      <c r="CA83" s="141"/>
      <c r="CB83" s="141"/>
      <c r="CC83" s="141"/>
      <c r="CD83" s="141"/>
      <c r="CE83" s="141"/>
      <c r="CF83" s="141"/>
      <c r="CG83" s="141"/>
      <c r="CH83" s="141"/>
      <c r="CI83" s="141"/>
      <c r="CJ83" s="141"/>
      <c r="CK83" s="141"/>
      <c r="CL83" s="141"/>
    </row>
    <row r="84" spans="74:90" ht="15" customHeight="1" x14ac:dyDescent="0.35">
      <c r="BV84" s="140"/>
      <c r="BY84" s="141"/>
      <c r="BZ84" s="141"/>
      <c r="CA84" s="141"/>
      <c r="CB84" s="141"/>
      <c r="CC84" s="141"/>
      <c r="CD84" s="141"/>
      <c r="CE84" s="141"/>
      <c r="CF84" s="141"/>
      <c r="CG84" s="141"/>
      <c r="CH84" s="141"/>
      <c r="CI84" s="141"/>
      <c r="CJ84" s="141"/>
      <c r="CK84" s="141"/>
      <c r="CL84" s="141"/>
    </row>
    <row r="85" spans="74:90" ht="15" customHeight="1" x14ac:dyDescent="0.35">
      <c r="BV85" s="140"/>
      <c r="BY85" s="141"/>
      <c r="BZ85" s="141"/>
      <c r="CA85" s="141"/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  <c r="CL85" s="141"/>
    </row>
    <row r="86" spans="74:90" ht="15" customHeight="1" x14ac:dyDescent="0.35">
      <c r="BV86" s="140"/>
      <c r="BY86" s="141"/>
      <c r="BZ86" s="141"/>
      <c r="CA86" s="141"/>
      <c r="CB86" s="141"/>
      <c r="CC86" s="141"/>
      <c r="CD86" s="141"/>
      <c r="CE86" s="141"/>
      <c r="CF86" s="141"/>
      <c r="CG86" s="141"/>
      <c r="CH86" s="141"/>
      <c r="CI86" s="141"/>
      <c r="CJ86" s="141"/>
      <c r="CK86" s="141"/>
      <c r="CL86" s="141"/>
    </row>
    <row r="87" spans="74:90" ht="15" customHeight="1" x14ac:dyDescent="0.35">
      <c r="BV87" s="140"/>
      <c r="BY87" s="141"/>
      <c r="BZ87" s="141"/>
      <c r="CA87" s="141"/>
      <c r="CB87" s="141"/>
      <c r="CC87" s="141"/>
      <c r="CD87" s="141"/>
      <c r="CE87" s="141"/>
      <c r="CF87" s="141"/>
      <c r="CG87" s="141"/>
      <c r="CH87" s="141"/>
      <c r="CI87" s="141"/>
      <c r="CJ87" s="141"/>
      <c r="CK87" s="141"/>
      <c r="CL87" s="141"/>
    </row>
    <row r="88" spans="74:90" ht="15" customHeight="1" x14ac:dyDescent="0.35">
      <c r="BV88" s="140"/>
      <c r="BY88" s="141"/>
      <c r="BZ88" s="141"/>
      <c r="CA88" s="141"/>
      <c r="CB88" s="141"/>
      <c r="CC88" s="141"/>
      <c r="CD88" s="141"/>
      <c r="CE88" s="141"/>
      <c r="CF88" s="141"/>
      <c r="CG88" s="141"/>
      <c r="CH88" s="141"/>
      <c r="CI88" s="141"/>
      <c r="CJ88" s="141"/>
      <c r="CK88" s="141"/>
      <c r="CL88" s="141"/>
    </row>
    <row r="89" spans="74:90" ht="15" customHeight="1" x14ac:dyDescent="0.35">
      <c r="BV89" s="140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  <c r="CL89" s="141"/>
    </row>
    <row r="90" spans="74:90" ht="15" customHeight="1" x14ac:dyDescent="0.35">
      <c r="BV90" s="140"/>
      <c r="BY90" s="141"/>
      <c r="BZ90" s="141"/>
      <c r="CA90" s="141"/>
      <c r="CB90" s="141"/>
      <c r="CC90" s="141"/>
      <c r="CD90" s="141"/>
      <c r="CE90" s="141"/>
      <c r="CF90" s="141"/>
      <c r="CG90" s="141"/>
      <c r="CH90" s="141"/>
      <c r="CI90" s="141"/>
      <c r="CJ90" s="141"/>
      <c r="CK90" s="141"/>
      <c r="CL90" s="141"/>
    </row>
    <row r="91" spans="74:90" ht="15" customHeight="1" x14ac:dyDescent="0.35">
      <c r="BV91" s="140"/>
      <c r="BY91" s="141"/>
      <c r="BZ91" s="141"/>
      <c r="CA91" s="141"/>
      <c r="CB91" s="141"/>
      <c r="CC91" s="141"/>
      <c r="CD91" s="141"/>
      <c r="CE91" s="141"/>
      <c r="CF91" s="141"/>
      <c r="CG91" s="141"/>
      <c r="CH91" s="141"/>
      <c r="CI91" s="141"/>
      <c r="CJ91" s="141"/>
      <c r="CK91" s="141"/>
      <c r="CL91" s="141"/>
    </row>
    <row r="92" spans="74:90" ht="15" customHeight="1" x14ac:dyDescent="0.35">
      <c r="BV92" s="140"/>
      <c r="BY92" s="141"/>
      <c r="BZ92" s="141"/>
      <c r="CA92" s="141"/>
      <c r="CB92" s="141"/>
      <c r="CC92" s="141"/>
      <c r="CD92" s="141"/>
      <c r="CE92" s="141"/>
      <c r="CF92" s="141"/>
      <c r="CG92" s="141"/>
      <c r="CH92" s="141"/>
      <c r="CI92" s="141"/>
      <c r="CJ92" s="141"/>
      <c r="CK92" s="141"/>
      <c r="CL92" s="141"/>
    </row>
    <row r="93" spans="74:90" ht="15" customHeight="1" x14ac:dyDescent="0.35">
      <c r="BV93" s="140"/>
      <c r="BY93" s="141"/>
      <c r="BZ93" s="141"/>
      <c r="CA93" s="141"/>
      <c r="CB93" s="141"/>
      <c r="CC93" s="141"/>
      <c r="CD93" s="141"/>
      <c r="CE93" s="141"/>
      <c r="CF93" s="141"/>
      <c r="CG93" s="141"/>
      <c r="CH93" s="141"/>
      <c r="CI93" s="141"/>
      <c r="CJ93" s="141"/>
      <c r="CK93" s="141"/>
      <c r="CL93" s="141"/>
    </row>
    <row r="94" spans="74:90" ht="15" customHeight="1" x14ac:dyDescent="0.35">
      <c r="BV94" s="140"/>
      <c r="BY94" s="141"/>
      <c r="BZ94" s="141"/>
      <c r="CA94" s="141"/>
      <c r="CB94" s="141"/>
      <c r="CC94" s="141"/>
      <c r="CD94" s="141"/>
      <c r="CE94" s="141"/>
      <c r="CF94" s="141"/>
      <c r="CG94" s="141"/>
      <c r="CH94" s="141"/>
      <c r="CI94" s="141"/>
      <c r="CJ94" s="141"/>
      <c r="CK94" s="141"/>
      <c r="CL94" s="141"/>
    </row>
    <row r="95" spans="74:90" ht="15" customHeight="1" x14ac:dyDescent="0.35">
      <c r="BV95" s="140"/>
      <c r="BY95" s="141"/>
      <c r="BZ95" s="141"/>
      <c r="CA95" s="141"/>
      <c r="CB95" s="141"/>
      <c r="CC95" s="141"/>
      <c r="CD95" s="141"/>
      <c r="CE95" s="141"/>
      <c r="CF95" s="141"/>
      <c r="CG95" s="141"/>
      <c r="CH95" s="141"/>
      <c r="CI95" s="141"/>
      <c r="CJ95" s="141"/>
      <c r="CK95" s="141"/>
      <c r="CL95" s="141"/>
    </row>
    <row r="96" spans="74:90" ht="15" customHeight="1" x14ac:dyDescent="0.35">
      <c r="BV96" s="140"/>
      <c r="BY96" s="141"/>
      <c r="BZ96" s="141"/>
      <c r="CA96" s="141"/>
      <c r="CB96" s="141"/>
      <c r="CC96" s="141"/>
      <c r="CD96" s="141"/>
      <c r="CE96" s="141"/>
      <c r="CF96" s="141"/>
      <c r="CG96" s="141"/>
      <c r="CH96" s="141"/>
      <c r="CI96" s="141"/>
      <c r="CJ96" s="141"/>
      <c r="CK96" s="141"/>
      <c r="CL96" s="141"/>
    </row>
    <row r="97" spans="74:90" ht="15" customHeight="1" x14ac:dyDescent="0.35">
      <c r="BV97" s="140"/>
      <c r="BY97" s="141"/>
      <c r="BZ97" s="141"/>
      <c r="CA97" s="141"/>
      <c r="CB97" s="141"/>
      <c r="CC97" s="141"/>
      <c r="CD97" s="141"/>
      <c r="CE97" s="141"/>
      <c r="CF97" s="141"/>
      <c r="CG97" s="141"/>
      <c r="CH97" s="141"/>
      <c r="CI97" s="141"/>
      <c r="CJ97" s="141"/>
      <c r="CK97" s="141"/>
      <c r="CL97" s="141"/>
    </row>
    <row r="98" spans="74:90" ht="15" customHeight="1" x14ac:dyDescent="0.35">
      <c r="BV98" s="140"/>
      <c r="BY98" s="141"/>
      <c r="BZ98" s="141"/>
      <c r="CA98" s="141"/>
      <c r="CB98" s="141"/>
      <c r="CC98" s="141"/>
      <c r="CD98" s="141"/>
      <c r="CE98" s="141"/>
      <c r="CF98" s="141"/>
      <c r="CG98" s="141"/>
      <c r="CH98" s="141"/>
      <c r="CI98" s="141"/>
      <c r="CJ98" s="141"/>
      <c r="CK98" s="141"/>
      <c r="CL98" s="141"/>
    </row>
    <row r="99" spans="74:90" ht="15" customHeight="1" x14ac:dyDescent="0.35">
      <c r="BV99" s="140"/>
      <c r="BY99" s="141"/>
      <c r="BZ99" s="141"/>
      <c r="CA99" s="141"/>
      <c r="CB99" s="141"/>
      <c r="CC99" s="141"/>
      <c r="CD99" s="141"/>
      <c r="CE99" s="141"/>
      <c r="CF99" s="141"/>
      <c r="CG99" s="141"/>
      <c r="CH99" s="141"/>
      <c r="CI99" s="141"/>
      <c r="CJ99" s="141"/>
      <c r="CK99" s="141"/>
      <c r="CL99" s="141"/>
    </row>
    <row r="100" spans="74:90" ht="15" customHeight="1" x14ac:dyDescent="0.35">
      <c r="BV100" s="140"/>
      <c r="BY100" s="141"/>
      <c r="BZ100" s="141"/>
      <c r="CA100" s="141"/>
      <c r="CB100" s="141"/>
      <c r="CC100" s="141"/>
      <c r="CD100" s="141"/>
      <c r="CE100" s="141"/>
      <c r="CF100" s="141"/>
      <c r="CG100" s="141"/>
      <c r="CH100" s="141"/>
      <c r="CI100" s="141"/>
      <c r="CJ100" s="141"/>
      <c r="CK100" s="141"/>
      <c r="CL100" s="141"/>
    </row>
    <row r="101" spans="74:90" ht="15" customHeight="1" x14ac:dyDescent="0.35">
      <c r="BV101" s="140"/>
      <c r="BY101" s="141"/>
      <c r="BZ101" s="141"/>
      <c r="CA101" s="141"/>
      <c r="CB101" s="141"/>
      <c r="CC101" s="141"/>
      <c r="CD101" s="141"/>
      <c r="CE101" s="141"/>
      <c r="CF101" s="141"/>
      <c r="CG101" s="141"/>
      <c r="CH101" s="141"/>
      <c r="CI101" s="141"/>
      <c r="CJ101" s="141"/>
      <c r="CK101" s="141"/>
      <c r="CL101" s="141"/>
    </row>
    <row r="102" spans="74:90" ht="15" customHeight="1" x14ac:dyDescent="0.35">
      <c r="BV102" s="140"/>
      <c r="BY102" s="141"/>
      <c r="BZ102" s="141"/>
      <c r="CA102" s="141"/>
      <c r="CB102" s="141"/>
      <c r="CC102" s="141"/>
      <c r="CD102" s="141"/>
      <c r="CE102" s="141"/>
      <c r="CF102" s="141"/>
      <c r="CG102" s="141"/>
      <c r="CH102" s="141"/>
      <c r="CI102" s="141"/>
      <c r="CJ102" s="141"/>
      <c r="CK102" s="141"/>
      <c r="CL102" s="141"/>
    </row>
    <row r="103" spans="74:90" ht="15" customHeight="1" x14ac:dyDescent="0.35">
      <c r="BV103" s="140"/>
      <c r="BY103" s="141"/>
      <c r="BZ103" s="141"/>
      <c r="CA103" s="141"/>
      <c r="CB103" s="141"/>
      <c r="CC103" s="141"/>
      <c r="CD103" s="141"/>
      <c r="CE103" s="141"/>
      <c r="CF103" s="141"/>
      <c r="CG103" s="141"/>
      <c r="CH103" s="141"/>
      <c r="CI103" s="141"/>
      <c r="CJ103" s="141"/>
      <c r="CK103" s="141"/>
      <c r="CL103" s="141"/>
    </row>
    <row r="104" spans="74:90" ht="15" customHeight="1" x14ac:dyDescent="0.35">
      <c r="BV104" s="140"/>
      <c r="BY104" s="141"/>
      <c r="BZ104" s="141"/>
      <c r="CA104" s="141"/>
      <c r="CB104" s="141"/>
      <c r="CC104" s="141"/>
      <c r="CD104" s="141"/>
      <c r="CE104" s="141"/>
      <c r="CF104" s="141"/>
      <c r="CG104" s="141"/>
      <c r="CH104" s="141"/>
      <c r="CI104" s="141"/>
      <c r="CJ104" s="141"/>
      <c r="CK104" s="141"/>
      <c r="CL104" s="141"/>
    </row>
    <row r="105" spans="74:90" ht="15" customHeight="1" x14ac:dyDescent="0.35">
      <c r="BV105" s="140"/>
      <c r="BY105" s="141"/>
      <c r="BZ105" s="141"/>
      <c r="CA105" s="141"/>
      <c r="CB105" s="141"/>
      <c r="CC105" s="141"/>
      <c r="CD105" s="141"/>
      <c r="CE105" s="141"/>
      <c r="CF105" s="141"/>
      <c r="CG105" s="141"/>
      <c r="CH105" s="141"/>
      <c r="CI105" s="141"/>
      <c r="CJ105" s="141"/>
      <c r="CK105" s="141"/>
      <c r="CL105" s="141"/>
    </row>
    <row r="106" spans="74:90" ht="15" customHeight="1" x14ac:dyDescent="0.35">
      <c r="BV106" s="140"/>
      <c r="BY106" s="141"/>
      <c r="BZ106" s="141"/>
      <c r="CA106" s="141"/>
      <c r="CB106" s="141"/>
      <c r="CC106" s="141"/>
      <c r="CD106" s="141"/>
      <c r="CE106" s="141"/>
      <c r="CF106" s="141"/>
      <c r="CG106" s="141"/>
      <c r="CH106" s="141"/>
      <c r="CI106" s="141"/>
      <c r="CJ106" s="141"/>
      <c r="CK106" s="141"/>
      <c r="CL106" s="141"/>
    </row>
    <row r="107" spans="74:90" ht="15" customHeight="1" x14ac:dyDescent="0.35">
      <c r="BV107" s="140"/>
      <c r="BY107" s="141"/>
      <c r="BZ107" s="141"/>
      <c r="CA107" s="141"/>
      <c r="CB107" s="141"/>
      <c r="CC107" s="141"/>
      <c r="CD107" s="141"/>
      <c r="CE107" s="141"/>
      <c r="CF107" s="141"/>
      <c r="CG107" s="141"/>
      <c r="CH107" s="141"/>
      <c r="CI107" s="141"/>
      <c r="CJ107" s="141"/>
      <c r="CK107" s="141"/>
      <c r="CL107" s="141"/>
    </row>
    <row r="108" spans="74:90" ht="15" customHeight="1" x14ac:dyDescent="0.35">
      <c r="BV108" s="140"/>
      <c r="BY108" s="141"/>
      <c r="BZ108" s="141"/>
      <c r="CA108" s="141"/>
      <c r="CB108" s="141"/>
      <c r="CC108" s="141"/>
      <c r="CD108" s="141"/>
      <c r="CE108" s="141"/>
      <c r="CF108" s="141"/>
      <c r="CG108" s="141"/>
      <c r="CH108" s="141"/>
      <c r="CI108" s="141"/>
      <c r="CJ108" s="141"/>
      <c r="CK108" s="141"/>
      <c r="CL108" s="141"/>
    </row>
    <row r="109" spans="74:90" ht="15" customHeight="1" x14ac:dyDescent="0.35">
      <c r="BV109" s="140"/>
      <c r="BY109" s="141"/>
      <c r="BZ109" s="141"/>
      <c r="CA109" s="141"/>
      <c r="CB109" s="141"/>
      <c r="CC109" s="141"/>
      <c r="CD109" s="141"/>
      <c r="CE109" s="141"/>
      <c r="CF109" s="141"/>
      <c r="CG109" s="141"/>
      <c r="CH109" s="141"/>
      <c r="CI109" s="141"/>
      <c r="CJ109" s="141"/>
      <c r="CK109" s="141"/>
      <c r="CL109" s="141"/>
    </row>
    <row r="110" spans="74:90" ht="15" customHeight="1" x14ac:dyDescent="0.35">
      <c r="BV110" s="140"/>
      <c r="BY110" s="141"/>
      <c r="BZ110" s="141"/>
      <c r="CA110" s="141"/>
      <c r="CB110" s="141"/>
      <c r="CC110" s="141"/>
      <c r="CD110" s="141"/>
      <c r="CE110" s="141"/>
      <c r="CF110" s="141"/>
      <c r="CG110" s="141"/>
      <c r="CH110" s="141"/>
      <c r="CI110" s="141"/>
      <c r="CJ110" s="141"/>
      <c r="CK110" s="141"/>
      <c r="CL110" s="141"/>
    </row>
    <row r="111" spans="74:90" ht="15" customHeight="1" x14ac:dyDescent="0.35">
      <c r="BV111" s="140"/>
      <c r="BY111" s="141"/>
      <c r="BZ111" s="141"/>
      <c r="CA111" s="141"/>
      <c r="CB111" s="141"/>
      <c r="CC111" s="141"/>
      <c r="CD111" s="141"/>
      <c r="CE111" s="141"/>
      <c r="CF111" s="141"/>
      <c r="CG111" s="141"/>
      <c r="CH111" s="141"/>
      <c r="CI111" s="141"/>
      <c r="CJ111" s="141"/>
      <c r="CK111" s="141"/>
      <c r="CL111" s="141"/>
    </row>
    <row r="112" spans="74:90" ht="15" customHeight="1" x14ac:dyDescent="0.35">
      <c r="BV112" s="140"/>
      <c r="BY112" s="141"/>
      <c r="BZ112" s="141"/>
      <c r="CA112" s="141"/>
      <c r="CB112" s="141"/>
      <c r="CC112" s="141"/>
      <c r="CD112" s="141"/>
      <c r="CE112" s="141"/>
      <c r="CF112" s="141"/>
      <c r="CG112" s="141"/>
      <c r="CH112" s="141"/>
      <c r="CI112" s="141"/>
      <c r="CJ112" s="141"/>
      <c r="CK112" s="141"/>
      <c r="CL112" s="141"/>
    </row>
    <row r="113" spans="74:90" ht="15" customHeight="1" x14ac:dyDescent="0.35">
      <c r="BV113" s="140"/>
      <c r="BY113" s="141"/>
      <c r="BZ113" s="141"/>
      <c r="CA113" s="141"/>
      <c r="CB113" s="141"/>
      <c r="CC113" s="141"/>
      <c r="CD113" s="141"/>
      <c r="CE113" s="141"/>
      <c r="CF113" s="141"/>
      <c r="CG113" s="141"/>
      <c r="CH113" s="141"/>
      <c r="CI113" s="141"/>
      <c r="CJ113" s="141"/>
      <c r="CK113" s="141"/>
      <c r="CL113" s="141"/>
    </row>
    <row r="114" spans="74:90" ht="15" customHeight="1" x14ac:dyDescent="0.35">
      <c r="BV114" s="140"/>
      <c r="BY114" s="141"/>
      <c r="BZ114" s="141"/>
      <c r="CA114" s="141"/>
      <c r="CB114" s="141"/>
      <c r="CC114" s="141"/>
      <c r="CD114" s="141"/>
      <c r="CE114" s="141"/>
      <c r="CF114" s="141"/>
      <c r="CG114" s="141"/>
      <c r="CH114" s="141"/>
      <c r="CI114" s="141"/>
      <c r="CJ114" s="141"/>
      <c r="CK114" s="141"/>
      <c r="CL114" s="141"/>
    </row>
    <row r="115" spans="74:90" ht="15" customHeight="1" x14ac:dyDescent="0.35">
      <c r="BV115" s="140"/>
      <c r="BY115" s="141"/>
      <c r="BZ115" s="141"/>
      <c r="CA115" s="141"/>
      <c r="CB115" s="141"/>
      <c r="CC115" s="141"/>
      <c r="CD115" s="141"/>
      <c r="CE115" s="141"/>
      <c r="CF115" s="141"/>
      <c r="CG115" s="141"/>
      <c r="CH115" s="141"/>
      <c r="CI115" s="141"/>
      <c r="CJ115" s="141"/>
      <c r="CK115" s="141"/>
      <c r="CL115" s="141"/>
    </row>
    <row r="116" spans="74:90" ht="15" customHeight="1" x14ac:dyDescent="0.35">
      <c r="BV116" s="140"/>
      <c r="BY116" s="141"/>
      <c r="BZ116" s="141"/>
      <c r="CA116" s="141"/>
      <c r="CB116" s="141"/>
      <c r="CC116" s="141"/>
      <c r="CD116" s="141"/>
      <c r="CE116" s="141"/>
      <c r="CF116" s="141"/>
      <c r="CG116" s="141"/>
      <c r="CH116" s="141"/>
      <c r="CI116" s="141"/>
      <c r="CJ116" s="141"/>
      <c r="CK116" s="141"/>
      <c r="CL116" s="141"/>
    </row>
    <row r="117" spans="74:90" ht="15" customHeight="1" x14ac:dyDescent="0.35">
      <c r="BV117" s="140"/>
      <c r="BY117" s="141"/>
      <c r="BZ117" s="141"/>
      <c r="CA117" s="141"/>
      <c r="CB117" s="141"/>
      <c r="CC117" s="141"/>
      <c r="CD117" s="141"/>
      <c r="CE117" s="141"/>
      <c r="CF117" s="141"/>
      <c r="CG117" s="141"/>
      <c r="CH117" s="141"/>
      <c r="CI117" s="141"/>
      <c r="CJ117" s="141"/>
      <c r="CK117" s="141"/>
      <c r="CL117" s="141"/>
    </row>
    <row r="118" spans="74:90" ht="15" customHeight="1" x14ac:dyDescent="0.35">
      <c r="BV118" s="140"/>
      <c r="BY118" s="141"/>
      <c r="BZ118" s="141"/>
      <c r="CA118" s="141"/>
      <c r="CB118" s="141"/>
      <c r="CC118" s="141"/>
      <c r="CD118" s="141"/>
      <c r="CE118" s="141"/>
      <c r="CF118" s="141"/>
      <c r="CG118" s="141"/>
      <c r="CH118" s="141"/>
      <c r="CI118" s="141"/>
      <c r="CJ118" s="141"/>
      <c r="CK118" s="141"/>
      <c r="CL118" s="141"/>
    </row>
    <row r="119" spans="74:90" ht="15" customHeight="1" x14ac:dyDescent="0.35">
      <c r="BV119" s="140"/>
      <c r="BY119" s="141"/>
      <c r="BZ119" s="141"/>
      <c r="CA119" s="141"/>
      <c r="CB119" s="141"/>
      <c r="CC119" s="141"/>
      <c r="CD119" s="141"/>
      <c r="CE119" s="141"/>
      <c r="CF119" s="141"/>
      <c r="CG119" s="141"/>
      <c r="CH119" s="141"/>
      <c r="CI119" s="141"/>
      <c r="CJ119" s="141"/>
      <c r="CK119" s="141"/>
      <c r="CL119" s="141"/>
    </row>
    <row r="120" spans="74:90" ht="15" customHeight="1" x14ac:dyDescent="0.35">
      <c r="BV120" s="140"/>
      <c r="BY120" s="141"/>
      <c r="BZ120" s="141"/>
      <c r="CA120" s="141"/>
      <c r="CB120" s="141"/>
      <c r="CC120" s="141"/>
      <c r="CD120" s="141"/>
      <c r="CE120" s="141"/>
      <c r="CF120" s="141"/>
      <c r="CG120" s="141"/>
      <c r="CH120" s="141"/>
      <c r="CI120" s="141"/>
      <c r="CJ120" s="141"/>
      <c r="CK120" s="141"/>
      <c r="CL120" s="141"/>
    </row>
    <row r="121" spans="74:90" ht="15" customHeight="1" x14ac:dyDescent="0.35">
      <c r="BV121" s="140"/>
      <c r="BY121" s="141"/>
      <c r="BZ121" s="141"/>
      <c r="CA121" s="141"/>
      <c r="CB121" s="141"/>
      <c r="CC121" s="141"/>
      <c r="CD121" s="141"/>
      <c r="CE121" s="141"/>
      <c r="CF121" s="141"/>
      <c r="CG121" s="141"/>
      <c r="CH121" s="141"/>
      <c r="CI121" s="141"/>
      <c r="CJ121" s="141"/>
      <c r="CK121" s="141"/>
      <c r="CL121" s="141"/>
    </row>
    <row r="122" spans="74:90" ht="15" customHeight="1" x14ac:dyDescent="0.35">
      <c r="BV122" s="140"/>
      <c r="BY122" s="141"/>
      <c r="BZ122" s="141"/>
      <c r="CA122" s="141"/>
      <c r="CB122" s="141"/>
      <c r="CC122" s="141"/>
      <c r="CD122" s="141"/>
      <c r="CE122" s="141"/>
      <c r="CF122" s="141"/>
      <c r="CG122" s="141"/>
      <c r="CH122" s="141"/>
      <c r="CI122" s="141"/>
      <c r="CJ122" s="141"/>
      <c r="CK122" s="141"/>
      <c r="CL122" s="141"/>
    </row>
    <row r="123" spans="74:90" ht="15" customHeight="1" x14ac:dyDescent="0.35">
      <c r="BV123" s="140"/>
      <c r="BY123" s="141"/>
      <c r="BZ123" s="141"/>
      <c r="CA123" s="141"/>
      <c r="CB123" s="141"/>
      <c r="CC123" s="141"/>
      <c r="CD123" s="141"/>
      <c r="CE123" s="141"/>
      <c r="CF123" s="141"/>
      <c r="CG123" s="141"/>
      <c r="CH123" s="141"/>
      <c r="CI123" s="141"/>
      <c r="CJ123" s="141"/>
      <c r="CK123" s="141"/>
      <c r="CL123" s="141"/>
    </row>
    <row r="124" spans="74:90" ht="15" customHeight="1" x14ac:dyDescent="0.35">
      <c r="BV124" s="140"/>
      <c r="BY124" s="141"/>
      <c r="BZ124" s="141"/>
      <c r="CA124" s="141"/>
      <c r="CB124" s="141"/>
      <c r="CC124" s="141"/>
      <c r="CD124" s="141"/>
      <c r="CE124" s="141"/>
      <c r="CF124" s="141"/>
      <c r="CG124" s="141"/>
      <c r="CH124" s="141"/>
      <c r="CI124" s="141"/>
      <c r="CJ124" s="141"/>
      <c r="CK124" s="141"/>
      <c r="CL124" s="141"/>
    </row>
    <row r="125" spans="74:90" ht="15" customHeight="1" x14ac:dyDescent="0.35">
      <c r="BV125" s="140"/>
      <c r="BY125" s="141"/>
      <c r="BZ125" s="141"/>
      <c r="CA125" s="141"/>
      <c r="CB125" s="141"/>
      <c r="CC125" s="141"/>
      <c r="CD125" s="141"/>
      <c r="CE125" s="141"/>
      <c r="CF125" s="141"/>
      <c r="CG125" s="141"/>
      <c r="CH125" s="141"/>
      <c r="CI125" s="141"/>
      <c r="CJ125" s="141"/>
      <c r="CK125" s="141"/>
      <c r="CL125" s="141"/>
    </row>
    <row r="126" spans="74:90" ht="15" customHeight="1" x14ac:dyDescent="0.35">
      <c r="BV126" s="140"/>
      <c r="BY126" s="141"/>
      <c r="BZ126" s="141"/>
      <c r="CA126" s="141"/>
      <c r="CB126" s="141"/>
      <c r="CC126" s="141"/>
      <c r="CD126" s="141"/>
      <c r="CE126" s="141"/>
      <c r="CF126" s="141"/>
      <c r="CG126" s="141"/>
      <c r="CH126" s="141"/>
      <c r="CI126" s="141"/>
      <c r="CJ126" s="141"/>
      <c r="CK126" s="141"/>
      <c r="CL126" s="141"/>
    </row>
    <row r="127" spans="74:90" ht="15" customHeight="1" x14ac:dyDescent="0.35">
      <c r="BV127" s="140"/>
      <c r="BY127" s="141"/>
      <c r="BZ127" s="141"/>
      <c r="CA127" s="141"/>
      <c r="CB127" s="141"/>
      <c r="CC127" s="141"/>
      <c r="CD127" s="141"/>
      <c r="CE127" s="141"/>
      <c r="CF127" s="141"/>
      <c r="CG127" s="141"/>
      <c r="CH127" s="141"/>
      <c r="CI127" s="141"/>
      <c r="CJ127" s="141"/>
      <c r="CK127" s="141"/>
      <c r="CL127" s="141"/>
    </row>
    <row r="128" spans="74:90" ht="15" customHeight="1" x14ac:dyDescent="0.35">
      <c r="BV128" s="140"/>
      <c r="BY128" s="141"/>
      <c r="BZ128" s="141"/>
      <c r="CA128" s="141"/>
      <c r="CB128" s="141"/>
      <c r="CC128" s="141"/>
      <c r="CD128" s="141"/>
      <c r="CE128" s="141"/>
      <c r="CF128" s="141"/>
      <c r="CG128" s="141"/>
      <c r="CH128" s="141"/>
      <c r="CI128" s="141"/>
      <c r="CJ128" s="141"/>
      <c r="CK128" s="141"/>
      <c r="CL128" s="141"/>
    </row>
    <row r="129" spans="74:90" ht="15" customHeight="1" x14ac:dyDescent="0.35">
      <c r="BV129" s="140"/>
      <c r="BY129" s="141"/>
      <c r="BZ129" s="141"/>
      <c r="CA129" s="141"/>
      <c r="CB129" s="141"/>
      <c r="CC129" s="141"/>
      <c r="CD129" s="141"/>
      <c r="CE129" s="141"/>
      <c r="CF129" s="141"/>
      <c r="CG129" s="141"/>
      <c r="CH129" s="141"/>
      <c r="CI129" s="141"/>
      <c r="CJ129" s="141"/>
      <c r="CK129" s="141"/>
      <c r="CL129" s="141"/>
    </row>
    <row r="130" spans="74:90" ht="15" customHeight="1" x14ac:dyDescent="0.35">
      <c r="BV130" s="140"/>
      <c r="BY130" s="141"/>
      <c r="BZ130" s="141"/>
      <c r="CA130" s="141"/>
      <c r="CB130" s="141"/>
      <c r="CC130" s="141"/>
      <c r="CD130" s="141"/>
      <c r="CE130" s="141"/>
      <c r="CF130" s="141"/>
      <c r="CG130" s="141"/>
      <c r="CH130" s="141"/>
      <c r="CI130" s="141"/>
      <c r="CJ130" s="141"/>
      <c r="CK130" s="141"/>
      <c r="CL130" s="141"/>
    </row>
    <row r="131" spans="74:90" ht="15" customHeight="1" x14ac:dyDescent="0.35">
      <c r="BV131" s="140"/>
      <c r="BY131" s="141"/>
      <c r="BZ131" s="141"/>
      <c r="CA131" s="141"/>
      <c r="CB131" s="141"/>
      <c r="CC131" s="141"/>
      <c r="CD131" s="141"/>
      <c r="CE131" s="141"/>
      <c r="CF131" s="141"/>
      <c r="CG131" s="141"/>
      <c r="CH131" s="141"/>
      <c r="CI131" s="141"/>
      <c r="CJ131" s="141"/>
      <c r="CK131" s="141"/>
      <c r="CL131" s="141"/>
    </row>
    <row r="132" spans="74:90" ht="15" customHeight="1" x14ac:dyDescent="0.35">
      <c r="BV132" s="140"/>
      <c r="BY132" s="141"/>
      <c r="BZ132" s="141"/>
      <c r="CA132" s="141"/>
      <c r="CB132" s="141"/>
      <c r="CC132" s="141"/>
      <c r="CD132" s="141"/>
      <c r="CE132" s="141"/>
      <c r="CF132" s="141"/>
      <c r="CG132" s="141"/>
      <c r="CH132" s="141"/>
      <c r="CI132" s="141"/>
      <c r="CJ132" s="141"/>
      <c r="CK132" s="141"/>
      <c r="CL132" s="141"/>
    </row>
    <row r="133" spans="74:90" ht="15" customHeight="1" x14ac:dyDescent="0.35">
      <c r="BV133" s="140"/>
      <c r="BY133" s="141"/>
      <c r="BZ133" s="141"/>
      <c r="CA133" s="141"/>
      <c r="CB133" s="141"/>
      <c r="CC133" s="141"/>
      <c r="CD133" s="141"/>
      <c r="CE133" s="141"/>
      <c r="CF133" s="141"/>
      <c r="CG133" s="141"/>
      <c r="CH133" s="141"/>
      <c r="CI133" s="141"/>
      <c r="CJ133" s="141"/>
      <c r="CK133" s="141"/>
      <c r="CL133" s="141"/>
    </row>
    <row r="134" spans="74:90" ht="15" customHeight="1" x14ac:dyDescent="0.35">
      <c r="BV134" s="140"/>
      <c r="BY134" s="141"/>
      <c r="BZ134" s="141"/>
      <c r="CA134" s="141"/>
      <c r="CB134" s="141"/>
      <c r="CC134" s="141"/>
      <c r="CD134" s="141"/>
      <c r="CE134" s="141"/>
      <c r="CF134" s="141"/>
      <c r="CG134" s="141"/>
      <c r="CH134" s="141"/>
      <c r="CI134" s="141"/>
      <c r="CJ134" s="141"/>
      <c r="CK134" s="141"/>
      <c r="CL134" s="141"/>
    </row>
    <row r="135" spans="74:90" ht="15" customHeight="1" x14ac:dyDescent="0.35">
      <c r="BV135" s="140"/>
      <c r="BY135" s="141"/>
      <c r="BZ135" s="141"/>
      <c r="CA135" s="141"/>
      <c r="CB135" s="141"/>
      <c r="CC135" s="141"/>
      <c r="CD135" s="141"/>
      <c r="CE135" s="141"/>
      <c r="CF135" s="141"/>
      <c r="CG135" s="141"/>
      <c r="CH135" s="141"/>
      <c r="CI135" s="141"/>
      <c r="CJ135" s="141"/>
      <c r="CK135" s="141"/>
      <c r="CL135" s="141"/>
    </row>
    <row r="136" spans="74:90" ht="15" customHeight="1" x14ac:dyDescent="0.35">
      <c r="BV136" s="140"/>
      <c r="BY136" s="141"/>
      <c r="BZ136" s="141"/>
      <c r="CA136" s="141"/>
      <c r="CB136" s="141"/>
      <c r="CC136" s="141"/>
      <c r="CD136" s="141"/>
      <c r="CE136" s="141"/>
      <c r="CF136" s="141"/>
      <c r="CG136" s="141"/>
      <c r="CH136" s="141"/>
      <c r="CI136" s="141"/>
      <c r="CJ136" s="141"/>
      <c r="CK136" s="141"/>
      <c r="CL136" s="141"/>
    </row>
    <row r="137" spans="74:90" ht="15" customHeight="1" x14ac:dyDescent="0.35">
      <c r="BV137" s="140"/>
      <c r="BY137" s="141"/>
      <c r="BZ137" s="141"/>
      <c r="CA137" s="141"/>
      <c r="CB137" s="141"/>
      <c r="CC137" s="141"/>
      <c r="CD137" s="141"/>
      <c r="CE137" s="141"/>
      <c r="CF137" s="141"/>
      <c r="CG137" s="141"/>
      <c r="CH137" s="141"/>
      <c r="CI137" s="141"/>
      <c r="CJ137" s="141"/>
      <c r="CK137" s="141"/>
      <c r="CL137" s="141"/>
    </row>
    <row r="138" spans="74:90" ht="15" customHeight="1" x14ac:dyDescent="0.35">
      <c r="BV138" s="140"/>
      <c r="BY138" s="141"/>
      <c r="BZ138" s="141"/>
      <c r="CA138" s="141"/>
      <c r="CB138" s="141"/>
      <c r="CC138" s="141"/>
      <c r="CD138" s="141"/>
      <c r="CE138" s="141"/>
      <c r="CF138" s="141"/>
      <c r="CG138" s="141"/>
      <c r="CH138" s="141"/>
      <c r="CI138" s="141"/>
      <c r="CJ138" s="141"/>
      <c r="CK138" s="141"/>
      <c r="CL138" s="141"/>
    </row>
    <row r="139" spans="74:90" ht="15" customHeight="1" x14ac:dyDescent="0.35">
      <c r="BV139" s="140"/>
      <c r="BY139" s="141"/>
      <c r="BZ139" s="141"/>
      <c r="CA139" s="141"/>
      <c r="CB139" s="141"/>
      <c r="CC139" s="141"/>
      <c r="CD139" s="141"/>
      <c r="CE139" s="141"/>
      <c r="CF139" s="141"/>
      <c r="CG139" s="141"/>
      <c r="CH139" s="141"/>
      <c r="CI139" s="141"/>
      <c r="CJ139" s="141"/>
      <c r="CK139" s="141"/>
      <c r="CL139" s="141"/>
    </row>
    <row r="140" spans="74:90" ht="15" customHeight="1" x14ac:dyDescent="0.35">
      <c r="BV140" s="140"/>
      <c r="BY140" s="141"/>
      <c r="BZ140" s="141"/>
      <c r="CA140" s="141"/>
      <c r="CB140" s="141"/>
      <c r="CC140" s="141"/>
      <c r="CD140" s="141"/>
      <c r="CE140" s="141"/>
      <c r="CF140" s="141"/>
      <c r="CG140" s="141"/>
      <c r="CH140" s="141"/>
      <c r="CI140" s="141"/>
      <c r="CJ140" s="141"/>
      <c r="CK140" s="141"/>
      <c r="CL140" s="141"/>
    </row>
    <row r="141" spans="74:90" ht="15" customHeight="1" x14ac:dyDescent="0.35">
      <c r="BV141" s="140"/>
      <c r="BY141" s="141"/>
      <c r="BZ141" s="141"/>
      <c r="CA141" s="141"/>
      <c r="CB141" s="141"/>
      <c r="CC141" s="141"/>
      <c r="CD141" s="141"/>
      <c r="CE141" s="141"/>
      <c r="CF141" s="141"/>
      <c r="CG141" s="141"/>
      <c r="CH141" s="141"/>
      <c r="CI141" s="141"/>
      <c r="CJ141" s="141"/>
      <c r="CK141" s="141"/>
      <c r="CL141" s="141"/>
    </row>
    <row r="142" spans="74:90" ht="15" customHeight="1" x14ac:dyDescent="0.35">
      <c r="BV142" s="140"/>
      <c r="BY142" s="141"/>
      <c r="BZ142" s="141"/>
      <c r="CA142" s="141"/>
      <c r="CB142" s="141"/>
      <c r="CC142" s="141"/>
      <c r="CD142" s="141"/>
      <c r="CE142" s="141"/>
      <c r="CF142" s="141"/>
      <c r="CG142" s="141"/>
      <c r="CH142" s="141"/>
      <c r="CI142" s="141"/>
      <c r="CJ142" s="141"/>
      <c r="CK142" s="141"/>
      <c r="CL142" s="141"/>
    </row>
    <row r="143" spans="74:90" ht="15" customHeight="1" x14ac:dyDescent="0.35">
      <c r="BV143" s="140"/>
      <c r="BY143" s="141"/>
      <c r="BZ143" s="141"/>
      <c r="CA143" s="141"/>
      <c r="CB143" s="141"/>
      <c r="CC143" s="141"/>
      <c r="CD143" s="141"/>
      <c r="CE143" s="141"/>
      <c r="CF143" s="141"/>
      <c r="CG143" s="141"/>
      <c r="CH143" s="141"/>
      <c r="CI143" s="141"/>
      <c r="CJ143" s="141"/>
      <c r="CK143" s="141"/>
      <c r="CL143" s="141"/>
    </row>
    <row r="144" spans="74:90" ht="15" customHeight="1" x14ac:dyDescent="0.35">
      <c r="BV144" s="140"/>
      <c r="BY144" s="141"/>
      <c r="BZ144" s="141"/>
      <c r="CA144" s="141"/>
      <c r="CB144" s="141"/>
      <c r="CC144" s="141"/>
      <c r="CD144" s="141"/>
      <c r="CE144" s="141"/>
      <c r="CF144" s="141"/>
      <c r="CG144" s="141"/>
      <c r="CH144" s="141"/>
      <c r="CI144" s="141"/>
      <c r="CJ144" s="141"/>
      <c r="CK144" s="141"/>
      <c r="CL144" s="141"/>
    </row>
    <row r="145" spans="74:90" ht="15" customHeight="1" x14ac:dyDescent="0.35">
      <c r="BV145" s="140"/>
      <c r="BY145" s="141"/>
      <c r="BZ145" s="141"/>
      <c r="CA145" s="141"/>
      <c r="CB145" s="141"/>
      <c r="CC145" s="141"/>
      <c r="CD145" s="141"/>
      <c r="CE145" s="141"/>
      <c r="CF145" s="141"/>
      <c r="CG145" s="141"/>
      <c r="CH145" s="141"/>
      <c r="CI145" s="141"/>
      <c r="CJ145" s="141"/>
      <c r="CK145" s="141"/>
      <c r="CL145" s="141"/>
    </row>
    <row r="146" spans="74:90" ht="15" customHeight="1" x14ac:dyDescent="0.35">
      <c r="BV146" s="140"/>
      <c r="BY146" s="141"/>
      <c r="BZ146" s="141"/>
      <c r="CA146" s="141"/>
      <c r="CB146" s="141"/>
      <c r="CC146" s="141"/>
      <c r="CD146" s="141"/>
      <c r="CE146" s="141"/>
      <c r="CF146" s="141"/>
      <c r="CG146" s="141"/>
      <c r="CH146" s="141"/>
      <c r="CI146" s="141"/>
      <c r="CJ146" s="141"/>
      <c r="CK146" s="141"/>
      <c r="CL146" s="141"/>
    </row>
    <row r="147" spans="74:90" ht="15" customHeight="1" x14ac:dyDescent="0.35">
      <c r="BV147" s="140"/>
      <c r="BY147" s="141"/>
      <c r="BZ147" s="141"/>
      <c r="CA147" s="141"/>
      <c r="CB147" s="141"/>
      <c r="CC147" s="141"/>
      <c r="CD147" s="141"/>
      <c r="CE147" s="141"/>
      <c r="CF147" s="141"/>
      <c r="CG147" s="141"/>
      <c r="CH147" s="141"/>
      <c r="CI147" s="141"/>
      <c r="CJ147" s="141"/>
      <c r="CK147" s="141"/>
      <c r="CL147" s="141"/>
    </row>
    <row r="148" spans="74:90" ht="15" customHeight="1" x14ac:dyDescent="0.35">
      <c r="BV148" s="140"/>
      <c r="BY148" s="141"/>
      <c r="BZ148" s="141"/>
      <c r="CA148" s="141"/>
      <c r="CB148" s="141"/>
      <c r="CC148" s="141"/>
      <c r="CD148" s="141"/>
      <c r="CE148" s="141"/>
      <c r="CF148" s="141"/>
      <c r="CG148" s="141"/>
      <c r="CH148" s="141"/>
      <c r="CI148" s="141"/>
      <c r="CJ148" s="141"/>
      <c r="CK148" s="141"/>
      <c r="CL148" s="141"/>
    </row>
    <row r="149" spans="74:90" ht="15" customHeight="1" x14ac:dyDescent="0.35">
      <c r="BV149" s="140"/>
      <c r="BY149" s="141"/>
      <c r="BZ149" s="141"/>
      <c r="CA149" s="141"/>
      <c r="CB149" s="141"/>
      <c r="CC149" s="141"/>
      <c r="CD149" s="141"/>
      <c r="CE149" s="141"/>
      <c r="CF149" s="141"/>
      <c r="CG149" s="141"/>
      <c r="CH149" s="141"/>
      <c r="CI149" s="141"/>
      <c r="CJ149" s="141"/>
      <c r="CK149" s="141"/>
      <c r="CL149" s="141"/>
    </row>
    <row r="150" spans="74:90" ht="15" customHeight="1" x14ac:dyDescent="0.35">
      <c r="BV150" s="140"/>
      <c r="BY150" s="141"/>
      <c r="BZ150" s="141"/>
      <c r="CA150" s="141"/>
      <c r="CB150" s="141"/>
      <c r="CC150" s="141"/>
      <c r="CD150" s="141"/>
      <c r="CE150" s="141"/>
      <c r="CF150" s="141"/>
      <c r="CG150" s="141"/>
      <c r="CH150" s="141"/>
      <c r="CI150" s="141"/>
      <c r="CJ150" s="141"/>
      <c r="CK150" s="141"/>
      <c r="CL150" s="141"/>
    </row>
    <row r="151" spans="74:90" ht="15" customHeight="1" x14ac:dyDescent="0.35">
      <c r="BV151" s="140"/>
      <c r="BY151" s="141"/>
      <c r="BZ151" s="141"/>
      <c r="CA151" s="141"/>
      <c r="CB151" s="141"/>
      <c r="CC151" s="141"/>
      <c r="CD151" s="141"/>
      <c r="CE151" s="141"/>
      <c r="CF151" s="141"/>
      <c r="CG151" s="141"/>
      <c r="CH151" s="141"/>
      <c r="CI151" s="141"/>
      <c r="CJ151" s="141"/>
      <c r="CK151" s="141"/>
      <c r="CL151" s="141"/>
    </row>
    <row r="152" spans="74:90" ht="15" customHeight="1" x14ac:dyDescent="0.35">
      <c r="BV152" s="140"/>
      <c r="BY152" s="141"/>
      <c r="BZ152" s="141"/>
      <c r="CA152" s="141"/>
      <c r="CB152" s="141"/>
      <c r="CC152" s="141"/>
      <c r="CD152" s="141"/>
      <c r="CE152" s="141"/>
      <c r="CF152" s="141"/>
      <c r="CG152" s="141"/>
      <c r="CH152" s="141"/>
      <c r="CI152" s="141"/>
      <c r="CJ152" s="141"/>
      <c r="CK152" s="141"/>
      <c r="CL152" s="141"/>
    </row>
    <row r="153" spans="74:90" ht="15" customHeight="1" x14ac:dyDescent="0.35">
      <c r="BV153" s="140"/>
      <c r="BY153" s="141"/>
      <c r="BZ153" s="141"/>
      <c r="CA153" s="141"/>
      <c r="CB153" s="141"/>
      <c r="CC153" s="141"/>
      <c r="CD153" s="141"/>
      <c r="CE153" s="141"/>
      <c r="CF153" s="141"/>
      <c r="CG153" s="141"/>
      <c r="CH153" s="141"/>
      <c r="CI153" s="141"/>
      <c r="CJ153" s="141"/>
      <c r="CK153" s="141"/>
      <c r="CL153" s="141"/>
    </row>
    <row r="154" spans="74:90" ht="15" customHeight="1" x14ac:dyDescent="0.35">
      <c r="BV154" s="140"/>
      <c r="BY154" s="141"/>
      <c r="BZ154" s="141"/>
      <c r="CA154" s="141"/>
      <c r="CB154" s="141"/>
      <c r="CC154" s="141"/>
      <c r="CD154" s="141"/>
      <c r="CE154" s="141"/>
      <c r="CF154" s="141"/>
      <c r="CG154" s="141"/>
      <c r="CH154" s="141"/>
      <c r="CI154" s="141"/>
      <c r="CJ154" s="141"/>
      <c r="CK154" s="141"/>
      <c r="CL154" s="141"/>
    </row>
    <row r="155" spans="74:90" ht="15" customHeight="1" x14ac:dyDescent="0.35">
      <c r="BV155" s="140"/>
      <c r="BY155" s="141"/>
      <c r="BZ155" s="141"/>
      <c r="CA155" s="141"/>
      <c r="CB155" s="141"/>
      <c r="CC155" s="141"/>
      <c r="CD155" s="141"/>
      <c r="CE155" s="141"/>
      <c r="CF155" s="141"/>
      <c r="CG155" s="141"/>
      <c r="CH155" s="141"/>
      <c r="CI155" s="141"/>
      <c r="CJ155" s="141"/>
      <c r="CK155" s="141"/>
      <c r="CL155" s="141"/>
    </row>
    <row r="156" spans="74:90" ht="15" customHeight="1" x14ac:dyDescent="0.35">
      <c r="BV156" s="140"/>
      <c r="BY156" s="141"/>
      <c r="BZ156" s="141"/>
      <c r="CA156" s="141"/>
      <c r="CB156" s="141"/>
      <c r="CC156" s="141"/>
      <c r="CD156" s="141"/>
      <c r="CE156" s="141"/>
      <c r="CF156" s="141"/>
      <c r="CG156" s="141"/>
      <c r="CH156" s="141"/>
      <c r="CI156" s="141"/>
      <c r="CJ156" s="141"/>
      <c r="CK156" s="141"/>
      <c r="CL156" s="141"/>
    </row>
    <row r="157" spans="74:90" ht="15" customHeight="1" x14ac:dyDescent="0.35">
      <c r="BV157" s="140"/>
      <c r="BY157" s="141"/>
      <c r="BZ157" s="141"/>
      <c r="CA157" s="141"/>
      <c r="CB157" s="141"/>
      <c r="CC157" s="141"/>
      <c r="CD157" s="141"/>
      <c r="CE157" s="141"/>
      <c r="CF157" s="141"/>
      <c r="CG157" s="141"/>
      <c r="CH157" s="141"/>
      <c r="CI157" s="141"/>
      <c r="CJ157" s="141"/>
      <c r="CK157" s="141"/>
      <c r="CL157" s="141"/>
    </row>
    <row r="158" spans="74:90" ht="15" customHeight="1" x14ac:dyDescent="0.35">
      <c r="BV158" s="140"/>
      <c r="BY158" s="141"/>
      <c r="BZ158" s="141"/>
      <c r="CA158" s="141"/>
      <c r="CB158" s="141"/>
      <c r="CC158" s="141"/>
      <c r="CD158" s="141"/>
      <c r="CE158" s="141"/>
      <c r="CF158" s="141"/>
      <c r="CG158" s="141"/>
      <c r="CH158" s="141"/>
      <c r="CI158" s="141"/>
      <c r="CJ158" s="141"/>
      <c r="CK158" s="141"/>
      <c r="CL158" s="141"/>
    </row>
    <row r="159" spans="74:90" ht="15" customHeight="1" x14ac:dyDescent="0.35">
      <c r="BV159" s="140"/>
      <c r="BY159" s="141"/>
      <c r="BZ159" s="141"/>
      <c r="CA159" s="141"/>
      <c r="CB159" s="141"/>
      <c r="CC159" s="141"/>
      <c r="CD159" s="141"/>
      <c r="CE159" s="141"/>
      <c r="CF159" s="141"/>
      <c r="CG159" s="141"/>
      <c r="CH159" s="141"/>
      <c r="CI159" s="141"/>
      <c r="CJ159" s="141"/>
      <c r="CK159" s="141"/>
      <c r="CL159" s="141"/>
    </row>
    <row r="160" spans="74:90" ht="15" customHeight="1" x14ac:dyDescent="0.35">
      <c r="BV160" s="140"/>
      <c r="BY160" s="141"/>
      <c r="BZ160" s="141"/>
      <c r="CA160" s="141"/>
      <c r="CB160" s="141"/>
      <c r="CC160" s="141"/>
      <c r="CD160" s="141"/>
      <c r="CE160" s="141"/>
      <c r="CF160" s="141"/>
      <c r="CG160" s="141"/>
      <c r="CH160" s="141"/>
      <c r="CI160" s="141"/>
      <c r="CJ160" s="141"/>
      <c r="CK160" s="141"/>
      <c r="CL160" s="141"/>
    </row>
    <row r="161" spans="74:90" ht="15" customHeight="1" x14ac:dyDescent="0.35">
      <c r="BV161" s="140"/>
      <c r="BY161" s="141"/>
      <c r="BZ161" s="141"/>
      <c r="CA161" s="141"/>
      <c r="CB161" s="141"/>
      <c r="CC161" s="141"/>
      <c r="CD161" s="141"/>
      <c r="CE161" s="141"/>
      <c r="CF161" s="141"/>
      <c r="CG161" s="141"/>
      <c r="CH161" s="141"/>
      <c r="CI161" s="141"/>
      <c r="CJ161" s="141"/>
      <c r="CK161" s="141"/>
      <c r="CL161" s="141"/>
    </row>
    <row r="162" spans="74:90" ht="15" customHeight="1" x14ac:dyDescent="0.35">
      <c r="BV162" s="140"/>
      <c r="BY162" s="141"/>
      <c r="BZ162" s="141"/>
      <c r="CA162" s="141"/>
      <c r="CB162" s="141"/>
      <c r="CC162" s="141"/>
      <c r="CD162" s="141"/>
      <c r="CE162" s="141"/>
      <c r="CF162" s="141"/>
      <c r="CG162" s="141"/>
      <c r="CH162" s="141"/>
      <c r="CI162" s="141"/>
      <c r="CJ162" s="141"/>
      <c r="CK162" s="141"/>
      <c r="CL162" s="141"/>
    </row>
    <row r="163" spans="74:90" ht="15" customHeight="1" x14ac:dyDescent="0.35">
      <c r="BV163" s="140"/>
      <c r="BY163" s="141"/>
      <c r="BZ163" s="141"/>
      <c r="CA163" s="141"/>
      <c r="CB163" s="141"/>
      <c r="CC163" s="141"/>
      <c r="CD163" s="141"/>
      <c r="CE163" s="141"/>
      <c r="CF163" s="141"/>
      <c r="CG163" s="141"/>
      <c r="CH163" s="141"/>
      <c r="CI163" s="141"/>
      <c r="CJ163" s="141"/>
      <c r="CK163" s="141"/>
      <c r="CL163" s="141"/>
    </row>
    <row r="164" spans="74:90" ht="15" customHeight="1" x14ac:dyDescent="0.35">
      <c r="BV164" s="140"/>
      <c r="BY164" s="141"/>
      <c r="BZ164" s="141"/>
      <c r="CA164" s="141"/>
      <c r="CB164" s="141"/>
      <c r="CC164" s="141"/>
      <c r="CD164" s="141"/>
      <c r="CE164" s="141"/>
      <c r="CF164" s="141"/>
      <c r="CG164" s="141"/>
      <c r="CH164" s="141"/>
      <c r="CI164" s="141"/>
      <c r="CJ164" s="141"/>
      <c r="CK164" s="141"/>
      <c r="CL164" s="141"/>
    </row>
    <row r="165" spans="74:90" ht="15" customHeight="1" x14ac:dyDescent="0.35">
      <c r="BV165" s="140"/>
      <c r="BY165" s="141"/>
      <c r="BZ165" s="141"/>
      <c r="CA165" s="141"/>
      <c r="CB165" s="141"/>
      <c r="CC165" s="141"/>
      <c r="CD165" s="141"/>
      <c r="CE165" s="141"/>
      <c r="CF165" s="141"/>
      <c r="CG165" s="141"/>
      <c r="CH165" s="141"/>
      <c r="CI165" s="141"/>
      <c r="CJ165" s="141"/>
      <c r="CK165" s="141"/>
      <c r="CL165" s="141"/>
    </row>
    <row r="166" spans="74:90" ht="15" customHeight="1" x14ac:dyDescent="0.35">
      <c r="BV166" s="140"/>
      <c r="BY166" s="141"/>
      <c r="BZ166" s="141"/>
      <c r="CA166" s="141"/>
      <c r="CB166" s="141"/>
      <c r="CC166" s="141"/>
      <c r="CD166" s="141"/>
      <c r="CE166" s="141"/>
      <c r="CF166" s="141"/>
      <c r="CG166" s="141"/>
      <c r="CH166" s="141"/>
      <c r="CI166" s="141"/>
      <c r="CJ166" s="141"/>
      <c r="CK166" s="141"/>
      <c r="CL166" s="141"/>
    </row>
    <row r="167" spans="74:90" ht="15" customHeight="1" x14ac:dyDescent="0.35">
      <c r="BV167" s="140"/>
      <c r="BY167" s="141"/>
      <c r="BZ167" s="141"/>
      <c r="CA167" s="141"/>
      <c r="CB167" s="141"/>
      <c r="CC167" s="141"/>
      <c r="CD167" s="141"/>
      <c r="CE167" s="141"/>
      <c r="CF167" s="141"/>
      <c r="CG167" s="141"/>
      <c r="CH167" s="141"/>
      <c r="CI167" s="141"/>
      <c r="CJ167" s="141"/>
      <c r="CK167" s="141"/>
      <c r="CL167" s="141"/>
    </row>
    <row r="168" spans="74:90" ht="15" customHeight="1" x14ac:dyDescent="0.35">
      <c r="BV168" s="140"/>
      <c r="BY168" s="141"/>
      <c r="BZ168" s="141"/>
      <c r="CA168" s="141"/>
      <c r="CB168" s="141"/>
      <c r="CC168" s="141"/>
      <c r="CD168" s="141"/>
      <c r="CE168" s="141"/>
      <c r="CF168" s="141"/>
      <c r="CG168" s="141"/>
      <c r="CH168" s="141"/>
      <c r="CI168" s="141"/>
      <c r="CJ168" s="141"/>
      <c r="CK168" s="141"/>
      <c r="CL168" s="141"/>
    </row>
    <row r="169" spans="74:90" ht="15" customHeight="1" x14ac:dyDescent="0.35">
      <c r="BV169" s="140"/>
      <c r="BY169" s="141"/>
      <c r="BZ169" s="141"/>
      <c r="CA169" s="141"/>
      <c r="CB169" s="141"/>
      <c r="CC169" s="141"/>
      <c r="CD169" s="141"/>
      <c r="CE169" s="141"/>
      <c r="CF169" s="141"/>
      <c r="CG169" s="141"/>
      <c r="CH169" s="141"/>
      <c r="CI169" s="141"/>
      <c r="CJ169" s="141"/>
      <c r="CK169" s="141"/>
      <c r="CL169" s="141"/>
    </row>
    <row r="170" spans="74:90" ht="15" customHeight="1" x14ac:dyDescent="0.35">
      <c r="BV170" s="140"/>
      <c r="BY170" s="141"/>
      <c r="BZ170" s="141"/>
      <c r="CA170" s="141"/>
      <c r="CB170" s="141"/>
      <c r="CC170" s="141"/>
      <c r="CD170" s="141"/>
      <c r="CE170" s="141"/>
      <c r="CF170" s="141"/>
      <c r="CG170" s="141"/>
      <c r="CH170" s="141"/>
      <c r="CI170" s="141"/>
      <c r="CJ170" s="141"/>
      <c r="CK170" s="141"/>
      <c r="CL170" s="141"/>
    </row>
    <row r="171" spans="74:90" ht="15" customHeight="1" x14ac:dyDescent="0.35">
      <c r="BV171" s="140"/>
      <c r="BY171" s="141"/>
      <c r="BZ171" s="141"/>
      <c r="CA171" s="141"/>
      <c r="CB171" s="141"/>
      <c r="CC171" s="141"/>
      <c r="CD171" s="141"/>
      <c r="CE171" s="141"/>
      <c r="CF171" s="141"/>
      <c r="CG171" s="141"/>
      <c r="CH171" s="141"/>
      <c r="CI171" s="141"/>
      <c r="CJ171" s="141"/>
      <c r="CK171" s="141"/>
      <c r="CL171" s="141"/>
    </row>
    <row r="172" spans="74:90" ht="15" customHeight="1" x14ac:dyDescent="0.35">
      <c r="BV172" s="140"/>
      <c r="BY172" s="141"/>
      <c r="BZ172" s="141"/>
      <c r="CA172" s="141"/>
      <c r="CB172" s="141"/>
      <c r="CC172" s="141"/>
      <c r="CD172" s="141"/>
      <c r="CE172" s="141"/>
      <c r="CF172" s="141"/>
      <c r="CG172" s="141"/>
      <c r="CH172" s="141"/>
      <c r="CI172" s="141"/>
      <c r="CJ172" s="141"/>
      <c r="CK172" s="141"/>
      <c r="CL172" s="141"/>
    </row>
    <row r="173" spans="74:90" ht="15" customHeight="1" x14ac:dyDescent="0.35">
      <c r="BV173" s="140"/>
      <c r="BY173" s="141"/>
      <c r="BZ173" s="141"/>
      <c r="CA173" s="141"/>
      <c r="CB173" s="141"/>
      <c r="CC173" s="141"/>
      <c r="CD173" s="141"/>
      <c r="CE173" s="141"/>
      <c r="CF173" s="141"/>
      <c r="CG173" s="141"/>
      <c r="CH173" s="141"/>
      <c r="CI173" s="141"/>
      <c r="CJ173" s="141"/>
      <c r="CK173" s="141"/>
      <c r="CL173" s="141"/>
    </row>
    <row r="174" spans="74:90" ht="15" customHeight="1" x14ac:dyDescent="0.35">
      <c r="BV174" s="140"/>
      <c r="BY174" s="141"/>
      <c r="BZ174" s="141"/>
      <c r="CA174" s="141"/>
      <c r="CB174" s="141"/>
      <c r="CC174" s="141"/>
      <c r="CD174" s="141"/>
      <c r="CE174" s="141"/>
      <c r="CF174" s="141"/>
      <c r="CG174" s="141"/>
      <c r="CH174" s="141"/>
      <c r="CI174" s="141"/>
      <c r="CJ174" s="141"/>
      <c r="CK174" s="141"/>
      <c r="CL174" s="141"/>
    </row>
    <row r="175" spans="74:90" ht="15" customHeight="1" x14ac:dyDescent="0.35">
      <c r="BV175" s="140"/>
      <c r="BY175" s="141"/>
      <c r="BZ175" s="141"/>
      <c r="CA175" s="141"/>
      <c r="CB175" s="141"/>
      <c r="CC175" s="141"/>
      <c r="CD175" s="141"/>
      <c r="CE175" s="141"/>
      <c r="CF175" s="141"/>
      <c r="CG175" s="141"/>
      <c r="CH175" s="141"/>
      <c r="CI175" s="141"/>
      <c r="CJ175" s="141"/>
      <c r="CK175" s="141"/>
      <c r="CL175" s="141"/>
    </row>
    <row r="176" spans="74:90" ht="15" customHeight="1" x14ac:dyDescent="0.35">
      <c r="BV176" s="140"/>
      <c r="BY176" s="141"/>
      <c r="BZ176" s="141"/>
      <c r="CA176" s="141"/>
      <c r="CB176" s="141"/>
      <c r="CC176" s="141"/>
      <c r="CD176" s="141"/>
      <c r="CE176" s="141"/>
      <c r="CF176" s="141"/>
      <c r="CG176" s="141"/>
      <c r="CH176" s="141"/>
      <c r="CI176" s="141"/>
      <c r="CJ176" s="141"/>
      <c r="CK176" s="141"/>
      <c r="CL176" s="141"/>
    </row>
    <row r="177" spans="74:90" ht="15" customHeight="1" x14ac:dyDescent="0.35">
      <c r="BV177" s="140"/>
      <c r="BY177" s="141"/>
      <c r="BZ177" s="141"/>
      <c r="CA177" s="141"/>
      <c r="CB177" s="141"/>
      <c r="CC177" s="141"/>
      <c r="CD177" s="141"/>
      <c r="CE177" s="141"/>
      <c r="CF177" s="141"/>
      <c r="CG177" s="141"/>
      <c r="CH177" s="141"/>
      <c r="CI177" s="141"/>
      <c r="CJ177" s="141"/>
      <c r="CK177" s="141"/>
      <c r="CL177" s="141"/>
    </row>
    <row r="178" spans="74:90" ht="15" customHeight="1" x14ac:dyDescent="0.35">
      <c r="BV178" s="140"/>
      <c r="BY178" s="141"/>
      <c r="BZ178" s="141"/>
      <c r="CA178" s="141"/>
      <c r="CB178" s="141"/>
      <c r="CC178" s="141"/>
      <c r="CD178" s="141"/>
      <c r="CE178" s="141"/>
      <c r="CF178" s="141"/>
      <c r="CG178" s="141"/>
      <c r="CH178" s="141"/>
      <c r="CI178" s="141"/>
      <c r="CJ178" s="141"/>
      <c r="CK178" s="141"/>
      <c r="CL178" s="141"/>
    </row>
    <row r="179" spans="74:90" ht="15" customHeight="1" x14ac:dyDescent="0.35">
      <c r="BV179" s="140"/>
      <c r="BY179" s="141"/>
      <c r="BZ179" s="141"/>
      <c r="CA179" s="141"/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  <c r="CL179" s="141"/>
    </row>
    <row r="180" spans="74:90" ht="15" customHeight="1" x14ac:dyDescent="0.35">
      <c r="BV180" s="140"/>
      <c r="BY180" s="141"/>
      <c r="BZ180" s="141"/>
      <c r="CA180" s="141"/>
      <c r="CB180" s="141"/>
      <c r="CC180" s="141"/>
      <c r="CD180" s="141"/>
      <c r="CE180" s="141"/>
      <c r="CF180" s="141"/>
      <c r="CG180" s="141"/>
      <c r="CH180" s="141"/>
      <c r="CI180" s="141"/>
      <c r="CJ180" s="141"/>
      <c r="CK180" s="141"/>
      <c r="CL180" s="141"/>
    </row>
    <row r="181" spans="74:90" ht="15" customHeight="1" x14ac:dyDescent="0.35">
      <c r="BV181" s="140"/>
      <c r="BY181" s="141"/>
      <c r="BZ181" s="141"/>
      <c r="CA181" s="141"/>
      <c r="CB181" s="141"/>
      <c r="CC181" s="141"/>
      <c r="CD181" s="141"/>
      <c r="CE181" s="141"/>
      <c r="CF181" s="141"/>
      <c r="CG181" s="141"/>
      <c r="CH181" s="141"/>
      <c r="CI181" s="141"/>
      <c r="CJ181" s="141"/>
      <c r="CK181" s="141"/>
      <c r="CL181" s="141"/>
    </row>
    <row r="182" spans="74:90" ht="15" customHeight="1" x14ac:dyDescent="0.35">
      <c r="BV182" s="140"/>
      <c r="BY182" s="141"/>
      <c r="BZ182" s="141"/>
      <c r="CA182" s="141"/>
      <c r="CB182" s="141"/>
      <c r="CC182" s="141"/>
      <c r="CD182" s="141"/>
      <c r="CE182" s="141"/>
      <c r="CF182" s="141"/>
      <c r="CG182" s="141"/>
      <c r="CH182" s="141"/>
      <c r="CI182" s="141"/>
      <c r="CJ182" s="141"/>
      <c r="CK182" s="141"/>
      <c r="CL182" s="141"/>
    </row>
    <row r="183" spans="74:90" ht="15" customHeight="1" x14ac:dyDescent="0.35">
      <c r="BV183" s="140"/>
      <c r="BY183" s="141"/>
      <c r="BZ183" s="141"/>
      <c r="CA183" s="141"/>
      <c r="CB183" s="141"/>
      <c r="CC183" s="141"/>
      <c r="CD183" s="141"/>
      <c r="CE183" s="141"/>
      <c r="CF183" s="141"/>
      <c r="CG183" s="141"/>
      <c r="CH183" s="141"/>
      <c r="CI183" s="141"/>
      <c r="CJ183" s="141"/>
      <c r="CK183" s="141"/>
      <c r="CL183" s="141"/>
    </row>
    <row r="184" spans="74:90" ht="15" customHeight="1" x14ac:dyDescent="0.35">
      <c r="BV184" s="140"/>
      <c r="BY184" s="141"/>
      <c r="BZ184" s="141"/>
      <c r="CA184" s="141"/>
      <c r="CB184" s="141"/>
      <c r="CC184" s="141"/>
      <c r="CD184" s="141"/>
      <c r="CE184" s="141"/>
      <c r="CF184" s="141"/>
      <c r="CG184" s="141"/>
      <c r="CH184" s="141"/>
      <c r="CI184" s="141"/>
      <c r="CJ184" s="141"/>
      <c r="CK184" s="141"/>
      <c r="CL184" s="141"/>
    </row>
    <row r="185" spans="74:90" ht="15" customHeight="1" x14ac:dyDescent="0.35">
      <c r="BV185" s="140"/>
      <c r="BY185" s="141"/>
      <c r="BZ185" s="141"/>
      <c r="CA185" s="141"/>
      <c r="CB185" s="141"/>
      <c r="CC185" s="141"/>
      <c r="CD185" s="141"/>
      <c r="CE185" s="141"/>
      <c r="CF185" s="141"/>
      <c r="CG185" s="141"/>
      <c r="CH185" s="141"/>
      <c r="CI185" s="141"/>
      <c r="CJ185" s="141"/>
      <c r="CK185" s="141"/>
      <c r="CL185" s="141"/>
    </row>
    <row r="186" spans="74:90" ht="15" customHeight="1" x14ac:dyDescent="0.35">
      <c r="BV186" s="140"/>
      <c r="BY186" s="141"/>
      <c r="BZ186" s="141"/>
      <c r="CA186" s="141"/>
      <c r="CB186" s="141"/>
      <c r="CC186" s="141"/>
      <c r="CD186" s="141"/>
      <c r="CE186" s="141"/>
      <c r="CF186" s="141"/>
      <c r="CG186" s="141"/>
      <c r="CH186" s="141"/>
      <c r="CI186" s="141"/>
      <c r="CJ186" s="141"/>
      <c r="CK186" s="141"/>
      <c r="CL186" s="141"/>
    </row>
    <row r="187" spans="74:90" ht="15" customHeight="1" x14ac:dyDescent="0.35">
      <c r="BV187" s="140"/>
      <c r="BY187" s="141"/>
      <c r="BZ187" s="141"/>
      <c r="CA187" s="141"/>
      <c r="CB187" s="141"/>
      <c r="CC187" s="141"/>
      <c r="CD187" s="141"/>
      <c r="CE187" s="141"/>
      <c r="CF187" s="141"/>
      <c r="CG187" s="141"/>
      <c r="CH187" s="141"/>
      <c r="CI187" s="141"/>
      <c r="CJ187" s="141"/>
      <c r="CK187" s="141"/>
      <c r="CL187" s="141"/>
    </row>
    <row r="188" spans="74:90" ht="15" customHeight="1" x14ac:dyDescent="0.35">
      <c r="BV188" s="140"/>
      <c r="BY188" s="141"/>
      <c r="BZ188" s="141"/>
      <c r="CA188" s="141"/>
      <c r="CB188" s="141"/>
      <c r="CC188" s="141"/>
      <c r="CD188" s="141"/>
      <c r="CE188" s="141"/>
      <c r="CF188" s="141"/>
      <c r="CG188" s="141"/>
      <c r="CH188" s="141"/>
      <c r="CI188" s="141"/>
      <c r="CJ188" s="141"/>
      <c r="CK188" s="141"/>
      <c r="CL188" s="141"/>
    </row>
    <row r="189" spans="74:90" ht="15" customHeight="1" x14ac:dyDescent="0.35">
      <c r="BV189" s="140"/>
      <c r="BY189" s="141"/>
      <c r="BZ189" s="141"/>
      <c r="CA189" s="141"/>
      <c r="CB189" s="141"/>
      <c r="CC189" s="141"/>
      <c r="CD189" s="141"/>
      <c r="CE189" s="141"/>
      <c r="CF189" s="141"/>
      <c r="CG189" s="141"/>
      <c r="CH189" s="141"/>
      <c r="CI189" s="141"/>
      <c r="CJ189" s="141"/>
      <c r="CK189" s="141"/>
      <c r="CL189" s="141"/>
    </row>
    <row r="190" spans="74:90" ht="15" customHeight="1" x14ac:dyDescent="0.35">
      <c r="BV190" s="140"/>
      <c r="BY190" s="141"/>
      <c r="BZ190" s="141"/>
      <c r="CA190" s="141"/>
      <c r="CB190" s="141"/>
      <c r="CC190" s="141"/>
      <c r="CD190" s="141"/>
      <c r="CE190" s="141"/>
      <c r="CF190" s="141"/>
      <c r="CG190" s="141"/>
      <c r="CH190" s="141"/>
      <c r="CI190" s="141"/>
      <c r="CJ190" s="141"/>
      <c r="CK190" s="141"/>
      <c r="CL190" s="141"/>
    </row>
    <row r="191" spans="74:90" ht="15" customHeight="1" x14ac:dyDescent="0.35">
      <c r="BV191" s="140"/>
      <c r="BY191" s="141"/>
      <c r="BZ191" s="141"/>
      <c r="CA191" s="141"/>
      <c r="CB191" s="141"/>
      <c r="CC191" s="141"/>
      <c r="CD191" s="141"/>
      <c r="CE191" s="141"/>
      <c r="CF191" s="141"/>
      <c r="CG191" s="141"/>
      <c r="CH191" s="141"/>
      <c r="CI191" s="141"/>
      <c r="CJ191" s="141"/>
      <c r="CK191" s="141"/>
      <c r="CL191" s="141"/>
    </row>
    <row r="192" spans="74:90" ht="15" customHeight="1" x14ac:dyDescent="0.35">
      <c r="BV192" s="140"/>
      <c r="BY192" s="141"/>
      <c r="BZ192" s="141"/>
      <c r="CA192" s="141"/>
      <c r="CB192" s="141"/>
      <c r="CC192" s="141"/>
      <c r="CD192" s="141"/>
      <c r="CE192" s="141"/>
      <c r="CF192" s="141"/>
      <c r="CG192" s="141"/>
      <c r="CH192" s="141"/>
      <c r="CI192" s="141"/>
      <c r="CJ192" s="141"/>
      <c r="CK192" s="141"/>
      <c r="CL192" s="141"/>
    </row>
    <row r="193" spans="74:90" ht="15" customHeight="1" x14ac:dyDescent="0.35">
      <c r="BV193" s="140"/>
      <c r="BY193" s="141"/>
      <c r="BZ193" s="141"/>
      <c r="CA193" s="141"/>
      <c r="CB193" s="141"/>
      <c r="CC193" s="141"/>
      <c r="CD193" s="141"/>
      <c r="CE193" s="141"/>
      <c r="CF193" s="141"/>
      <c r="CG193" s="141"/>
      <c r="CH193" s="141"/>
      <c r="CI193" s="141"/>
      <c r="CJ193" s="141"/>
      <c r="CK193" s="141"/>
      <c r="CL193" s="141"/>
    </row>
    <row r="194" spans="74:90" ht="15" customHeight="1" x14ac:dyDescent="0.35">
      <c r="BV194" s="140"/>
      <c r="BY194" s="141"/>
      <c r="BZ194" s="141"/>
      <c r="CA194" s="141"/>
      <c r="CB194" s="141"/>
      <c r="CC194" s="141"/>
      <c r="CD194" s="141"/>
      <c r="CE194" s="141"/>
      <c r="CF194" s="141"/>
      <c r="CG194" s="141"/>
      <c r="CH194" s="141"/>
      <c r="CI194" s="141"/>
      <c r="CJ194" s="141"/>
      <c r="CK194" s="141"/>
      <c r="CL194" s="141"/>
    </row>
    <row r="195" spans="74:90" ht="15" customHeight="1" x14ac:dyDescent="0.35">
      <c r="BV195" s="140"/>
      <c r="BY195" s="141"/>
      <c r="BZ195" s="141"/>
      <c r="CA195" s="141"/>
      <c r="CB195" s="141"/>
      <c r="CC195" s="141"/>
      <c r="CD195" s="141"/>
      <c r="CE195" s="141"/>
      <c r="CF195" s="141"/>
      <c r="CG195" s="141"/>
      <c r="CH195" s="141"/>
      <c r="CI195" s="141"/>
      <c r="CJ195" s="141"/>
      <c r="CK195" s="141"/>
      <c r="CL195" s="141"/>
    </row>
    <row r="196" spans="74:90" ht="15" customHeight="1" x14ac:dyDescent="0.35">
      <c r="BV196" s="140"/>
      <c r="BY196" s="141"/>
      <c r="BZ196" s="141"/>
      <c r="CA196" s="141"/>
      <c r="CB196" s="141"/>
      <c r="CC196" s="141"/>
      <c r="CD196" s="141"/>
      <c r="CE196" s="141"/>
      <c r="CF196" s="141"/>
      <c r="CG196" s="141"/>
      <c r="CH196" s="141"/>
      <c r="CI196" s="141"/>
      <c r="CJ196" s="141"/>
      <c r="CK196" s="141"/>
      <c r="CL196" s="141"/>
    </row>
    <row r="197" spans="74:90" ht="15" customHeight="1" x14ac:dyDescent="0.35">
      <c r="BV197" s="140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  <c r="CL197" s="141"/>
    </row>
    <row r="198" spans="74:90" ht="15" customHeight="1" x14ac:dyDescent="0.35">
      <c r="BV198" s="140"/>
      <c r="BY198" s="141"/>
      <c r="BZ198" s="141"/>
      <c r="CA198" s="141"/>
      <c r="CB198" s="141"/>
      <c r="CC198" s="141"/>
      <c r="CD198" s="141"/>
      <c r="CE198" s="141"/>
      <c r="CF198" s="141"/>
      <c r="CG198" s="141"/>
      <c r="CH198" s="141"/>
      <c r="CI198" s="141"/>
      <c r="CJ198" s="141"/>
      <c r="CK198" s="141"/>
      <c r="CL198" s="141"/>
    </row>
    <row r="199" spans="74:90" ht="15" customHeight="1" x14ac:dyDescent="0.35">
      <c r="BV199" s="140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1"/>
    </row>
    <row r="200" spans="74:90" ht="15" customHeight="1" x14ac:dyDescent="0.35">
      <c r="BV200" s="140"/>
      <c r="BY200" s="141"/>
      <c r="BZ200" s="141"/>
      <c r="CA200" s="141"/>
      <c r="CB200" s="141"/>
      <c r="CC200" s="141"/>
      <c r="CD200" s="141"/>
      <c r="CE200" s="141"/>
      <c r="CF200" s="141"/>
      <c r="CG200" s="141"/>
      <c r="CH200" s="141"/>
      <c r="CI200" s="141"/>
      <c r="CJ200" s="141"/>
      <c r="CK200" s="141"/>
      <c r="CL200" s="141"/>
    </row>
    <row r="201" spans="74:90" ht="15" customHeight="1" x14ac:dyDescent="0.35">
      <c r="BV201" s="140"/>
      <c r="BY201" s="141"/>
      <c r="BZ201" s="141"/>
      <c r="CA201" s="141"/>
      <c r="CB201" s="141"/>
      <c r="CC201" s="141"/>
      <c r="CD201" s="141"/>
      <c r="CE201" s="141"/>
      <c r="CF201" s="141"/>
      <c r="CG201" s="141"/>
      <c r="CH201" s="141"/>
      <c r="CI201" s="141"/>
      <c r="CJ201" s="141"/>
      <c r="CK201" s="141"/>
      <c r="CL201" s="141"/>
    </row>
    <row r="202" spans="74:90" ht="15" customHeight="1" x14ac:dyDescent="0.35">
      <c r="BV202" s="140"/>
      <c r="BY202" s="141"/>
      <c r="BZ202" s="141"/>
      <c r="CA202" s="141"/>
      <c r="CB202" s="141"/>
      <c r="CC202" s="141"/>
      <c r="CD202" s="141"/>
      <c r="CE202" s="141"/>
      <c r="CF202" s="141"/>
      <c r="CG202" s="141"/>
      <c r="CH202" s="141"/>
      <c r="CI202" s="141"/>
      <c r="CJ202" s="141"/>
      <c r="CK202" s="141"/>
      <c r="CL202" s="141"/>
    </row>
    <row r="203" spans="74:90" ht="15" customHeight="1" x14ac:dyDescent="0.35">
      <c r="BV203" s="140"/>
      <c r="BY203" s="141"/>
      <c r="BZ203" s="141"/>
      <c r="CA203" s="141"/>
      <c r="CB203" s="141"/>
      <c r="CC203" s="141"/>
      <c r="CD203" s="141"/>
      <c r="CE203" s="141"/>
      <c r="CF203" s="141"/>
      <c r="CG203" s="141"/>
      <c r="CH203" s="141"/>
      <c r="CI203" s="141"/>
      <c r="CJ203" s="141"/>
      <c r="CK203" s="141"/>
      <c r="CL203" s="141"/>
    </row>
    <row r="204" spans="74:90" ht="15" customHeight="1" x14ac:dyDescent="0.35">
      <c r="BV204" s="140"/>
      <c r="BY204" s="141"/>
      <c r="BZ204" s="141"/>
      <c r="CA204" s="141"/>
      <c r="CB204" s="141"/>
      <c r="CC204" s="141"/>
      <c r="CD204" s="141"/>
      <c r="CE204" s="141"/>
      <c r="CF204" s="141"/>
      <c r="CG204" s="141"/>
      <c r="CH204" s="141"/>
      <c r="CI204" s="141"/>
      <c r="CJ204" s="141"/>
      <c r="CK204" s="141"/>
      <c r="CL204" s="141"/>
    </row>
    <row r="205" spans="74:90" ht="15" customHeight="1" x14ac:dyDescent="0.35">
      <c r="BV205" s="140"/>
      <c r="BY205" s="141"/>
      <c r="BZ205" s="141"/>
      <c r="CA205" s="141"/>
      <c r="CB205" s="141"/>
      <c r="CC205" s="141"/>
      <c r="CD205" s="141"/>
      <c r="CE205" s="141"/>
      <c r="CF205" s="141"/>
      <c r="CG205" s="141"/>
      <c r="CH205" s="141"/>
      <c r="CI205" s="141"/>
      <c r="CJ205" s="141"/>
      <c r="CK205" s="141"/>
      <c r="CL205" s="141"/>
    </row>
    <row r="206" spans="74:90" ht="15" customHeight="1" x14ac:dyDescent="0.35">
      <c r="BV206" s="140"/>
      <c r="BY206" s="141"/>
      <c r="BZ206" s="141"/>
      <c r="CA206" s="141"/>
      <c r="CB206" s="141"/>
      <c r="CC206" s="141"/>
      <c r="CD206" s="141"/>
      <c r="CE206" s="141"/>
      <c r="CF206" s="141"/>
      <c r="CG206" s="141"/>
      <c r="CH206" s="141"/>
      <c r="CI206" s="141"/>
      <c r="CJ206" s="141"/>
      <c r="CK206" s="141"/>
      <c r="CL206" s="141"/>
    </row>
    <row r="207" spans="74:90" ht="15" customHeight="1" x14ac:dyDescent="0.35">
      <c r="BV207" s="140"/>
      <c r="BY207" s="141"/>
      <c r="BZ207" s="141"/>
      <c r="CA207" s="141"/>
      <c r="CB207" s="141"/>
      <c r="CC207" s="141"/>
      <c r="CD207" s="141"/>
      <c r="CE207" s="141"/>
      <c r="CF207" s="141"/>
      <c r="CG207" s="141"/>
      <c r="CH207" s="141"/>
      <c r="CI207" s="141"/>
      <c r="CJ207" s="141"/>
      <c r="CK207" s="141"/>
      <c r="CL207" s="141"/>
    </row>
    <row r="208" spans="74:90" ht="15" customHeight="1" x14ac:dyDescent="0.35">
      <c r="BV208" s="140"/>
      <c r="BY208" s="141"/>
      <c r="BZ208" s="141"/>
      <c r="CA208" s="141"/>
      <c r="CB208" s="141"/>
      <c r="CC208" s="141"/>
      <c r="CD208" s="141"/>
      <c r="CE208" s="141"/>
      <c r="CF208" s="141"/>
      <c r="CG208" s="141"/>
      <c r="CH208" s="141"/>
      <c r="CI208" s="141"/>
      <c r="CJ208" s="141"/>
      <c r="CK208" s="141"/>
      <c r="CL208" s="141"/>
    </row>
    <row r="209" spans="74:90" ht="15" customHeight="1" x14ac:dyDescent="0.35">
      <c r="BV209" s="140"/>
      <c r="BY209" s="141"/>
      <c r="BZ209" s="141"/>
      <c r="CA209" s="141"/>
      <c r="CB209" s="141"/>
      <c r="CC209" s="141"/>
      <c r="CD209" s="141"/>
      <c r="CE209" s="141"/>
      <c r="CF209" s="141"/>
      <c r="CG209" s="141"/>
      <c r="CH209" s="141"/>
      <c r="CI209" s="141"/>
      <c r="CJ209" s="141"/>
      <c r="CK209" s="141"/>
      <c r="CL209" s="141"/>
    </row>
    <row r="210" spans="74:90" ht="15" customHeight="1" x14ac:dyDescent="0.35">
      <c r="BV210" s="140"/>
      <c r="BY210" s="141"/>
      <c r="BZ210" s="141"/>
      <c r="CA210" s="141"/>
      <c r="CB210" s="141"/>
      <c r="CC210" s="141"/>
      <c r="CD210" s="141"/>
      <c r="CE210" s="141"/>
      <c r="CF210" s="141"/>
      <c r="CG210" s="141"/>
      <c r="CH210" s="141"/>
      <c r="CI210" s="141"/>
      <c r="CJ210" s="141"/>
      <c r="CK210" s="141"/>
      <c r="CL210" s="141"/>
    </row>
    <row r="211" spans="74:90" ht="15" customHeight="1" x14ac:dyDescent="0.35">
      <c r="BV211" s="140"/>
      <c r="BY211" s="141"/>
      <c r="BZ211" s="141"/>
      <c r="CA211" s="141"/>
      <c r="CB211" s="141"/>
      <c r="CC211" s="141"/>
      <c r="CD211" s="141"/>
      <c r="CE211" s="141"/>
      <c r="CF211" s="141"/>
      <c r="CG211" s="141"/>
      <c r="CH211" s="141"/>
      <c r="CI211" s="141"/>
      <c r="CJ211" s="141"/>
      <c r="CK211" s="141"/>
      <c r="CL211" s="141"/>
    </row>
    <row r="212" spans="74:90" ht="15" customHeight="1" x14ac:dyDescent="0.35">
      <c r="BV212" s="140"/>
      <c r="BY212" s="141"/>
      <c r="BZ212" s="141"/>
      <c r="CA212" s="141"/>
      <c r="CB212" s="141"/>
      <c r="CC212" s="141"/>
      <c r="CD212" s="141"/>
      <c r="CE212" s="141"/>
      <c r="CF212" s="141"/>
      <c r="CG212" s="141"/>
      <c r="CH212" s="141"/>
      <c r="CI212" s="141"/>
      <c r="CJ212" s="141"/>
      <c r="CK212" s="141"/>
      <c r="CL212" s="141"/>
    </row>
    <row r="213" spans="74:90" ht="15" customHeight="1" x14ac:dyDescent="0.35">
      <c r="BV213" s="140"/>
      <c r="BY213" s="141"/>
      <c r="BZ213" s="141"/>
      <c r="CA213" s="141"/>
      <c r="CB213" s="141"/>
      <c r="CC213" s="141"/>
      <c r="CD213" s="141"/>
      <c r="CE213" s="141"/>
      <c r="CF213" s="141"/>
      <c r="CG213" s="141"/>
      <c r="CH213" s="141"/>
      <c r="CI213" s="141"/>
      <c r="CJ213" s="141"/>
      <c r="CK213" s="141"/>
      <c r="CL213" s="141"/>
    </row>
    <row r="214" spans="74:90" ht="15" customHeight="1" x14ac:dyDescent="0.35">
      <c r="BV214" s="140"/>
      <c r="BY214" s="141"/>
      <c r="BZ214" s="141"/>
      <c r="CA214" s="141"/>
      <c r="CB214" s="141"/>
      <c r="CC214" s="141"/>
      <c r="CD214" s="141"/>
      <c r="CE214" s="141"/>
      <c r="CF214" s="141"/>
      <c r="CG214" s="141"/>
      <c r="CH214" s="141"/>
      <c r="CI214" s="141"/>
      <c r="CJ214" s="141"/>
      <c r="CK214" s="141"/>
      <c r="CL214" s="141"/>
    </row>
    <row r="215" spans="74:90" ht="15" customHeight="1" x14ac:dyDescent="0.35">
      <c r="BV215" s="140"/>
      <c r="BY215" s="141"/>
      <c r="BZ215" s="141"/>
      <c r="CA215" s="141"/>
      <c r="CB215" s="141"/>
      <c r="CC215" s="141"/>
      <c r="CD215" s="141"/>
      <c r="CE215" s="141"/>
      <c r="CF215" s="141"/>
      <c r="CG215" s="141"/>
      <c r="CH215" s="141"/>
      <c r="CI215" s="141"/>
      <c r="CJ215" s="141"/>
      <c r="CK215" s="141"/>
      <c r="CL215" s="141"/>
    </row>
    <row r="216" spans="74:90" ht="15" customHeight="1" x14ac:dyDescent="0.35">
      <c r="BV216" s="140"/>
      <c r="BY216" s="141"/>
      <c r="BZ216" s="141"/>
      <c r="CA216" s="141"/>
      <c r="CB216" s="141"/>
      <c r="CC216" s="141"/>
      <c r="CD216" s="141"/>
      <c r="CE216" s="141"/>
      <c r="CF216" s="141"/>
      <c r="CG216" s="141"/>
      <c r="CH216" s="141"/>
      <c r="CI216" s="141"/>
      <c r="CJ216" s="141"/>
      <c r="CK216" s="141"/>
      <c r="CL216" s="141"/>
    </row>
    <row r="217" spans="74:90" ht="15" customHeight="1" x14ac:dyDescent="0.35">
      <c r="BV217" s="140"/>
      <c r="BY217" s="141"/>
      <c r="BZ217" s="141"/>
      <c r="CA217" s="141"/>
      <c r="CB217" s="141"/>
      <c r="CC217" s="141"/>
      <c r="CD217" s="141"/>
      <c r="CE217" s="141"/>
      <c r="CF217" s="141"/>
      <c r="CG217" s="141"/>
      <c r="CH217" s="141"/>
      <c r="CI217" s="141"/>
      <c r="CJ217" s="141"/>
      <c r="CK217" s="141"/>
      <c r="CL217" s="141"/>
    </row>
    <row r="218" spans="74:90" ht="15" customHeight="1" x14ac:dyDescent="0.35">
      <c r="BV218" s="140"/>
      <c r="BY218" s="141"/>
      <c r="BZ218" s="141"/>
      <c r="CA218" s="141"/>
      <c r="CB218" s="141"/>
      <c r="CC218" s="141"/>
      <c r="CD218" s="141"/>
      <c r="CE218" s="141"/>
      <c r="CF218" s="141"/>
      <c r="CG218" s="141"/>
      <c r="CH218" s="141"/>
      <c r="CI218" s="141"/>
      <c r="CJ218" s="141"/>
      <c r="CK218" s="141"/>
      <c r="CL218" s="141"/>
    </row>
    <row r="219" spans="74:90" ht="15" customHeight="1" x14ac:dyDescent="0.35">
      <c r="BV219" s="140"/>
      <c r="BY219" s="141"/>
      <c r="BZ219" s="141"/>
      <c r="CA219" s="141"/>
      <c r="CB219" s="141"/>
      <c r="CC219" s="141"/>
      <c r="CD219" s="141"/>
      <c r="CE219" s="141"/>
      <c r="CF219" s="141"/>
      <c r="CG219" s="141"/>
      <c r="CH219" s="141"/>
      <c r="CI219" s="141"/>
      <c r="CJ219" s="141"/>
      <c r="CK219" s="141"/>
      <c r="CL219" s="141"/>
    </row>
    <row r="220" spans="74:90" ht="15" customHeight="1" x14ac:dyDescent="0.35">
      <c r="BV220" s="140"/>
      <c r="BY220" s="141"/>
      <c r="BZ220" s="141"/>
      <c r="CA220" s="141"/>
      <c r="CB220" s="141"/>
      <c r="CC220" s="141"/>
      <c r="CD220" s="141"/>
      <c r="CE220" s="141"/>
      <c r="CF220" s="141"/>
      <c r="CG220" s="141"/>
      <c r="CH220" s="141"/>
      <c r="CI220" s="141"/>
      <c r="CJ220" s="141"/>
      <c r="CK220" s="141"/>
      <c r="CL220" s="141"/>
    </row>
    <row r="221" spans="74:90" ht="15" customHeight="1" x14ac:dyDescent="0.35">
      <c r="BV221" s="140"/>
      <c r="BY221" s="141"/>
      <c r="BZ221" s="141"/>
      <c r="CA221" s="141"/>
      <c r="CB221" s="141"/>
      <c r="CC221" s="141"/>
      <c r="CD221" s="141"/>
      <c r="CE221" s="141"/>
      <c r="CF221" s="141"/>
      <c r="CG221" s="141"/>
      <c r="CH221" s="141"/>
      <c r="CI221" s="141"/>
      <c r="CJ221" s="141"/>
      <c r="CK221" s="141"/>
      <c r="CL221" s="141"/>
    </row>
    <row r="222" spans="74:90" ht="15" customHeight="1" x14ac:dyDescent="0.35">
      <c r="BV222" s="140"/>
      <c r="BY222" s="141"/>
      <c r="BZ222" s="141"/>
      <c r="CA222" s="141"/>
      <c r="CB222" s="141"/>
      <c r="CC222" s="141"/>
      <c r="CD222" s="141"/>
      <c r="CE222" s="141"/>
      <c r="CF222" s="141"/>
      <c r="CG222" s="141"/>
      <c r="CH222" s="141"/>
      <c r="CI222" s="141"/>
      <c r="CJ222" s="141"/>
      <c r="CK222" s="141"/>
      <c r="CL222" s="141"/>
    </row>
    <row r="223" spans="74:90" ht="15" customHeight="1" x14ac:dyDescent="0.35">
      <c r="BV223" s="140"/>
      <c r="BY223" s="141"/>
      <c r="BZ223" s="141"/>
      <c r="CA223" s="141"/>
      <c r="CB223" s="141"/>
      <c r="CC223" s="141"/>
      <c r="CD223" s="141"/>
      <c r="CE223" s="141"/>
      <c r="CF223" s="141"/>
      <c r="CG223" s="141"/>
      <c r="CH223" s="141"/>
      <c r="CI223" s="141"/>
      <c r="CJ223" s="141"/>
      <c r="CK223" s="141"/>
      <c r="CL223" s="141"/>
    </row>
    <row r="224" spans="74:90" ht="15" customHeight="1" x14ac:dyDescent="0.35">
      <c r="BV224" s="140"/>
      <c r="BY224" s="141"/>
      <c r="BZ224" s="141"/>
      <c r="CA224" s="141"/>
      <c r="CB224" s="141"/>
      <c r="CC224" s="141"/>
      <c r="CD224" s="141"/>
      <c r="CE224" s="141"/>
      <c r="CF224" s="141"/>
      <c r="CG224" s="141"/>
      <c r="CH224" s="141"/>
      <c r="CI224" s="141"/>
      <c r="CJ224" s="141"/>
      <c r="CK224" s="141"/>
      <c r="CL224" s="141"/>
    </row>
    <row r="225" spans="74:90" ht="15" customHeight="1" x14ac:dyDescent="0.35">
      <c r="BV225" s="140"/>
      <c r="BY225" s="141"/>
      <c r="BZ225" s="141"/>
      <c r="CA225" s="141"/>
      <c r="CB225" s="141"/>
      <c r="CC225" s="141"/>
      <c r="CD225" s="141"/>
      <c r="CE225" s="141"/>
      <c r="CF225" s="141"/>
      <c r="CG225" s="141"/>
      <c r="CH225" s="141"/>
      <c r="CI225" s="141"/>
      <c r="CJ225" s="141"/>
      <c r="CK225" s="141"/>
      <c r="CL225" s="141"/>
    </row>
    <row r="226" spans="74:90" ht="15" customHeight="1" x14ac:dyDescent="0.35">
      <c r="BV226" s="140"/>
      <c r="BY226" s="141"/>
      <c r="BZ226" s="141"/>
      <c r="CA226" s="141"/>
      <c r="CB226" s="141"/>
      <c r="CC226" s="141"/>
      <c r="CD226" s="141"/>
      <c r="CE226" s="141"/>
      <c r="CF226" s="141"/>
      <c r="CG226" s="141"/>
      <c r="CH226" s="141"/>
      <c r="CI226" s="141"/>
      <c r="CJ226" s="141"/>
      <c r="CK226" s="141"/>
      <c r="CL226" s="141"/>
    </row>
    <row r="227" spans="74:90" ht="15" customHeight="1" x14ac:dyDescent="0.35">
      <c r="BV227" s="140"/>
      <c r="BY227" s="141"/>
      <c r="BZ227" s="141"/>
      <c r="CA227" s="141"/>
      <c r="CB227" s="141"/>
      <c r="CC227" s="141"/>
      <c r="CD227" s="141"/>
      <c r="CE227" s="141"/>
      <c r="CF227" s="141"/>
      <c r="CG227" s="141"/>
      <c r="CH227" s="141"/>
      <c r="CI227" s="141"/>
      <c r="CJ227" s="141"/>
      <c r="CK227" s="141"/>
      <c r="CL227" s="141"/>
    </row>
    <row r="228" spans="74:90" ht="15" customHeight="1" x14ac:dyDescent="0.35">
      <c r="BV228" s="140"/>
      <c r="BY228" s="141"/>
      <c r="BZ228" s="141"/>
      <c r="CA228" s="141"/>
      <c r="CB228" s="141"/>
      <c r="CC228" s="141"/>
      <c r="CD228" s="141"/>
      <c r="CE228" s="141"/>
      <c r="CF228" s="141"/>
      <c r="CG228" s="141"/>
      <c r="CH228" s="141"/>
      <c r="CI228" s="141"/>
      <c r="CJ228" s="141"/>
      <c r="CK228" s="141"/>
      <c r="CL228" s="141"/>
    </row>
    <row r="229" spans="74:90" ht="15" customHeight="1" x14ac:dyDescent="0.35">
      <c r="BV229" s="140"/>
      <c r="BY229" s="141"/>
      <c r="BZ229" s="141"/>
      <c r="CA229" s="141"/>
      <c r="CB229" s="141"/>
      <c r="CC229" s="141"/>
      <c r="CD229" s="141"/>
      <c r="CE229" s="141"/>
      <c r="CF229" s="141"/>
      <c r="CG229" s="141"/>
      <c r="CH229" s="141"/>
      <c r="CI229" s="141"/>
      <c r="CJ229" s="141"/>
      <c r="CK229" s="141"/>
      <c r="CL229" s="141"/>
    </row>
    <row r="230" spans="74:90" ht="15" customHeight="1" x14ac:dyDescent="0.35">
      <c r="BV230" s="140"/>
      <c r="BY230" s="141"/>
      <c r="BZ230" s="141"/>
      <c r="CA230" s="141"/>
      <c r="CB230" s="141"/>
      <c r="CC230" s="141"/>
      <c r="CD230" s="141"/>
      <c r="CE230" s="141"/>
      <c r="CF230" s="141"/>
      <c r="CG230" s="141"/>
      <c r="CH230" s="141"/>
      <c r="CI230" s="141"/>
      <c r="CJ230" s="141"/>
      <c r="CK230" s="141"/>
      <c r="CL230" s="141"/>
    </row>
    <row r="231" spans="74:90" ht="15" customHeight="1" x14ac:dyDescent="0.35">
      <c r="BV231" s="140"/>
      <c r="BY231" s="141"/>
      <c r="BZ231" s="141"/>
      <c r="CA231" s="141"/>
      <c r="CB231" s="141"/>
      <c r="CC231" s="141"/>
      <c r="CD231" s="141"/>
      <c r="CE231" s="141"/>
      <c r="CF231" s="141"/>
      <c r="CG231" s="141"/>
      <c r="CH231" s="141"/>
      <c r="CI231" s="141"/>
      <c r="CJ231" s="141"/>
      <c r="CK231" s="141"/>
      <c r="CL231" s="141"/>
    </row>
    <row r="232" spans="74:90" ht="15" customHeight="1" x14ac:dyDescent="0.35">
      <c r="BV232" s="140"/>
      <c r="BY232" s="141"/>
      <c r="BZ232" s="141"/>
      <c r="CA232" s="141"/>
      <c r="CB232" s="141"/>
      <c r="CC232" s="141"/>
      <c r="CD232" s="141"/>
      <c r="CE232" s="141"/>
      <c r="CF232" s="141"/>
      <c r="CG232" s="141"/>
      <c r="CH232" s="141"/>
      <c r="CI232" s="141"/>
      <c r="CJ232" s="141"/>
      <c r="CK232" s="141"/>
      <c r="CL232" s="141"/>
    </row>
    <row r="233" spans="74:90" ht="15" customHeight="1" x14ac:dyDescent="0.35">
      <c r="BV233" s="140"/>
      <c r="BY233" s="141"/>
      <c r="BZ233" s="141"/>
      <c r="CA233" s="141"/>
      <c r="CB233" s="141"/>
      <c r="CC233" s="141"/>
      <c r="CD233" s="141"/>
      <c r="CE233" s="141"/>
      <c r="CF233" s="141"/>
      <c r="CG233" s="141"/>
      <c r="CH233" s="141"/>
      <c r="CI233" s="141"/>
      <c r="CJ233" s="141"/>
      <c r="CK233" s="141"/>
      <c r="CL233" s="141"/>
    </row>
    <row r="234" spans="74:90" ht="15" customHeight="1" x14ac:dyDescent="0.35">
      <c r="BV234" s="140"/>
      <c r="BY234" s="141"/>
      <c r="BZ234" s="141"/>
      <c r="CA234" s="141"/>
      <c r="CB234" s="141"/>
      <c r="CC234" s="141"/>
      <c r="CD234" s="141"/>
      <c r="CE234" s="141"/>
      <c r="CF234" s="141"/>
      <c r="CG234" s="141"/>
      <c r="CH234" s="141"/>
      <c r="CI234" s="141"/>
      <c r="CJ234" s="141"/>
      <c r="CK234" s="141"/>
      <c r="CL234" s="141"/>
    </row>
    <row r="235" spans="74:90" ht="15" customHeight="1" x14ac:dyDescent="0.35">
      <c r="BV235" s="140"/>
      <c r="BY235" s="141"/>
      <c r="BZ235" s="141"/>
      <c r="CA235" s="141"/>
      <c r="CB235" s="141"/>
      <c r="CC235" s="141"/>
      <c r="CD235" s="141"/>
      <c r="CE235" s="141"/>
      <c r="CF235" s="141"/>
      <c r="CG235" s="141"/>
      <c r="CH235" s="141"/>
      <c r="CI235" s="141"/>
      <c r="CJ235" s="141"/>
      <c r="CK235" s="141"/>
      <c r="CL235" s="141"/>
    </row>
    <row r="236" spans="74:90" ht="15" customHeight="1" x14ac:dyDescent="0.35">
      <c r="BV236" s="140"/>
      <c r="BY236" s="141"/>
      <c r="BZ236" s="141"/>
      <c r="CA236" s="141"/>
      <c r="CB236" s="141"/>
      <c r="CC236" s="141"/>
      <c r="CD236" s="141"/>
      <c r="CE236" s="141"/>
      <c r="CF236" s="141"/>
      <c r="CG236" s="141"/>
      <c r="CH236" s="141"/>
      <c r="CI236" s="141"/>
      <c r="CJ236" s="141"/>
      <c r="CK236" s="141"/>
      <c r="CL236" s="141"/>
    </row>
    <row r="237" spans="74:90" ht="15" customHeight="1" x14ac:dyDescent="0.35">
      <c r="BV237" s="140"/>
      <c r="BY237" s="141"/>
      <c r="BZ237" s="141"/>
      <c r="CA237" s="141"/>
      <c r="CB237" s="141"/>
      <c r="CC237" s="141"/>
      <c r="CD237" s="141"/>
      <c r="CE237" s="141"/>
      <c r="CF237" s="141"/>
      <c r="CG237" s="141"/>
      <c r="CH237" s="141"/>
      <c r="CI237" s="141"/>
      <c r="CJ237" s="141"/>
      <c r="CK237" s="141"/>
      <c r="CL237" s="141"/>
    </row>
    <row r="238" spans="74:90" ht="15" customHeight="1" x14ac:dyDescent="0.35">
      <c r="BV238" s="140"/>
      <c r="BY238" s="141"/>
      <c r="BZ238" s="141"/>
      <c r="CA238" s="141"/>
      <c r="CB238" s="141"/>
      <c r="CC238" s="141"/>
      <c r="CD238" s="141"/>
      <c r="CE238" s="141"/>
      <c r="CF238" s="141"/>
      <c r="CG238" s="141"/>
      <c r="CH238" s="141"/>
      <c r="CI238" s="141"/>
      <c r="CJ238" s="141"/>
      <c r="CK238" s="141"/>
      <c r="CL238" s="141"/>
    </row>
    <row r="239" spans="74:90" ht="15" customHeight="1" x14ac:dyDescent="0.35">
      <c r="BV239" s="140"/>
      <c r="BY239" s="141"/>
      <c r="BZ239" s="141"/>
      <c r="CA239" s="141"/>
      <c r="CB239" s="141"/>
      <c r="CC239" s="141"/>
      <c r="CD239" s="141"/>
      <c r="CE239" s="141"/>
      <c r="CF239" s="141"/>
      <c r="CG239" s="141"/>
      <c r="CH239" s="141"/>
      <c r="CI239" s="141"/>
      <c r="CJ239" s="141"/>
      <c r="CK239" s="141"/>
      <c r="CL239" s="141"/>
    </row>
    <row r="240" spans="74:90" ht="15" customHeight="1" x14ac:dyDescent="0.35">
      <c r="BV240" s="140"/>
      <c r="BY240" s="141"/>
      <c r="BZ240" s="141"/>
      <c r="CA240" s="141"/>
      <c r="CB240" s="141"/>
      <c r="CC240" s="141"/>
      <c r="CD240" s="141"/>
      <c r="CE240" s="141"/>
      <c r="CF240" s="141"/>
      <c r="CG240" s="141"/>
      <c r="CH240" s="141"/>
      <c r="CI240" s="141"/>
      <c r="CJ240" s="141"/>
      <c r="CK240" s="141"/>
      <c r="CL240" s="141"/>
    </row>
    <row r="241" spans="74:90" ht="15" customHeight="1" x14ac:dyDescent="0.35">
      <c r="BV241" s="140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  <c r="CL241" s="141"/>
    </row>
    <row r="242" spans="74:90" ht="15" customHeight="1" x14ac:dyDescent="0.35">
      <c r="BV242" s="140"/>
      <c r="BY242" s="141"/>
      <c r="BZ242" s="141"/>
      <c r="CA242" s="141"/>
      <c r="CB242" s="141"/>
      <c r="CC242" s="141"/>
      <c r="CD242" s="141"/>
      <c r="CE242" s="141"/>
      <c r="CF242" s="141"/>
      <c r="CG242" s="141"/>
      <c r="CH242" s="141"/>
      <c r="CI242" s="141"/>
      <c r="CJ242" s="141"/>
      <c r="CK242" s="141"/>
      <c r="CL242" s="141"/>
    </row>
    <row r="243" spans="74:90" ht="15" customHeight="1" x14ac:dyDescent="0.35">
      <c r="BV243" s="140"/>
      <c r="BY243" s="141"/>
      <c r="BZ243" s="141"/>
      <c r="CA243" s="141"/>
      <c r="CB243" s="141"/>
      <c r="CC243" s="141"/>
      <c r="CD243" s="141"/>
      <c r="CE243" s="141"/>
      <c r="CF243" s="141"/>
      <c r="CG243" s="141"/>
      <c r="CH243" s="141"/>
      <c r="CI243" s="141"/>
      <c r="CJ243" s="141"/>
      <c r="CK243" s="141"/>
      <c r="CL243" s="141"/>
    </row>
    <row r="244" spans="74:90" ht="15" customHeight="1" x14ac:dyDescent="0.35">
      <c r="BV244" s="140"/>
      <c r="BY244" s="141"/>
      <c r="BZ244" s="141"/>
      <c r="CA244" s="141"/>
      <c r="CB244" s="141"/>
      <c r="CC244" s="141"/>
      <c r="CD244" s="141"/>
      <c r="CE244" s="141"/>
      <c r="CF244" s="141"/>
      <c r="CG244" s="141"/>
      <c r="CH244" s="141"/>
      <c r="CI244" s="141"/>
      <c r="CJ244" s="141"/>
      <c r="CK244" s="141"/>
      <c r="CL244" s="141"/>
    </row>
    <row r="245" spans="74:90" ht="15" customHeight="1" x14ac:dyDescent="0.35">
      <c r="BV245" s="140"/>
      <c r="BY245" s="141"/>
      <c r="BZ245" s="141"/>
      <c r="CA245" s="141"/>
      <c r="CB245" s="141"/>
      <c r="CC245" s="141"/>
      <c r="CD245" s="141"/>
      <c r="CE245" s="141"/>
      <c r="CF245" s="141"/>
      <c r="CG245" s="141"/>
      <c r="CH245" s="141"/>
      <c r="CI245" s="141"/>
      <c r="CJ245" s="141"/>
      <c r="CK245" s="141"/>
      <c r="CL245" s="141"/>
    </row>
    <row r="246" spans="74:90" ht="15" customHeight="1" x14ac:dyDescent="0.35">
      <c r="BV246" s="140"/>
      <c r="BY246" s="141"/>
      <c r="BZ246" s="141"/>
      <c r="CA246" s="141"/>
      <c r="CB246" s="141"/>
      <c r="CC246" s="141"/>
      <c r="CD246" s="141"/>
      <c r="CE246" s="141"/>
      <c r="CF246" s="141"/>
      <c r="CG246" s="141"/>
      <c r="CH246" s="141"/>
      <c r="CI246" s="141"/>
      <c r="CJ246" s="141"/>
      <c r="CK246" s="141"/>
      <c r="CL246" s="141"/>
    </row>
    <row r="247" spans="74:90" ht="15" customHeight="1" x14ac:dyDescent="0.35">
      <c r="BV247" s="140"/>
      <c r="BY247" s="141"/>
      <c r="BZ247" s="141"/>
      <c r="CA247" s="141"/>
      <c r="CB247" s="141"/>
      <c r="CC247" s="141"/>
      <c r="CD247" s="141"/>
      <c r="CE247" s="141"/>
      <c r="CF247" s="141"/>
      <c r="CG247" s="141"/>
      <c r="CH247" s="141"/>
      <c r="CI247" s="141"/>
      <c r="CJ247" s="141"/>
      <c r="CK247" s="141"/>
      <c r="CL247" s="141"/>
    </row>
    <row r="248" spans="74:90" ht="15" customHeight="1" x14ac:dyDescent="0.35">
      <c r="BV248" s="140"/>
      <c r="BY248" s="141"/>
      <c r="BZ248" s="141"/>
      <c r="CA248" s="141"/>
      <c r="CB248" s="141"/>
      <c r="CC248" s="141"/>
      <c r="CD248" s="141"/>
      <c r="CE248" s="141"/>
      <c r="CF248" s="141"/>
      <c r="CG248" s="141"/>
      <c r="CH248" s="141"/>
      <c r="CI248" s="141"/>
      <c r="CJ248" s="141"/>
      <c r="CK248" s="141"/>
      <c r="CL248" s="141"/>
    </row>
    <row r="249" spans="74:90" ht="15" customHeight="1" x14ac:dyDescent="0.35">
      <c r="BV249" s="140"/>
      <c r="BY249" s="141"/>
      <c r="BZ249" s="141"/>
      <c r="CA249" s="141"/>
      <c r="CB249" s="141"/>
      <c r="CC249" s="141"/>
      <c r="CD249" s="141"/>
      <c r="CE249" s="141"/>
      <c r="CF249" s="141"/>
      <c r="CG249" s="141"/>
      <c r="CH249" s="141"/>
      <c r="CI249" s="141"/>
      <c r="CJ249" s="141"/>
      <c r="CK249" s="141"/>
      <c r="CL249" s="141"/>
    </row>
    <row r="250" spans="74:90" ht="15" customHeight="1" x14ac:dyDescent="0.35">
      <c r="BV250" s="140"/>
      <c r="BY250" s="141"/>
      <c r="BZ250" s="141"/>
      <c r="CA250" s="141"/>
      <c r="CB250" s="141"/>
      <c r="CC250" s="141"/>
      <c r="CD250" s="141"/>
      <c r="CE250" s="141"/>
      <c r="CF250" s="141"/>
      <c r="CG250" s="141"/>
      <c r="CH250" s="141"/>
      <c r="CI250" s="141"/>
      <c r="CJ250" s="141"/>
      <c r="CK250" s="141"/>
      <c r="CL250" s="141"/>
    </row>
    <row r="251" spans="74:90" ht="15" customHeight="1" x14ac:dyDescent="0.35">
      <c r="BV251" s="140"/>
      <c r="BY251" s="141"/>
      <c r="BZ251" s="141"/>
      <c r="CA251" s="141"/>
      <c r="CB251" s="141"/>
      <c r="CC251" s="141"/>
      <c r="CD251" s="141"/>
      <c r="CE251" s="141"/>
      <c r="CF251" s="141"/>
      <c r="CG251" s="141"/>
      <c r="CH251" s="141"/>
      <c r="CI251" s="141"/>
      <c r="CJ251" s="141"/>
      <c r="CK251" s="141"/>
      <c r="CL251" s="141"/>
    </row>
    <row r="252" spans="74:90" ht="15" customHeight="1" x14ac:dyDescent="0.35">
      <c r="BV252" s="140"/>
      <c r="BY252" s="141"/>
      <c r="BZ252" s="141"/>
      <c r="CA252" s="141"/>
      <c r="CB252" s="141"/>
      <c r="CC252" s="141"/>
      <c r="CD252" s="141"/>
      <c r="CE252" s="141"/>
      <c r="CF252" s="141"/>
      <c r="CG252" s="141"/>
      <c r="CH252" s="141"/>
      <c r="CI252" s="141"/>
      <c r="CJ252" s="141"/>
      <c r="CK252" s="141"/>
      <c r="CL252" s="141"/>
    </row>
    <row r="253" spans="74:90" ht="15" customHeight="1" x14ac:dyDescent="0.35">
      <c r="BV253" s="140"/>
      <c r="BY253" s="141"/>
      <c r="BZ253" s="141"/>
      <c r="CA253" s="141"/>
      <c r="CB253" s="141"/>
      <c r="CC253" s="141"/>
      <c r="CD253" s="141"/>
      <c r="CE253" s="141"/>
      <c r="CF253" s="141"/>
      <c r="CG253" s="141"/>
      <c r="CH253" s="141"/>
      <c r="CI253" s="141"/>
      <c r="CJ253" s="141"/>
      <c r="CK253" s="141"/>
      <c r="CL253" s="141"/>
    </row>
    <row r="254" spans="74:90" ht="15" customHeight="1" x14ac:dyDescent="0.35">
      <c r="BV254" s="140"/>
      <c r="BY254" s="141"/>
      <c r="BZ254" s="141"/>
      <c r="CA254" s="141"/>
      <c r="CB254" s="141"/>
      <c r="CC254" s="141"/>
      <c r="CD254" s="141"/>
      <c r="CE254" s="141"/>
      <c r="CF254" s="141"/>
      <c r="CG254" s="141"/>
      <c r="CH254" s="141"/>
      <c r="CI254" s="141"/>
      <c r="CJ254" s="141"/>
      <c r="CK254" s="141"/>
      <c r="CL254" s="141"/>
    </row>
    <row r="255" spans="74:90" ht="15" customHeight="1" x14ac:dyDescent="0.35">
      <c r="BV255" s="140"/>
      <c r="BY255" s="141"/>
      <c r="BZ255" s="141"/>
      <c r="CA255" s="141"/>
      <c r="CB255" s="141"/>
      <c r="CC255" s="141"/>
      <c r="CD255" s="141"/>
      <c r="CE255" s="141"/>
      <c r="CF255" s="141"/>
      <c r="CG255" s="141"/>
      <c r="CH255" s="141"/>
      <c r="CI255" s="141"/>
      <c r="CJ255" s="141"/>
      <c r="CK255" s="141"/>
      <c r="CL255" s="141"/>
    </row>
    <row r="256" spans="74:90" ht="15" customHeight="1" x14ac:dyDescent="0.35">
      <c r="BV256" s="140"/>
      <c r="BY256" s="141"/>
      <c r="BZ256" s="141"/>
      <c r="CA256" s="141"/>
      <c r="CB256" s="141"/>
      <c r="CC256" s="141"/>
      <c r="CD256" s="141"/>
      <c r="CE256" s="141"/>
      <c r="CF256" s="141"/>
      <c r="CG256" s="141"/>
      <c r="CH256" s="141"/>
      <c r="CI256" s="141"/>
      <c r="CJ256" s="141"/>
      <c r="CK256" s="141"/>
      <c r="CL256" s="141"/>
    </row>
    <row r="257" spans="74:90" ht="15" customHeight="1" x14ac:dyDescent="0.35">
      <c r="BV257" s="140"/>
      <c r="BY257" s="141"/>
      <c r="BZ257" s="141"/>
      <c r="CA257" s="141"/>
      <c r="CB257" s="141"/>
      <c r="CC257" s="141"/>
      <c r="CD257" s="141"/>
      <c r="CE257" s="141"/>
      <c r="CF257" s="141"/>
      <c r="CG257" s="141"/>
      <c r="CH257" s="141"/>
      <c r="CI257" s="141"/>
      <c r="CJ257" s="141"/>
      <c r="CK257" s="141"/>
      <c r="CL257" s="141"/>
    </row>
    <row r="258" spans="74:90" ht="15" customHeight="1" x14ac:dyDescent="0.35">
      <c r="BV258" s="140"/>
      <c r="BY258" s="141"/>
      <c r="BZ258" s="141"/>
      <c r="CA258" s="141"/>
      <c r="CB258" s="141"/>
      <c r="CC258" s="141"/>
      <c r="CD258" s="141"/>
      <c r="CE258" s="141"/>
      <c r="CF258" s="141"/>
      <c r="CG258" s="141"/>
      <c r="CH258" s="141"/>
      <c r="CI258" s="141"/>
      <c r="CJ258" s="141"/>
      <c r="CK258" s="141"/>
      <c r="CL258" s="141"/>
    </row>
    <row r="259" spans="74:90" ht="15" customHeight="1" x14ac:dyDescent="0.35">
      <c r="BV259" s="140"/>
      <c r="BY259" s="141"/>
      <c r="BZ259" s="141"/>
      <c r="CA259" s="141"/>
      <c r="CB259" s="141"/>
      <c r="CC259" s="141"/>
      <c r="CD259" s="141"/>
      <c r="CE259" s="141"/>
      <c r="CF259" s="141"/>
      <c r="CG259" s="141"/>
      <c r="CH259" s="141"/>
      <c r="CI259" s="141"/>
      <c r="CJ259" s="141"/>
      <c r="CK259" s="141"/>
      <c r="CL259" s="141"/>
    </row>
    <row r="260" spans="74:90" ht="15" customHeight="1" x14ac:dyDescent="0.35">
      <c r="BV260" s="140"/>
      <c r="BY260" s="141"/>
      <c r="BZ260" s="141"/>
      <c r="CA260" s="141"/>
      <c r="CB260" s="141"/>
      <c r="CC260" s="141"/>
      <c r="CD260" s="141"/>
      <c r="CE260" s="141"/>
      <c r="CF260" s="141"/>
      <c r="CG260" s="141"/>
      <c r="CH260" s="141"/>
      <c r="CI260" s="141"/>
      <c r="CJ260" s="141"/>
      <c r="CK260" s="141"/>
      <c r="CL260" s="141"/>
    </row>
    <row r="261" spans="74:90" ht="15" customHeight="1" x14ac:dyDescent="0.35">
      <c r="BV261" s="140"/>
      <c r="BY261" s="141"/>
      <c r="BZ261" s="141"/>
      <c r="CA261" s="141"/>
      <c r="CB261" s="141"/>
      <c r="CC261" s="141"/>
      <c r="CD261" s="141"/>
      <c r="CE261" s="141"/>
      <c r="CF261" s="141"/>
      <c r="CG261" s="141"/>
      <c r="CH261" s="141"/>
      <c r="CI261" s="141"/>
      <c r="CJ261" s="141"/>
      <c r="CK261" s="141"/>
      <c r="CL261" s="141"/>
    </row>
    <row r="262" spans="74:90" ht="15" customHeight="1" x14ac:dyDescent="0.35">
      <c r="BV262" s="140"/>
      <c r="BY262" s="141"/>
      <c r="BZ262" s="141"/>
      <c r="CA262" s="141"/>
      <c r="CB262" s="141"/>
      <c r="CC262" s="141"/>
      <c r="CD262" s="141"/>
      <c r="CE262" s="141"/>
      <c r="CF262" s="141"/>
      <c r="CG262" s="141"/>
      <c r="CH262" s="141"/>
      <c r="CI262" s="141"/>
      <c r="CJ262" s="141"/>
      <c r="CK262" s="141"/>
      <c r="CL262" s="141"/>
    </row>
    <row r="263" spans="74:90" ht="15" customHeight="1" x14ac:dyDescent="0.35">
      <c r="BV263" s="140"/>
      <c r="BY263" s="141"/>
      <c r="BZ263" s="141"/>
      <c r="CA263" s="141"/>
      <c r="CB263" s="141"/>
      <c r="CC263" s="141"/>
      <c r="CD263" s="141"/>
      <c r="CE263" s="141"/>
      <c r="CF263" s="141"/>
      <c r="CG263" s="141"/>
      <c r="CH263" s="141"/>
      <c r="CI263" s="141"/>
      <c r="CJ263" s="141"/>
      <c r="CK263" s="141"/>
      <c r="CL263" s="141"/>
    </row>
    <row r="264" spans="74:90" ht="15" customHeight="1" x14ac:dyDescent="0.35">
      <c r="BV264" s="140"/>
      <c r="BY264" s="141"/>
      <c r="BZ264" s="141"/>
      <c r="CA264" s="141"/>
      <c r="CB264" s="141"/>
      <c r="CC264" s="141"/>
      <c r="CD264" s="141"/>
      <c r="CE264" s="141"/>
      <c r="CF264" s="141"/>
      <c r="CG264" s="141"/>
      <c r="CH264" s="141"/>
      <c r="CI264" s="141"/>
      <c r="CJ264" s="141"/>
      <c r="CK264" s="141"/>
      <c r="CL264" s="141"/>
    </row>
    <row r="265" spans="74:90" ht="15" customHeight="1" x14ac:dyDescent="0.35">
      <c r="BV265" s="140"/>
      <c r="BY265" s="141"/>
      <c r="BZ265" s="141"/>
      <c r="CA265" s="141"/>
      <c r="CB265" s="141"/>
      <c r="CC265" s="141"/>
      <c r="CD265" s="141"/>
      <c r="CE265" s="141"/>
      <c r="CF265" s="141"/>
      <c r="CG265" s="141"/>
      <c r="CH265" s="141"/>
      <c r="CI265" s="141"/>
      <c r="CJ265" s="141"/>
      <c r="CK265" s="141"/>
      <c r="CL265" s="141"/>
    </row>
    <row r="266" spans="74:90" ht="15" customHeight="1" x14ac:dyDescent="0.35">
      <c r="BV266" s="140"/>
      <c r="BY266" s="141"/>
      <c r="BZ266" s="141"/>
      <c r="CA266" s="141"/>
      <c r="CB266" s="141"/>
      <c r="CC266" s="141"/>
      <c r="CD266" s="141"/>
      <c r="CE266" s="141"/>
      <c r="CF266" s="141"/>
      <c r="CG266" s="141"/>
      <c r="CH266" s="141"/>
      <c r="CI266" s="141"/>
      <c r="CJ266" s="141"/>
      <c r="CK266" s="141"/>
      <c r="CL266" s="141"/>
    </row>
    <row r="267" spans="74:90" ht="15" customHeight="1" x14ac:dyDescent="0.35">
      <c r="BV267" s="140"/>
      <c r="BY267" s="141"/>
      <c r="BZ267" s="141"/>
      <c r="CA267" s="141"/>
      <c r="CB267" s="141"/>
      <c r="CC267" s="141"/>
      <c r="CD267" s="141"/>
      <c r="CE267" s="141"/>
      <c r="CF267" s="141"/>
      <c r="CG267" s="141"/>
      <c r="CH267" s="141"/>
      <c r="CI267" s="141"/>
      <c r="CJ267" s="141"/>
      <c r="CK267" s="141"/>
      <c r="CL267" s="141"/>
    </row>
    <row r="268" spans="74:90" ht="15" customHeight="1" x14ac:dyDescent="0.35">
      <c r="BV268" s="140"/>
      <c r="BY268" s="141"/>
      <c r="BZ268" s="141"/>
      <c r="CA268" s="141"/>
      <c r="CB268" s="141"/>
      <c r="CC268" s="141"/>
      <c r="CD268" s="141"/>
      <c r="CE268" s="141"/>
      <c r="CF268" s="141"/>
      <c r="CG268" s="141"/>
      <c r="CH268" s="141"/>
      <c r="CI268" s="141"/>
      <c r="CJ268" s="141"/>
      <c r="CK268" s="141"/>
      <c r="CL268" s="141"/>
    </row>
    <row r="269" spans="74:90" ht="15" customHeight="1" x14ac:dyDescent="0.35">
      <c r="BV269" s="140"/>
      <c r="BY269" s="141"/>
      <c r="BZ269" s="141"/>
      <c r="CA269" s="141"/>
      <c r="CB269" s="141"/>
      <c r="CC269" s="141"/>
      <c r="CD269" s="141"/>
      <c r="CE269" s="141"/>
      <c r="CF269" s="141"/>
      <c r="CG269" s="141"/>
      <c r="CH269" s="141"/>
      <c r="CI269" s="141"/>
      <c r="CJ269" s="141"/>
      <c r="CK269" s="141"/>
      <c r="CL269" s="141"/>
    </row>
    <row r="270" spans="74:90" ht="15" customHeight="1" x14ac:dyDescent="0.35">
      <c r="BV270" s="140"/>
      <c r="BY270" s="141"/>
      <c r="BZ270" s="141"/>
      <c r="CA270" s="141"/>
      <c r="CB270" s="141"/>
      <c r="CC270" s="141"/>
      <c r="CD270" s="141"/>
      <c r="CE270" s="141"/>
      <c r="CF270" s="141"/>
      <c r="CG270" s="141"/>
      <c r="CH270" s="141"/>
      <c r="CI270" s="141"/>
      <c r="CJ270" s="141"/>
      <c r="CK270" s="141"/>
      <c r="CL270" s="141"/>
    </row>
    <row r="271" spans="74:90" ht="15" customHeight="1" x14ac:dyDescent="0.35">
      <c r="BV271" s="140"/>
      <c r="BY271" s="141"/>
      <c r="BZ271" s="141"/>
      <c r="CA271" s="141"/>
      <c r="CB271" s="141"/>
      <c r="CC271" s="141"/>
      <c r="CD271" s="141"/>
      <c r="CE271" s="141"/>
      <c r="CF271" s="141"/>
      <c r="CG271" s="141"/>
      <c r="CH271" s="141"/>
      <c r="CI271" s="141"/>
      <c r="CJ271" s="141"/>
      <c r="CK271" s="141"/>
      <c r="CL271" s="141"/>
    </row>
    <row r="272" spans="74:90" ht="15" customHeight="1" x14ac:dyDescent="0.35">
      <c r="BV272" s="140"/>
      <c r="BY272" s="141"/>
      <c r="BZ272" s="141"/>
      <c r="CA272" s="141"/>
      <c r="CB272" s="141"/>
      <c r="CC272" s="141"/>
      <c r="CD272" s="141"/>
      <c r="CE272" s="141"/>
      <c r="CF272" s="141"/>
      <c r="CG272" s="141"/>
      <c r="CH272" s="141"/>
      <c r="CI272" s="141"/>
      <c r="CJ272" s="141"/>
      <c r="CK272" s="141"/>
      <c r="CL272" s="141"/>
    </row>
    <row r="273" spans="74:90" ht="15" customHeight="1" x14ac:dyDescent="0.35">
      <c r="BV273" s="140"/>
      <c r="BY273" s="141"/>
      <c r="BZ273" s="141"/>
      <c r="CA273" s="141"/>
      <c r="CB273" s="141"/>
      <c r="CC273" s="141"/>
      <c r="CD273" s="141"/>
      <c r="CE273" s="141"/>
      <c r="CF273" s="141"/>
      <c r="CG273" s="141"/>
      <c r="CH273" s="141"/>
      <c r="CI273" s="141"/>
      <c r="CJ273" s="141"/>
      <c r="CK273" s="141"/>
      <c r="CL273" s="141"/>
    </row>
    <row r="274" spans="74:90" ht="15" customHeight="1" x14ac:dyDescent="0.35">
      <c r="BV274" s="140"/>
      <c r="BY274" s="141"/>
      <c r="BZ274" s="141"/>
      <c r="CA274" s="141"/>
      <c r="CB274" s="141"/>
      <c r="CC274" s="141"/>
      <c r="CD274" s="141"/>
      <c r="CE274" s="141"/>
      <c r="CF274" s="141"/>
      <c r="CG274" s="141"/>
      <c r="CH274" s="141"/>
      <c r="CI274" s="141"/>
      <c r="CJ274" s="141"/>
      <c r="CK274" s="141"/>
      <c r="CL274" s="141"/>
    </row>
    <row r="275" spans="74:90" ht="15" customHeight="1" x14ac:dyDescent="0.35">
      <c r="BV275" s="140"/>
      <c r="BY275" s="141"/>
      <c r="BZ275" s="141"/>
      <c r="CA275" s="141"/>
      <c r="CB275" s="141"/>
      <c r="CC275" s="141"/>
      <c r="CD275" s="141"/>
      <c r="CE275" s="141"/>
      <c r="CF275" s="141"/>
      <c r="CG275" s="141"/>
      <c r="CH275" s="141"/>
      <c r="CI275" s="141"/>
      <c r="CJ275" s="141"/>
      <c r="CK275" s="141"/>
      <c r="CL275" s="141"/>
    </row>
    <row r="276" spans="74:90" ht="15" customHeight="1" x14ac:dyDescent="0.35">
      <c r="BV276" s="140"/>
      <c r="BY276" s="141"/>
      <c r="BZ276" s="141"/>
      <c r="CA276" s="141"/>
      <c r="CB276" s="141"/>
      <c r="CC276" s="141"/>
      <c r="CD276" s="141"/>
      <c r="CE276" s="141"/>
      <c r="CF276" s="141"/>
      <c r="CG276" s="141"/>
      <c r="CH276" s="141"/>
      <c r="CI276" s="141"/>
      <c r="CJ276" s="141"/>
      <c r="CK276" s="141"/>
      <c r="CL276" s="141"/>
    </row>
    <row r="277" spans="74:90" ht="15" customHeight="1" x14ac:dyDescent="0.35">
      <c r="BV277" s="140"/>
      <c r="BY277" s="141"/>
      <c r="BZ277" s="141"/>
      <c r="CA277" s="141"/>
      <c r="CB277" s="141"/>
      <c r="CC277" s="141"/>
      <c r="CD277" s="141"/>
      <c r="CE277" s="141"/>
      <c r="CF277" s="141"/>
      <c r="CG277" s="141"/>
      <c r="CH277" s="141"/>
      <c r="CI277" s="141"/>
      <c r="CJ277" s="141"/>
      <c r="CK277" s="141"/>
      <c r="CL277" s="141"/>
    </row>
    <row r="278" spans="74:90" ht="15" customHeight="1" x14ac:dyDescent="0.35">
      <c r="BV278" s="140"/>
      <c r="BY278" s="141"/>
      <c r="BZ278" s="141"/>
      <c r="CA278" s="141"/>
      <c r="CB278" s="141"/>
      <c r="CC278" s="141"/>
      <c r="CD278" s="141"/>
      <c r="CE278" s="141"/>
      <c r="CF278" s="141"/>
      <c r="CG278" s="141"/>
      <c r="CH278" s="141"/>
      <c r="CI278" s="141"/>
      <c r="CJ278" s="141"/>
      <c r="CK278" s="141"/>
      <c r="CL278" s="141"/>
    </row>
    <row r="279" spans="74:90" ht="15" customHeight="1" x14ac:dyDescent="0.35">
      <c r="BV279" s="140"/>
      <c r="BY279" s="141"/>
      <c r="BZ279" s="141"/>
      <c r="CA279" s="141"/>
      <c r="CB279" s="141"/>
      <c r="CC279" s="141"/>
      <c r="CD279" s="141"/>
      <c r="CE279" s="141"/>
      <c r="CF279" s="141"/>
      <c r="CG279" s="141"/>
      <c r="CH279" s="141"/>
      <c r="CI279" s="141"/>
      <c r="CJ279" s="141"/>
      <c r="CK279" s="141"/>
      <c r="CL279" s="141"/>
    </row>
    <row r="280" spans="74:90" ht="15" customHeight="1" x14ac:dyDescent="0.35">
      <c r="BV280" s="140"/>
      <c r="BY280" s="141"/>
      <c r="BZ280" s="141"/>
      <c r="CA280" s="141"/>
      <c r="CB280" s="141"/>
      <c r="CC280" s="141"/>
      <c r="CD280" s="141"/>
      <c r="CE280" s="141"/>
      <c r="CF280" s="141"/>
      <c r="CG280" s="141"/>
      <c r="CH280" s="141"/>
      <c r="CI280" s="141"/>
      <c r="CJ280" s="141"/>
      <c r="CK280" s="141"/>
      <c r="CL280" s="141"/>
    </row>
    <row r="281" spans="74:90" ht="15" customHeight="1" x14ac:dyDescent="0.35">
      <c r="BV281" s="140"/>
      <c r="BY281" s="141"/>
      <c r="BZ281" s="141"/>
      <c r="CA281" s="141"/>
      <c r="CB281" s="141"/>
      <c r="CC281" s="141"/>
      <c r="CD281" s="141"/>
      <c r="CE281" s="141"/>
      <c r="CF281" s="141"/>
      <c r="CG281" s="141"/>
      <c r="CH281" s="141"/>
      <c r="CI281" s="141"/>
      <c r="CJ281" s="141"/>
      <c r="CK281" s="141"/>
      <c r="CL281" s="141"/>
    </row>
    <row r="282" spans="74:90" ht="15" customHeight="1" x14ac:dyDescent="0.35">
      <c r="BV282" s="140"/>
      <c r="BY282" s="141"/>
      <c r="BZ282" s="141"/>
      <c r="CA282" s="141"/>
      <c r="CB282" s="141"/>
      <c r="CC282" s="141"/>
      <c r="CD282" s="141"/>
      <c r="CE282" s="141"/>
      <c r="CF282" s="141"/>
      <c r="CG282" s="141"/>
      <c r="CH282" s="141"/>
      <c r="CI282" s="141"/>
      <c r="CJ282" s="141"/>
      <c r="CK282" s="141"/>
      <c r="CL282" s="141"/>
    </row>
    <row r="283" spans="74:90" ht="15" customHeight="1" x14ac:dyDescent="0.35">
      <c r="BV283" s="140"/>
      <c r="BY283" s="141"/>
      <c r="BZ283" s="141"/>
      <c r="CA283" s="141"/>
      <c r="CB283" s="141"/>
      <c r="CC283" s="141"/>
      <c r="CD283" s="141"/>
      <c r="CE283" s="141"/>
      <c r="CF283" s="141"/>
      <c r="CG283" s="141"/>
      <c r="CH283" s="141"/>
      <c r="CI283" s="141"/>
      <c r="CJ283" s="141"/>
      <c r="CK283" s="141"/>
      <c r="CL283" s="141"/>
    </row>
    <row r="284" spans="74:90" ht="15" customHeight="1" x14ac:dyDescent="0.35">
      <c r="BV284" s="140"/>
      <c r="BY284" s="141"/>
      <c r="BZ284" s="141"/>
      <c r="CA284" s="141"/>
      <c r="CB284" s="141"/>
      <c r="CC284" s="141"/>
      <c r="CD284" s="141"/>
      <c r="CE284" s="141"/>
      <c r="CF284" s="141"/>
      <c r="CG284" s="141"/>
      <c r="CH284" s="141"/>
      <c r="CI284" s="141"/>
      <c r="CJ284" s="141"/>
      <c r="CK284" s="141"/>
      <c r="CL284" s="141"/>
    </row>
    <row r="285" spans="74:90" ht="15" customHeight="1" x14ac:dyDescent="0.35">
      <c r="BV285" s="140"/>
      <c r="BY285" s="141"/>
      <c r="BZ285" s="141"/>
      <c r="CA285" s="141"/>
      <c r="CB285" s="141"/>
      <c r="CC285" s="141"/>
      <c r="CD285" s="141"/>
      <c r="CE285" s="141"/>
      <c r="CF285" s="141"/>
      <c r="CG285" s="141"/>
      <c r="CH285" s="141"/>
      <c r="CI285" s="141"/>
      <c r="CJ285" s="141"/>
      <c r="CK285" s="141"/>
      <c r="CL285" s="141"/>
    </row>
    <row r="286" spans="74:90" ht="15" customHeight="1" x14ac:dyDescent="0.35">
      <c r="BV286" s="140"/>
      <c r="BY286" s="141"/>
      <c r="BZ286" s="141"/>
      <c r="CA286" s="141"/>
      <c r="CB286" s="141"/>
      <c r="CC286" s="141"/>
      <c r="CD286" s="141"/>
      <c r="CE286" s="141"/>
      <c r="CF286" s="141"/>
      <c r="CG286" s="141"/>
      <c r="CH286" s="141"/>
      <c r="CI286" s="141"/>
      <c r="CJ286" s="141"/>
      <c r="CK286" s="141"/>
      <c r="CL286" s="141"/>
    </row>
    <row r="287" spans="74:90" ht="15" customHeight="1" x14ac:dyDescent="0.35">
      <c r="BV287" s="140"/>
      <c r="BY287" s="141"/>
      <c r="BZ287" s="141"/>
      <c r="CA287" s="141"/>
      <c r="CB287" s="141"/>
      <c r="CC287" s="141"/>
      <c r="CD287" s="141"/>
      <c r="CE287" s="141"/>
      <c r="CF287" s="141"/>
      <c r="CG287" s="141"/>
      <c r="CH287" s="141"/>
      <c r="CI287" s="141"/>
      <c r="CJ287" s="141"/>
      <c r="CK287" s="141"/>
      <c r="CL287" s="141"/>
    </row>
    <row r="288" spans="74:90" ht="15" customHeight="1" x14ac:dyDescent="0.35">
      <c r="BV288" s="140"/>
      <c r="BY288" s="141"/>
      <c r="BZ288" s="141"/>
      <c r="CA288" s="141"/>
      <c r="CB288" s="141"/>
      <c r="CC288" s="141"/>
      <c r="CD288" s="141"/>
      <c r="CE288" s="141"/>
      <c r="CF288" s="141"/>
      <c r="CG288" s="141"/>
      <c r="CH288" s="141"/>
      <c r="CI288" s="141"/>
      <c r="CJ288" s="141"/>
      <c r="CK288" s="141"/>
      <c r="CL288" s="141"/>
    </row>
    <row r="289" spans="74:90" ht="15" customHeight="1" x14ac:dyDescent="0.35">
      <c r="BV289" s="140"/>
      <c r="BY289" s="141"/>
      <c r="BZ289" s="141"/>
      <c r="CA289" s="141"/>
      <c r="CB289" s="141"/>
      <c r="CC289" s="141"/>
      <c r="CD289" s="141"/>
      <c r="CE289" s="141"/>
      <c r="CF289" s="141"/>
      <c r="CG289" s="141"/>
      <c r="CH289" s="141"/>
      <c r="CI289" s="141"/>
      <c r="CJ289" s="141"/>
      <c r="CK289" s="141"/>
      <c r="CL289" s="141"/>
    </row>
    <row r="290" spans="74:90" ht="15" customHeight="1" x14ac:dyDescent="0.35">
      <c r="BV290" s="140"/>
      <c r="BY290" s="141"/>
      <c r="BZ290" s="141"/>
      <c r="CA290" s="141"/>
      <c r="CB290" s="141"/>
      <c r="CC290" s="141"/>
      <c r="CD290" s="141"/>
      <c r="CE290" s="141"/>
      <c r="CF290" s="141"/>
      <c r="CG290" s="141"/>
      <c r="CH290" s="141"/>
      <c r="CI290" s="141"/>
      <c r="CJ290" s="141"/>
      <c r="CK290" s="141"/>
      <c r="CL290" s="141"/>
    </row>
    <row r="291" spans="74:90" ht="15" customHeight="1" x14ac:dyDescent="0.35">
      <c r="BV291" s="140"/>
      <c r="BY291" s="141"/>
      <c r="BZ291" s="141"/>
      <c r="CA291" s="141"/>
      <c r="CB291" s="141"/>
      <c r="CC291" s="141"/>
      <c r="CD291" s="141"/>
      <c r="CE291" s="141"/>
      <c r="CF291" s="141"/>
      <c r="CG291" s="141"/>
      <c r="CH291" s="141"/>
      <c r="CI291" s="141"/>
      <c r="CJ291" s="141"/>
      <c r="CK291" s="141"/>
      <c r="CL291" s="141"/>
    </row>
    <row r="292" spans="74:90" ht="15" customHeight="1" x14ac:dyDescent="0.35">
      <c r="BV292" s="140"/>
      <c r="BY292" s="141"/>
      <c r="BZ292" s="141"/>
      <c r="CA292" s="141"/>
      <c r="CB292" s="141"/>
      <c r="CC292" s="141"/>
      <c r="CD292" s="141"/>
      <c r="CE292" s="141"/>
      <c r="CF292" s="141"/>
      <c r="CG292" s="141"/>
      <c r="CH292" s="141"/>
      <c r="CI292" s="141"/>
      <c r="CJ292" s="141"/>
      <c r="CK292" s="141"/>
      <c r="CL292" s="141"/>
    </row>
    <row r="293" spans="74:90" ht="15" customHeight="1" x14ac:dyDescent="0.35">
      <c r="BV293" s="140"/>
      <c r="BY293" s="141"/>
      <c r="BZ293" s="141"/>
      <c r="CA293" s="141"/>
      <c r="CB293" s="141"/>
      <c r="CC293" s="141"/>
      <c r="CD293" s="141"/>
      <c r="CE293" s="141"/>
      <c r="CF293" s="141"/>
      <c r="CG293" s="141"/>
      <c r="CH293" s="141"/>
      <c r="CI293" s="141"/>
      <c r="CJ293" s="141"/>
      <c r="CK293" s="141"/>
      <c r="CL293" s="141"/>
    </row>
    <row r="294" spans="74:90" ht="15" customHeight="1" x14ac:dyDescent="0.35">
      <c r="BV294" s="140"/>
      <c r="BY294" s="141"/>
      <c r="BZ294" s="141"/>
      <c r="CA294" s="141"/>
      <c r="CB294" s="141"/>
      <c r="CC294" s="141"/>
      <c r="CD294" s="141"/>
      <c r="CE294" s="141"/>
      <c r="CF294" s="141"/>
      <c r="CG294" s="141"/>
      <c r="CH294" s="141"/>
      <c r="CI294" s="141"/>
      <c r="CJ294" s="141"/>
      <c r="CK294" s="141"/>
      <c r="CL294" s="141"/>
    </row>
    <row r="295" spans="74:90" ht="15" customHeight="1" x14ac:dyDescent="0.35">
      <c r="BV295" s="140"/>
      <c r="BY295" s="141"/>
      <c r="BZ295" s="141"/>
      <c r="CA295" s="141"/>
      <c r="CB295" s="141"/>
      <c r="CC295" s="141"/>
      <c r="CD295" s="141"/>
      <c r="CE295" s="141"/>
      <c r="CF295" s="141"/>
      <c r="CG295" s="141"/>
      <c r="CH295" s="141"/>
      <c r="CI295" s="141"/>
      <c r="CJ295" s="141"/>
      <c r="CK295" s="141"/>
      <c r="CL295" s="141"/>
    </row>
    <row r="296" spans="74:90" ht="15" customHeight="1" x14ac:dyDescent="0.35">
      <c r="BV296" s="140"/>
      <c r="BY296" s="141"/>
      <c r="BZ296" s="141"/>
      <c r="CA296" s="141"/>
      <c r="CB296" s="141"/>
      <c r="CC296" s="141"/>
      <c r="CD296" s="141"/>
      <c r="CE296" s="141"/>
      <c r="CF296" s="141"/>
      <c r="CG296" s="141"/>
      <c r="CH296" s="141"/>
      <c r="CI296" s="141"/>
      <c r="CJ296" s="141"/>
      <c r="CK296" s="141"/>
      <c r="CL296" s="141"/>
    </row>
    <row r="297" spans="74:90" ht="15" customHeight="1" x14ac:dyDescent="0.35">
      <c r="BV297" s="140"/>
      <c r="BY297" s="141"/>
      <c r="BZ297" s="141"/>
      <c r="CA297" s="141"/>
      <c r="CB297" s="141"/>
      <c r="CC297" s="141"/>
      <c r="CD297" s="141"/>
      <c r="CE297" s="141"/>
      <c r="CF297" s="141"/>
      <c r="CG297" s="141"/>
      <c r="CH297" s="141"/>
      <c r="CI297" s="141"/>
      <c r="CJ297" s="141"/>
      <c r="CK297" s="141"/>
      <c r="CL297" s="141"/>
    </row>
    <row r="298" spans="74:90" ht="15" customHeight="1" x14ac:dyDescent="0.35">
      <c r="BV298" s="140"/>
      <c r="BY298" s="141"/>
      <c r="BZ298" s="141"/>
      <c r="CA298" s="141"/>
      <c r="CB298" s="141"/>
      <c r="CC298" s="141"/>
      <c r="CD298" s="141"/>
      <c r="CE298" s="141"/>
      <c r="CF298" s="141"/>
      <c r="CG298" s="141"/>
      <c r="CH298" s="141"/>
      <c r="CI298" s="141"/>
      <c r="CJ298" s="141"/>
      <c r="CK298" s="141"/>
      <c r="CL298" s="141"/>
    </row>
    <row r="299" spans="74:90" ht="15" customHeight="1" x14ac:dyDescent="0.35">
      <c r="BV299" s="140"/>
      <c r="BY299" s="141"/>
      <c r="BZ299" s="141"/>
      <c r="CA299" s="141"/>
      <c r="CB299" s="141"/>
      <c r="CC299" s="141"/>
      <c r="CD299" s="141"/>
      <c r="CE299" s="141"/>
      <c r="CF299" s="141"/>
      <c r="CG299" s="141"/>
      <c r="CH299" s="141"/>
      <c r="CI299" s="141"/>
      <c r="CJ299" s="141"/>
      <c r="CK299" s="141"/>
      <c r="CL299" s="141"/>
    </row>
    <row r="300" spans="74:90" ht="15" customHeight="1" x14ac:dyDescent="0.35">
      <c r="BV300" s="140"/>
      <c r="BY300" s="141"/>
      <c r="BZ300" s="141"/>
      <c r="CA300" s="141"/>
      <c r="CB300" s="141"/>
      <c r="CC300" s="141"/>
      <c r="CD300" s="141"/>
      <c r="CE300" s="141"/>
      <c r="CF300" s="141"/>
      <c r="CG300" s="141"/>
      <c r="CH300" s="141"/>
      <c r="CI300" s="141"/>
      <c r="CJ300" s="141"/>
      <c r="CK300" s="141"/>
      <c r="CL300" s="141"/>
    </row>
    <row r="301" spans="74:90" ht="15" customHeight="1" x14ac:dyDescent="0.35">
      <c r="BV301" s="140"/>
      <c r="BY301" s="141"/>
      <c r="BZ301" s="141"/>
      <c r="CA301" s="141"/>
      <c r="CB301" s="141"/>
      <c r="CC301" s="141"/>
      <c r="CD301" s="141"/>
      <c r="CE301" s="141"/>
      <c r="CF301" s="141"/>
      <c r="CG301" s="141"/>
      <c r="CH301" s="141"/>
      <c r="CI301" s="141"/>
      <c r="CJ301" s="141"/>
      <c r="CK301" s="141"/>
      <c r="CL301" s="141"/>
    </row>
    <row r="302" spans="74:90" ht="15" customHeight="1" x14ac:dyDescent="0.35">
      <c r="BV302" s="140"/>
      <c r="BY302" s="141"/>
      <c r="BZ302" s="141"/>
      <c r="CA302" s="141"/>
      <c r="CB302" s="141"/>
      <c r="CC302" s="141"/>
      <c r="CD302" s="141"/>
      <c r="CE302" s="141"/>
      <c r="CF302" s="141"/>
      <c r="CG302" s="141"/>
      <c r="CH302" s="141"/>
      <c r="CI302" s="141"/>
      <c r="CJ302" s="141"/>
      <c r="CK302" s="141"/>
      <c r="CL302" s="141"/>
    </row>
    <row r="303" spans="74:90" ht="15" customHeight="1" x14ac:dyDescent="0.35">
      <c r="BV303" s="140"/>
      <c r="BY303" s="141"/>
      <c r="BZ303" s="141"/>
      <c r="CA303" s="141"/>
      <c r="CB303" s="141"/>
      <c r="CC303" s="141"/>
      <c r="CD303" s="141"/>
      <c r="CE303" s="141"/>
      <c r="CF303" s="141"/>
      <c r="CG303" s="141"/>
      <c r="CH303" s="141"/>
      <c r="CI303" s="141"/>
      <c r="CJ303" s="141"/>
      <c r="CK303" s="141"/>
      <c r="CL303" s="141"/>
    </row>
    <row r="304" spans="74:90" ht="15" customHeight="1" x14ac:dyDescent="0.35">
      <c r="BV304" s="140"/>
      <c r="BY304" s="141"/>
      <c r="BZ304" s="141"/>
      <c r="CA304" s="141"/>
      <c r="CB304" s="141"/>
      <c r="CC304" s="141"/>
      <c r="CD304" s="141"/>
      <c r="CE304" s="141"/>
      <c r="CF304" s="141"/>
      <c r="CG304" s="141"/>
      <c r="CH304" s="141"/>
      <c r="CI304" s="141"/>
      <c r="CJ304" s="141"/>
      <c r="CK304" s="141"/>
      <c r="CL304" s="141"/>
    </row>
    <row r="305" spans="74:90" ht="15" customHeight="1" x14ac:dyDescent="0.35">
      <c r="BV305" s="140"/>
      <c r="BY305" s="141"/>
      <c r="BZ305" s="141"/>
      <c r="CA305" s="141"/>
      <c r="CB305" s="141"/>
      <c r="CC305" s="141"/>
      <c r="CD305" s="141"/>
      <c r="CE305" s="141"/>
      <c r="CF305" s="141"/>
      <c r="CG305" s="141"/>
      <c r="CH305" s="141"/>
      <c r="CI305" s="141"/>
      <c r="CJ305" s="141"/>
      <c r="CK305" s="141"/>
      <c r="CL305" s="141"/>
    </row>
    <row r="306" spans="74:90" ht="15" customHeight="1" x14ac:dyDescent="0.35">
      <c r="BV306" s="140"/>
      <c r="BY306" s="141"/>
      <c r="BZ306" s="141"/>
      <c r="CA306" s="141"/>
      <c r="CB306" s="141"/>
      <c r="CC306" s="141"/>
      <c r="CD306" s="141"/>
      <c r="CE306" s="141"/>
      <c r="CF306" s="141"/>
      <c r="CG306" s="141"/>
      <c r="CH306" s="141"/>
      <c r="CI306" s="141"/>
      <c r="CJ306" s="141"/>
      <c r="CK306" s="141"/>
      <c r="CL306" s="141"/>
    </row>
    <row r="307" spans="74:90" ht="15" customHeight="1" x14ac:dyDescent="0.35">
      <c r="BV307" s="140"/>
      <c r="BY307" s="141"/>
      <c r="BZ307" s="141"/>
      <c r="CA307" s="141"/>
      <c r="CB307" s="141"/>
      <c r="CC307" s="141"/>
      <c r="CD307" s="141"/>
      <c r="CE307" s="141"/>
      <c r="CF307" s="141"/>
      <c r="CG307" s="141"/>
      <c r="CH307" s="141"/>
      <c r="CI307" s="141"/>
      <c r="CJ307" s="141"/>
      <c r="CK307" s="141"/>
      <c r="CL307" s="141"/>
    </row>
    <row r="308" spans="74:90" ht="15" customHeight="1" x14ac:dyDescent="0.35">
      <c r="BV308" s="140"/>
      <c r="BY308" s="141"/>
      <c r="BZ308" s="141"/>
      <c r="CA308" s="141"/>
      <c r="CB308" s="141"/>
      <c r="CC308" s="141"/>
      <c r="CD308" s="141"/>
      <c r="CE308" s="141"/>
      <c r="CF308" s="141"/>
      <c r="CG308" s="141"/>
      <c r="CH308" s="141"/>
      <c r="CI308" s="141"/>
      <c r="CJ308" s="141"/>
      <c r="CK308" s="141"/>
      <c r="CL308" s="141"/>
    </row>
    <row r="309" spans="74:90" ht="15" customHeight="1" x14ac:dyDescent="0.35">
      <c r="BV309" s="140"/>
      <c r="BY309" s="141"/>
      <c r="BZ309" s="141"/>
      <c r="CA309" s="141"/>
      <c r="CB309" s="141"/>
      <c r="CC309" s="141"/>
      <c r="CD309" s="141"/>
      <c r="CE309" s="141"/>
      <c r="CF309" s="141"/>
      <c r="CG309" s="141"/>
      <c r="CH309" s="141"/>
      <c r="CI309" s="141"/>
      <c r="CJ309" s="141"/>
      <c r="CK309" s="141"/>
      <c r="CL309" s="141"/>
    </row>
    <row r="310" spans="74:90" ht="15" customHeight="1" x14ac:dyDescent="0.35">
      <c r="BV310" s="140"/>
      <c r="BY310" s="141"/>
      <c r="BZ310" s="141"/>
      <c r="CA310" s="141"/>
      <c r="CB310" s="141"/>
      <c r="CC310" s="141"/>
      <c r="CD310" s="141"/>
      <c r="CE310" s="141"/>
      <c r="CF310" s="141"/>
      <c r="CG310" s="141"/>
      <c r="CH310" s="141"/>
      <c r="CI310" s="141"/>
      <c r="CJ310" s="141"/>
      <c r="CK310" s="141"/>
      <c r="CL310" s="141"/>
    </row>
    <row r="311" spans="74:90" ht="15" customHeight="1" x14ac:dyDescent="0.35">
      <c r="BV311" s="140"/>
      <c r="BY311" s="141"/>
      <c r="BZ311" s="141"/>
      <c r="CA311" s="141"/>
      <c r="CB311" s="141"/>
      <c r="CC311" s="141"/>
      <c r="CD311" s="141"/>
      <c r="CE311" s="141"/>
      <c r="CF311" s="141"/>
      <c r="CG311" s="141"/>
      <c r="CH311" s="141"/>
      <c r="CI311" s="141"/>
      <c r="CJ311" s="141"/>
      <c r="CK311" s="141"/>
      <c r="CL311" s="141"/>
    </row>
    <row r="312" spans="74:90" ht="15" customHeight="1" x14ac:dyDescent="0.35">
      <c r="BV312" s="140"/>
      <c r="BY312" s="141"/>
      <c r="BZ312" s="141"/>
      <c r="CA312" s="141"/>
      <c r="CB312" s="141"/>
      <c r="CC312" s="141"/>
      <c r="CD312" s="141"/>
      <c r="CE312" s="141"/>
      <c r="CF312" s="141"/>
      <c r="CG312" s="141"/>
      <c r="CH312" s="141"/>
      <c r="CI312" s="141"/>
      <c r="CJ312" s="141"/>
      <c r="CK312" s="141"/>
      <c r="CL312" s="141"/>
    </row>
    <row r="313" spans="74:90" ht="15" customHeight="1" x14ac:dyDescent="0.35">
      <c r="BV313" s="140"/>
      <c r="BY313" s="141"/>
      <c r="BZ313" s="141"/>
      <c r="CA313" s="141"/>
      <c r="CB313" s="141"/>
      <c r="CC313" s="141"/>
      <c r="CD313" s="141"/>
      <c r="CE313" s="141"/>
      <c r="CF313" s="141"/>
      <c r="CG313" s="141"/>
      <c r="CH313" s="141"/>
      <c r="CI313" s="141"/>
      <c r="CJ313" s="141"/>
      <c r="CK313" s="141"/>
      <c r="CL313" s="141"/>
    </row>
    <row r="314" spans="74:90" ht="15" customHeight="1" x14ac:dyDescent="0.35">
      <c r="BV314" s="140"/>
      <c r="BY314" s="141"/>
      <c r="BZ314" s="141"/>
      <c r="CA314" s="141"/>
      <c r="CB314" s="141"/>
      <c r="CC314" s="141"/>
      <c r="CD314" s="141"/>
      <c r="CE314" s="141"/>
      <c r="CF314" s="141"/>
      <c r="CG314" s="141"/>
      <c r="CH314" s="141"/>
      <c r="CI314" s="141"/>
      <c r="CJ314" s="141"/>
      <c r="CK314" s="141"/>
      <c r="CL314" s="141"/>
    </row>
    <row r="315" spans="74:90" ht="15" customHeight="1" x14ac:dyDescent="0.35">
      <c r="BV315" s="140"/>
      <c r="BY315" s="141"/>
      <c r="BZ315" s="141"/>
      <c r="CA315" s="141"/>
      <c r="CB315" s="141"/>
      <c r="CC315" s="141"/>
      <c r="CD315" s="141"/>
      <c r="CE315" s="141"/>
      <c r="CF315" s="141"/>
      <c r="CG315" s="141"/>
      <c r="CH315" s="141"/>
      <c r="CI315" s="141"/>
      <c r="CJ315" s="141"/>
      <c r="CK315" s="141"/>
      <c r="CL315" s="141"/>
    </row>
    <row r="316" spans="74:90" ht="15" customHeight="1" x14ac:dyDescent="0.35">
      <c r="BV316" s="140"/>
      <c r="BY316" s="141"/>
      <c r="BZ316" s="141"/>
      <c r="CA316" s="141"/>
      <c r="CB316" s="141"/>
      <c r="CC316" s="141"/>
      <c r="CD316" s="141"/>
      <c r="CE316" s="141"/>
      <c r="CF316" s="141"/>
      <c r="CG316" s="141"/>
      <c r="CH316" s="141"/>
      <c r="CI316" s="141"/>
      <c r="CJ316" s="141"/>
      <c r="CK316" s="141"/>
      <c r="CL316" s="141"/>
    </row>
    <row r="317" spans="74:90" ht="15" customHeight="1" x14ac:dyDescent="0.35">
      <c r="BV317" s="140"/>
      <c r="BY317" s="141"/>
      <c r="BZ317" s="141"/>
      <c r="CA317" s="141"/>
      <c r="CB317" s="141"/>
      <c r="CC317" s="141"/>
      <c r="CD317" s="141"/>
      <c r="CE317" s="141"/>
      <c r="CF317" s="141"/>
      <c r="CG317" s="141"/>
      <c r="CH317" s="141"/>
      <c r="CI317" s="141"/>
      <c r="CJ317" s="141"/>
      <c r="CK317" s="141"/>
      <c r="CL317" s="141"/>
    </row>
    <row r="318" spans="74:90" ht="15" customHeight="1" x14ac:dyDescent="0.35">
      <c r="BV318" s="140"/>
      <c r="BY318" s="141"/>
      <c r="BZ318" s="141"/>
      <c r="CA318" s="141"/>
      <c r="CB318" s="141"/>
      <c r="CC318" s="141"/>
      <c r="CD318" s="141"/>
      <c r="CE318" s="141"/>
      <c r="CF318" s="141"/>
      <c r="CG318" s="141"/>
      <c r="CH318" s="141"/>
      <c r="CI318" s="141"/>
      <c r="CJ318" s="141"/>
      <c r="CK318" s="141"/>
      <c r="CL318" s="141"/>
    </row>
    <row r="319" spans="74:90" ht="15" customHeight="1" x14ac:dyDescent="0.35">
      <c r="BV319" s="140"/>
      <c r="BY319" s="141"/>
      <c r="BZ319" s="141"/>
      <c r="CA319" s="141"/>
      <c r="CB319" s="141"/>
      <c r="CC319" s="141"/>
      <c r="CD319" s="141"/>
      <c r="CE319" s="141"/>
      <c r="CF319" s="141"/>
      <c r="CG319" s="141"/>
      <c r="CH319" s="141"/>
      <c r="CI319" s="141"/>
      <c r="CJ319" s="141"/>
      <c r="CK319" s="141"/>
      <c r="CL319" s="141"/>
    </row>
    <row r="320" spans="74:90" ht="15" customHeight="1" x14ac:dyDescent="0.35">
      <c r="BV320" s="140"/>
      <c r="BY320" s="141"/>
      <c r="BZ320" s="141"/>
      <c r="CA320" s="141"/>
      <c r="CB320" s="141"/>
      <c r="CC320" s="141"/>
      <c r="CD320" s="141"/>
      <c r="CE320" s="141"/>
      <c r="CF320" s="141"/>
      <c r="CG320" s="141"/>
      <c r="CH320" s="141"/>
      <c r="CI320" s="141"/>
      <c r="CJ320" s="141"/>
      <c r="CK320" s="141"/>
      <c r="CL320" s="141"/>
    </row>
    <row r="321" spans="74:90" ht="15" customHeight="1" x14ac:dyDescent="0.35">
      <c r="BV321" s="140"/>
      <c r="BY321" s="141"/>
      <c r="BZ321" s="141"/>
      <c r="CA321" s="141"/>
      <c r="CB321" s="141"/>
      <c r="CC321" s="141"/>
      <c r="CD321" s="141"/>
      <c r="CE321" s="141"/>
      <c r="CF321" s="141"/>
      <c r="CG321" s="141"/>
      <c r="CH321" s="141"/>
      <c r="CI321" s="141"/>
      <c r="CJ321" s="141"/>
      <c r="CK321" s="141"/>
      <c r="CL321" s="141"/>
    </row>
    <row r="322" spans="74:90" ht="15" customHeight="1" x14ac:dyDescent="0.35">
      <c r="BV322" s="140"/>
      <c r="BY322" s="141"/>
      <c r="BZ322" s="141"/>
      <c r="CA322" s="141"/>
      <c r="CB322" s="141"/>
      <c r="CC322" s="141"/>
      <c r="CD322" s="141"/>
      <c r="CE322" s="141"/>
      <c r="CF322" s="141"/>
      <c r="CG322" s="141"/>
      <c r="CH322" s="141"/>
      <c r="CI322" s="141"/>
      <c r="CJ322" s="141"/>
      <c r="CK322" s="141"/>
      <c r="CL322" s="141"/>
    </row>
    <row r="323" spans="74:90" ht="15" customHeight="1" x14ac:dyDescent="0.35">
      <c r="BV323" s="140"/>
      <c r="BY323" s="141"/>
      <c r="BZ323" s="141"/>
      <c r="CA323" s="141"/>
      <c r="CB323" s="141"/>
      <c r="CC323" s="141"/>
      <c r="CD323" s="141"/>
      <c r="CE323" s="141"/>
      <c r="CF323" s="141"/>
      <c r="CG323" s="141"/>
      <c r="CH323" s="141"/>
      <c r="CI323" s="141"/>
      <c r="CJ323" s="141"/>
      <c r="CK323" s="141"/>
      <c r="CL323" s="141"/>
    </row>
    <row r="324" spans="74:90" ht="15" customHeight="1" x14ac:dyDescent="0.35">
      <c r="BV324" s="140"/>
      <c r="BY324" s="141"/>
      <c r="BZ324" s="141"/>
      <c r="CA324" s="141"/>
      <c r="CB324" s="141"/>
      <c r="CC324" s="141"/>
      <c r="CD324" s="141"/>
      <c r="CE324" s="141"/>
      <c r="CF324" s="141"/>
      <c r="CG324" s="141"/>
      <c r="CH324" s="141"/>
      <c r="CI324" s="141"/>
      <c r="CJ324" s="141"/>
      <c r="CK324" s="141"/>
      <c r="CL324" s="141"/>
    </row>
    <row r="325" spans="74:90" ht="15" customHeight="1" x14ac:dyDescent="0.35">
      <c r="BV325" s="140"/>
      <c r="BY325" s="141"/>
      <c r="BZ325" s="141"/>
      <c r="CA325" s="141"/>
      <c r="CB325" s="141"/>
      <c r="CC325" s="141"/>
      <c r="CD325" s="141"/>
      <c r="CE325" s="141"/>
      <c r="CF325" s="141"/>
      <c r="CG325" s="141"/>
      <c r="CH325" s="141"/>
      <c r="CI325" s="141"/>
      <c r="CJ325" s="141"/>
      <c r="CK325" s="141"/>
      <c r="CL325" s="141"/>
    </row>
    <row r="326" spans="74:90" ht="15" customHeight="1" x14ac:dyDescent="0.35">
      <c r="BV326" s="140"/>
      <c r="BY326" s="141"/>
      <c r="BZ326" s="141"/>
      <c r="CA326" s="141"/>
      <c r="CB326" s="141"/>
      <c r="CC326" s="141"/>
      <c r="CD326" s="141"/>
      <c r="CE326" s="141"/>
      <c r="CF326" s="141"/>
      <c r="CG326" s="141"/>
      <c r="CH326" s="141"/>
      <c r="CI326" s="141"/>
      <c r="CJ326" s="141"/>
      <c r="CK326" s="141"/>
      <c r="CL326" s="141"/>
    </row>
    <row r="327" spans="74:90" ht="15" customHeight="1" x14ac:dyDescent="0.35">
      <c r="BV327" s="140"/>
      <c r="BY327" s="141"/>
      <c r="BZ327" s="141"/>
      <c r="CA327" s="141"/>
      <c r="CB327" s="141"/>
      <c r="CC327" s="141"/>
      <c r="CD327" s="141"/>
      <c r="CE327" s="141"/>
      <c r="CF327" s="141"/>
      <c r="CG327" s="141"/>
      <c r="CH327" s="141"/>
      <c r="CI327" s="141"/>
      <c r="CJ327" s="141"/>
      <c r="CK327" s="141"/>
      <c r="CL327" s="141"/>
    </row>
    <row r="328" spans="74:90" ht="15" customHeight="1" x14ac:dyDescent="0.35">
      <c r="BV328" s="140"/>
      <c r="BY328" s="141"/>
      <c r="BZ328" s="141"/>
      <c r="CA328" s="141"/>
      <c r="CB328" s="141"/>
      <c r="CC328" s="141"/>
      <c r="CD328" s="141"/>
      <c r="CE328" s="141"/>
      <c r="CF328" s="141"/>
      <c r="CG328" s="141"/>
      <c r="CH328" s="141"/>
      <c r="CI328" s="141"/>
      <c r="CJ328" s="141"/>
      <c r="CK328" s="141"/>
      <c r="CL328" s="141"/>
    </row>
    <row r="329" spans="74:90" ht="15" customHeight="1" x14ac:dyDescent="0.35">
      <c r="BV329" s="140"/>
      <c r="BY329" s="141"/>
      <c r="BZ329" s="141"/>
      <c r="CA329" s="141"/>
      <c r="CB329" s="141"/>
      <c r="CC329" s="141"/>
      <c r="CD329" s="141"/>
      <c r="CE329" s="141"/>
      <c r="CF329" s="141"/>
      <c r="CG329" s="141"/>
      <c r="CH329" s="141"/>
      <c r="CI329" s="141"/>
      <c r="CJ329" s="141"/>
      <c r="CK329" s="141"/>
      <c r="CL329" s="141"/>
    </row>
    <row r="330" spans="74:90" ht="15" customHeight="1" x14ac:dyDescent="0.35">
      <c r="BV330" s="140"/>
      <c r="BY330" s="141"/>
      <c r="BZ330" s="141"/>
      <c r="CA330" s="141"/>
      <c r="CB330" s="141"/>
      <c r="CC330" s="141"/>
      <c r="CD330" s="141"/>
      <c r="CE330" s="141"/>
      <c r="CF330" s="141"/>
      <c r="CG330" s="141"/>
      <c r="CH330" s="141"/>
      <c r="CI330" s="141"/>
      <c r="CJ330" s="141"/>
      <c r="CK330" s="141"/>
      <c r="CL330" s="141"/>
    </row>
    <row r="331" spans="74:90" ht="15" customHeight="1" x14ac:dyDescent="0.35">
      <c r="BV331" s="140"/>
      <c r="BY331" s="141"/>
      <c r="BZ331" s="141"/>
      <c r="CA331" s="141"/>
      <c r="CB331" s="141"/>
      <c r="CC331" s="141"/>
      <c r="CD331" s="141"/>
      <c r="CE331" s="141"/>
      <c r="CF331" s="141"/>
      <c r="CG331" s="141"/>
      <c r="CH331" s="141"/>
      <c r="CI331" s="141"/>
      <c r="CJ331" s="141"/>
      <c r="CK331" s="141"/>
      <c r="CL331" s="141"/>
    </row>
    <row r="332" spans="74:90" ht="15" customHeight="1" x14ac:dyDescent="0.35">
      <c r="BV332" s="140"/>
      <c r="BY332" s="141"/>
      <c r="BZ332" s="141"/>
      <c r="CA332" s="141"/>
      <c r="CB332" s="141"/>
      <c r="CC332" s="141"/>
      <c r="CD332" s="141"/>
      <c r="CE332" s="141"/>
      <c r="CF332" s="141"/>
      <c r="CG332" s="141"/>
      <c r="CH332" s="141"/>
      <c r="CI332" s="141"/>
      <c r="CJ332" s="141"/>
      <c r="CK332" s="141"/>
      <c r="CL332" s="141"/>
    </row>
    <row r="333" spans="74:90" ht="15" customHeight="1" x14ac:dyDescent="0.35">
      <c r="BV333" s="140"/>
      <c r="BY333" s="141"/>
      <c r="BZ333" s="141"/>
      <c r="CA333" s="141"/>
      <c r="CB333" s="141"/>
      <c r="CC333" s="141"/>
      <c r="CD333" s="141"/>
      <c r="CE333" s="141"/>
      <c r="CF333" s="141"/>
      <c r="CG333" s="141"/>
      <c r="CH333" s="141"/>
      <c r="CI333" s="141"/>
      <c r="CJ333" s="141"/>
      <c r="CK333" s="141"/>
      <c r="CL333" s="141"/>
    </row>
    <row r="334" spans="74:90" ht="15" customHeight="1" x14ac:dyDescent="0.35">
      <c r="BV334" s="140"/>
      <c r="BY334" s="141"/>
      <c r="BZ334" s="141"/>
      <c r="CA334" s="141"/>
      <c r="CB334" s="141"/>
      <c r="CC334" s="141"/>
      <c r="CD334" s="141"/>
      <c r="CE334" s="141"/>
      <c r="CF334" s="141"/>
      <c r="CG334" s="141"/>
      <c r="CH334" s="141"/>
      <c r="CI334" s="141"/>
      <c r="CJ334" s="141"/>
      <c r="CK334" s="141"/>
      <c r="CL334" s="141"/>
    </row>
    <row r="335" spans="74:90" ht="15" customHeight="1" x14ac:dyDescent="0.35">
      <c r="BV335" s="140"/>
      <c r="BY335" s="141"/>
      <c r="BZ335" s="141"/>
      <c r="CA335" s="141"/>
      <c r="CB335" s="141"/>
      <c r="CC335" s="141"/>
      <c r="CD335" s="141"/>
      <c r="CE335" s="141"/>
      <c r="CF335" s="141"/>
      <c r="CG335" s="141"/>
      <c r="CH335" s="141"/>
      <c r="CI335" s="141"/>
      <c r="CJ335" s="141"/>
      <c r="CK335" s="141"/>
      <c r="CL335" s="141"/>
    </row>
    <row r="336" spans="74:90" ht="15" customHeight="1" x14ac:dyDescent="0.35">
      <c r="BV336" s="140"/>
      <c r="BY336" s="141"/>
      <c r="BZ336" s="141"/>
      <c r="CA336" s="141"/>
      <c r="CB336" s="141"/>
      <c r="CC336" s="141"/>
      <c r="CD336" s="141"/>
      <c r="CE336" s="141"/>
      <c r="CF336" s="141"/>
      <c r="CG336" s="141"/>
      <c r="CH336" s="141"/>
      <c r="CI336" s="141"/>
      <c r="CJ336" s="141"/>
      <c r="CK336" s="141"/>
      <c r="CL336" s="141"/>
    </row>
    <row r="337" spans="74:90" ht="15" customHeight="1" x14ac:dyDescent="0.35">
      <c r="BV337" s="140"/>
      <c r="BY337" s="141"/>
      <c r="BZ337" s="141"/>
      <c r="CA337" s="141"/>
      <c r="CB337" s="141"/>
      <c r="CC337" s="141"/>
      <c r="CD337" s="141"/>
      <c r="CE337" s="141"/>
      <c r="CF337" s="141"/>
      <c r="CG337" s="141"/>
      <c r="CH337" s="141"/>
      <c r="CI337" s="141"/>
      <c r="CJ337" s="141"/>
      <c r="CK337" s="141"/>
      <c r="CL337" s="141"/>
    </row>
    <row r="338" spans="74:90" ht="15" customHeight="1" x14ac:dyDescent="0.35">
      <c r="BV338" s="140"/>
      <c r="BY338" s="141"/>
      <c r="BZ338" s="141"/>
      <c r="CA338" s="141"/>
      <c r="CB338" s="141"/>
      <c r="CC338" s="141"/>
      <c r="CD338" s="141"/>
      <c r="CE338" s="141"/>
      <c r="CF338" s="141"/>
      <c r="CG338" s="141"/>
      <c r="CH338" s="141"/>
      <c r="CI338" s="141"/>
      <c r="CJ338" s="141"/>
      <c r="CK338" s="141"/>
      <c r="CL338" s="141"/>
    </row>
    <row r="339" spans="74:90" ht="15" customHeight="1" x14ac:dyDescent="0.35">
      <c r="BV339" s="140"/>
      <c r="BY339" s="141"/>
      <c r="BZ339" s="141"/>
      <c r="CA339" s="141"/>
      <c r="CB339" s="141"/>
      <c r="CC339" s="141"/>
      <c r="CD339" s="141"/>
      <c r="CE339" s="141"/>
      <c r="CF339" s="141"/>
      <c r="CG339" s="141"/>
      <c r="CH339" s="141"/>
      <c r="CI339" s="141"/>
      <c r="CJ339" s="141"/>
      <c r="CK339" s="141"/>
      <c r="CL339" s="141"/>
    </row>
    <row r="340" spans="74:90" ht="15" customHeight="1" x14ac:dyDescent="0.35">
      <c r="BV340" s="140"/>
      <c r="BY340" s="141"/>
      <c r="BZ340" s="141"/>
      <c r="CA340" s="141"/>
      <c r="CB340" s="141"/>
      <c r="CC340" s="141"/>
      <c r="CD340" s="141"/>
      <c r="CE340" s="141"/>
      <c r="CF340" s="141"/>
      <c r="CG340" s="141"/>
      <c r="CH340" s="141"/>
      <c r="CI340" s="141"/>
      <c r="CJ340" s="141"/>
      <c r="CK340" s="141"/>
      <c r="CL340" s="141"/>
    </row>
    <row r="341" spans="74:90" ht="15" customHeight="1" x14ac:dyDescent="0.35">
      <c r="BV341" s="140"/>
      <c r="BY341" s="141"/>
      <c r="BZ341" s="141"/>
      <c r="CA341" s="141"/>
      <c r="CB341" s="141"/>
      <c r="CC341" s="141"/>
      <c r="CD341" s="141"/>
      <c r="CE341" s="141"/>
      <c r="CF341" s="141"/>
      <c r="CG341" s="141"/>
      <c r="CH341" s="141"/>
      <c r="CI341" s="141"/>
      <c r="CJ341" s="141"/>
      <c r="CK341" s="141"/>
      <c r="CL341" s="141"/>
    </row>
    <row r="342" spans="74:90" ht="15" customHeight="1" x14ac:dyDescent="0.35">
      <c r="BV342" s="140"/>
      <c r="BY342" s="141"/>
      <c r="BZ342" s="141"/>
      <c r="CA342" s="141"/>
      <c r="CB342" s="141"/>
      <c r="CC342" s="141"/>
      <c r="CD342" s="141"/>
      <c r="CE342" s="141"/>
      <c r="CF342" s="141"/>
      <c r="CG342" s="141"/>
      <c r="CH342" s="141"/>
      <c r="CI342" s="141"/>
      <c r="CJ342" s="141"/>
      <c r="CK342" s="141"/>
      <c r="CL342" s="141"/>
    </row>
    <row r="343" spans="74:90" ht="15" customHeight="1" x14ac:dyDescent="0.35">
      <c r="BV343" s="140"/>
      <c r="BY343" s="141"/>
      <c r="BZ343" s="141"/>
      <c r="CA343" s="141"/>
      <c r="CB343" s="141"/>
      <c r="CC343" s="141"/>
      <c r="CD343" s="141"/>
      <c r="CE343" s="141"/>
      <c r="CF343" s="141"/>
      <c r="CG343" s="141"/>
      <c r="CH343" s="141"/>
      <c r="CI343" s="141"/>
      <c r="CJ343" s="141"/>
      <c r="CK343" s="141"/>
      <c r="CL343" s="141"/>
    </row>
    <row r="344" spans="74:90" ht="15" customHeight="1" x14ac:dyDescent="0.35">
      <c r="BV344" s="140"/>
      <c r="BY344" s="141"/>
      <c r="BZ344" s="141"/>
      <c r="CA344" s="141"/>
      <c r="CB344" s="141"/>
      <c r="CC344" s="141"/>
      <c r="CD344" s="141"/>
      <c r="CE344" s="141"/>
      <c r="CF344" s="141"/>
      <c r="CG344" s="141"/>
      <c r="CH344" s="141"/>
      <c r="CI344" s="141"/>
      <c r="CJ344" s="141"/>
      <c r="CK344" s="141"/>
      <c r="CL344" s="141"/>
    </row>
    <row r="345" spans="74:90" ht="15" customHeight="1" x14ac:dyDescent="0.35">
      <c r="BV345" s="140"/>
      <c r="BY345" s="141"/>
      <c r="BZ345" s="141"/>
      <c r="CA345" s="141"/>
      <c r="CB345" s="141"/>
      <c r="CC345" s="141"/>
      <c r="CD345" s="141"/>
      <c r="CE345" s="141"/>
      <c r="CF345" s="141"/>
      <c r="CG345" s="141"/>
      <c r="CH345" s="141"/>
      <c r="CI345" s="141"/>
      <c r="CJ345" s="141"/>
      <c r="CK345" s="141"/>
      <c r="CL345" s="141"/>
    </row>
    <row r="346" spans="74:90" ht="15" customHeight="1" x14ac:dyDescent="0.35">
      <c r="BV346" s="140"/>
      <c r="BY346" s="141"/>
      <c r="BZ346" s="141"/>
      <c r="CA346" s="141"/>
      <c r="CB346" s="141"/>
      <c r="CC346" s="141"/>
      <c r="CD346" s="141"/>
      <c r="CE346" s="141"/>
      <c r="CF346" s="141"/>
      <c r="CG346" s="141"/>
      <c r="CH346" s="141"/>
      <c r="CI346" s="141"/>
      <c r="CJ346" s="141"/>
      <c r="CK346" s="141"/>
      <c r="CL346" s="141"/>
    </row>
    <row r="347" spans="74:90" ht="15" customHeight="1" x14ac:dyDescent="0.35">
      <c r="BV347" s="140"/>
      <c r="BY347" s="141"/>
      <c r="BZ347" s="141"/>
      <c r="CA347" s="141"/>
      <c r="CB347" s="141"/>
      <c r="CC347" s="141"/>
      <c r="CD347" s="141"/>
      <c r="CE347" s="141"/>
      <c r="CF347" s="141"/>
      <c r="CG347" s="141"/>
      <c r="CH347" s="141"/>
      <c r="CI347" s="141"/>
      <c r="CJ347" s="141"/>
      <c r="CK347" s="141"/>
      <c r="CL347" s="141"/>
    </row>
    <row r="348" spans="74:90" ht="15" customHeight="1" x14ac:dyDescent="0.35">
      <c r="BV348" s="140"/>
      <c r="BY348" s="141"/>
      <c r="BZ348" s="141"/>
      <c r="CA348" s="141"/>
      <c r="CB348" s="141"/>
      <c r="CC348" s="141"/>
      <c r="CD348" s="141"/>
      <c r="CE348" s="141"/>
      <c r="CF348" s="141"/>
      <c r="CG348" s="141"/>
      <c r="CH348" s="141"/>
      <c r="CI348" s="141"/>
      <c r="CJ348" s="141"/>
      <c r="CK348" s="141"/>
      <c r="CL348" s="141"/>
    </row>
    <row r="349" spans="74:90" ht="15" customHeight="1" x14ac:dyDescent="0.35">
      <c r="BV349" s="140"/>
      <c r="BY349" s="141"/>
      <c r="BZ349" s="141"/>
      <c r="CA349" s="141"/>
      <c r="CB349" s="141"/>
      <c r="CC349" s="141"/>
      <c r="CD349" s="141"/>
      <c r="CE349" s="141"/>
      <c r="CF349" s="141"/>
      <c r="CG349" s="141"/>
      <c r="CH349" s="141"/>
      <c r="CI349" s="141"/>
      <c r="CJ349" s="141"/>
      <c r="CK349" s="141"/>
      <c r="CL349" s="141"/>
    </row>
    <row r="350" spans="74:90" ht="15" customHeight="1" x14ac:dyDescent="0.35">
      <c r="BV350" s="140"/>
      <c r="BY350" s="141"/>
      <c r="BZ350" s="141"/>
      <c r="CA350" s="141"/>
      <c r="CB350" s="141"/>
      <c r="CC350" s="141"/>
      <c r="CD350" s="141"/>
      <c r="CE350" s="141"/>
      <c r="CF350" s="141"/>
      <c r="CG350" s="141"/>
      <c r="CH350" s="141"/>
      <c r="CI350" s="141"/>
      <c r="CJ350" s="141"/>
      <c r="CK350" s="141"/>
      <c r="CL350" s="141"/>
    </row>
    <row r="351" spans="74:90" ht="15" customHeight="1" x14ac:dyDescent="0.35">
      <c r="BV351" s="140"/>
      <c r="BY351" s="141"/>
      <c r="BZ351" s="141"/>
      <c r="CA351" s="141"/>
      <c r="CB351" s="141"/>
      <c r="CC351" s="141"/>
      <c r="CD351" s="141"/>
      <c r="CE351" s="141"/>
      <c r="CF351" s="141"/>
      <c r="CG351" s="141"/>
      <c r="CH351" s="141"/>
      <c r="CI351" s="141"/>
      <c r="CJ351" s="141"/>
      <c r="CK351" s="141"/>
      <c r="CL351" s="141"/>
    </row>
    <row r="352" spans="74:90" ht="15" customHeight="1" x14ac:dyDescent="0.35">
      <c r="BV352" s="140"/>
      <c r="BY352" s="141"/>
      <c r="BZ352" s="141"/>
      <c r="CA352" s="141"/>
      <c r="CB352" s="141"/>
      <c r="CC352" s="141"/>
      <c r="CD352" s="141"/>
      <c r="CE352" s="141"/>
      <c r="CF352" s="141"/>
      <c r="CG352" s="141"/>
      <c r="CH352" s="141"/>
      <c r="CI352" s="141"/>
      <c r="CJ352" s="141"/>
      <c r="CK352" s="141"/>
      <c r="CL352" s="141"/>
    </row>
    <row r="353" spans="74:90" ht="15" customHeight="1" x14ac:dyDescent="0.35">
      <c r="BV353" s="140"/>
      <c r="BY353" s="141"/>
      <c r="BZ353" s="141"/>
      <c r="CA353" s="141"/>
      <c r="CB353" s="141"/>
      <c r="CC353" s="141"/>
      <c r="CD353" s="141"/>
      <c r="CE353" s="141"/>
      <c r="CF353" s="141"/>
      <c r="CG353" s="141"/>
      <c r="CH353" s="141"/>
      <c r="CI353" s="141"/>
      <c r="CJ353" s="141"/>
      <c r="CK353" s="141"/>
      <c r="CL353" s="141"/>
    </row>
    <row r="354" spans="74:90" ht="15" customHeight="1" x14ac:dyDescent="0.35">
      <c r="BV354" s="140"/>
      <c r="BY354" s="141"/>
      <c r="BZ354" s="141"/>
      <c r="CA354" s="141"/>
      <c r="CB354" s="141"/>
      <c r="CC354" s="141"/>
      <c r="CD354" s="141"/>
      <c r="CE354" s="141"/>
      <c r="CF354" s="141"/>
      <c r="CG354" s="141"/>
      <c r="CH354" s="141"/>
      <c r="CI354" s="141"/>
      <c r="CJ354" s="141"/>
      <c r="CK354" s="141"/>
      <c r="CL354" s="141"/>
    </row>
    <row r="355" spans="74:90" ht="15" customHeight="1" x14ac:dyDescent="0.35">
      <c r="BV355" s="140"/>
      <c r="BY355" s="141"/>
      <c r="BZ355" s="141"/>
      <c r="CA355" s="141"/>
      <c r="CB355" s="141"/>
      <c r="CC355" s="141"/>
      <c r="CD355" s="141"/>
      <c r="CE355" s="141"/>
      <c r="CF355" s="141"/>
      <c r="CG355" s="141"/>
      <c r="CH355" s="141"/>
      <c r="CI355" s="141"/>
      <c r="CJ355" s="141"/>
      <c r="CK355" s="141"/>
      <c r="CL355" s="141"/>
    </row>
    <row r="356" spans="74:90" ht="15" customHeight="1" x14ac:dyDescent="0.35">
      <c r="BV356" s="140"/>
      <c r="BY356" s="141"/>
      <c r="BZ356" s="141"/>
      <c r="CA356" s="141"/>
      <c r="CB356" s="141"/>
      <c r="CC356" s="141"/>
      <c r="CD356" s="141"/>
      <c r="CE356" s="141"/>
      <c r="CF356" s="141"/>
      <c r="CG356" s="141"/>
      <c r="CH356" s="141"/>
      <c r="CI356" s="141"/>
      <c r="CJ356" s="141"/>
      <c r="CK356" s="141"/>
      <c r="CL356" s="141"/>
    </row>
    <row r="357" spans="74:90" ht="15" customHeight="1" x14ac:dyDescent="0.35">
      <c r="BV357" s="140"/>
      <c r="BY357" s="141"/>
      <c r="BZ357" s="141"/>
      <c r="CA357" s="141"/>
      <c r="CB357" s="141"/>
      <c r="CC357" s="141"/>
      <c r="CD357" s="141"/>
      <c r="CE357" s="141"/>
      <c r="CF357" s="141"/>
      <c r="CG357" s="141"/>
      <c r="CH357" s="141"/>
      <c r="CI357" s="141"/>
      <c r="CJ357" s="141"/>
      <c r="CK357" s="141"/>
      <c r="CL357" s="141"/>
    </row>
    <row r="358" spans="74:90" ht="15" customHeight="1" x14ac:dyDescent="0.35">
      <c r="BV358" s="140"/>
      <c r="BY358" s="141"/>
      <c r="BZ358" s="141"/>
      <c r="CA358" s="141"/>
      <c r="CB358" s="141"/>
      <c r="CC358" s="141"/>
      <c r="CD358" s="141"/>
      <c r="CE358" s="141"/>
      <c r="CF358" s="141"/>
      <c r="CG358" s="141"/>
      <c r="CH358" s="141"/>
      <c r="CI358" s="141"/>
      <c r="CJ358" s="141"/>
      <c r="CK358" s="141"/>
      <c r="CL358" s="141"/>
    </row>
    <row r="359" spans="74:90" ht="15" customHeight="1" x14ac:dyDescent="0.35">
      <c r="BV359" s="140"/>
      <c r="BY359" s="141"/>
      <c r="BZ359" s="141"/>
      <c r="CA359" s="141"/>
      <c r="CB359" s="141"/>
      <c r="CC359" s="141"/>
      <c r="CD359" s="141"/>
      <c r="CE359" s="141"/>
      <c r="CF359" s="141"/>
      <c r="CG359" s="141"/>
      <c r="CH359" s="141"/>
      <c r="CI359" s="141"/>
      <c r="CJ359" s="141"/>
      <c r="CK359" s="141"/>
      <c r="CL359" s="141"/>
    </row>
    <row r="360" spans="74:90" ht="15" customHeight="1" x14ac:dyDescent="0.35">
      <c r="BV360" s="140"/>
      <c r="BY360" s="141"/>
      <c r="BZ360" s="141"/>
      <c r="CA360" s="141"/>
      <c r="CB360" s="141"/>
      <c r="CC360" s="141"/>
      <c r="CD360" s="141"/>
      <c r="CE360" s="141"/>
      <c r="CF360" s="141"/>
      <c r="CG360" s="141"/>
      <c r="CH360" s="141"/>
      <c r="CI360" s="141"/>
      <c r="CJ360" s="141"/>
      <c r="CK360" s="141"/>
      <c r="CL360" s="141"/>
    </row>
    <row r="361" spans="74:90" ht="15" customHeight="1" x14ac:dyDescent="0.35">
      <c r="BV361" s="140"/>
      <c r="BY361" s="141"/>
      <c r="BZ361" s="141"/>
      <c r="CA361" s="141"/>
      <c r="CB361" s="141"/>
      <c r="CC361" s="141"/>
      <c r="CD361" s="141"/>
      <c r="CE361" s="141"/>
      <c r="CF361" s="141"/>
      <c r="CG361" s="141"/>
      <c r="CH361" s="141"/>
      <c r="CI361" s="141"/>
      <c r="CJ361" s="141"/>
      <c r="CK361" s="141"/>
      <c r="CL361" s="141"/>
    </row>
    <row r="362" spans="74:90" ht="15" customHeight="1" x14ac:dyDescent="0.35">
      <c r="BV362" s="140"/>
      <c r="BY362" s="141"/>
      <c r="BZ362" s="141"/>
      <c r="CA362" s="141"/>
      <c r="CB362" s="141"/>
      <c r="CC362" s="141"/>
      <c r="CD362" s="141"/>
      <c r="CE362" s="141"/>
      <c r="CF362" s="141"/>
      <c r="CG362" s="141"/>
      <c r="CH362" s="141"/>
      <c r="CI362" s="141"/>
      <c r="CJ362" s="141"/>
      <c r="CK362" s="141"/>
      <c r="CL362" s="141"/>
    </row>
    <row r="363" spans="74:90" ht="15" customHeight="1" x14ac:dyDescent="0.35">
      <c r="BV363" s="140"/>
      <c r="BY363" s="141"/>
      <c r="BZ363" s="141"/>
      <c r="CA363" s="141"/>
      <c r="CB363" s="141"/>
      <c r="CC363" s="141"/>
      <c r="CD363" s="141"/>
      <c r="CE363" s="141"/>
      <c r="CF363" s="141"/>
      <c r="CG363" s="141"/>
      <c r="CH363" s="141"/>
      <c r="CI363" s="141"/>
      <c r="CJ363" s="141"/>
      <c r="CK363" s="141"/>
      <c r="CL363" s="141"/>
    </row>
    <row r="364" spans="74:90" ht="15" customHeight="1" x14ac:dyDescent="0.35">
      <c r="BV364" s="140"/>
      <c r="BY364" s="141"/>
      <c r="BZ364" s="141"/>
      <c r="CA364" s="141"/>
      <c r="CB364" s="141"/>
      <c r="CC364" s="141"/>
      <c r="CD364" s="141"/>
      <c r="CE364" s="141"/>
      <c r="CF364" s="141"/>
      <c r="CG364" s="141"/>
      <c r="CH364" s="141"/>
      <c r="CI364" s="141"/>
      <c r="CJ364" s="141"/>
      <c r="CK364" s="141"/>
      <c r="CL364" s="141"/>
    </row>
    <row r="365" spans="74:90" ht="15" customHeight="1" x14ac:dyDescent="0.35">
      <c r="BV365" s="140"/>
      <c r="BY365" s="141"/>
      <c r="BZ365" s="141"/>
      <c r="CA365" s="141"/>
      <c r="CB365" s="141"/>
      <c r="CC365" s="141"/>
      <c r="CD365" s="141"/>
      <c r="CE365" s="141"/>
      <c r="CF365" s="141"/>
      <c r="CG365" s="141"/>
      <c r="CH365" s="141"/>
      <c r="CI365" s="141"/>
      <c r="CJ365" s="141"/>
      <c r="CK365" s="141"/>
      <c r="CL365" s="141"/>
    </row>
    <row r="366" spans="74:90" ht="15" customHeight="1" x14ac:dyDescent="0.35">
      <c r="BV366" s="140"/>
      <c r="BY366" s="141"/>
      <c r="BZ366" s="141"/>
      <c r="CA366" s="141"/>
      <c r="CB366" s="141"/>
      <c r="CC366" s="141"/>
      <c r="CD366" s="141"/>
      <c r="CE366" s="141"/>
      <c r="CF366" s="141"/>
      <c r="CG366" s="141"/>
      <c r="CH366" s="141"/>
      <c r="CI366" s="141"/>
      <c r="CJ366" s="141"/>
      <c r="CK366" s="141"/>
      <c r="CL366" s="141"/>
    </row>
    <row r="367" spans="74:90" ht="15" customHeight="1" x14ac:dyDescent="0.35">
      <c r="BV367" s="140"/>
      <c r="BY367" s="141"/>
      <c r="BZ367" s="141"/>
      <c r="CA367" s="141"/>
      <c r="CB367" s="141"/>
      <c r="CC367" s="141"/>
      <c r="CD367" s="141"/>
      <c r="CE367" s="141"/>
      <c r="CF367" s="141"/>
      <c r="CG367" s="141"/>
      <c r="CH367" s="141"/>
      <c r="CI367" s="141"/>
      <c r="CJ367" s="141"/>
      <c r="CK367" s="141"/>
      <c r="CL367" s="141"/>
    </row>
    <row r="368" spans="74:90" ht="15" customHeight="1" x14ac:dyDescent="0.35">
      <c r="BV368" s="140"/>
      <c r="BY368" s="141"/>
      <c r="BZ368" s="141"/>
      <c r="CA368" s="141"/>
      <c r="CB368" s="141"/>
      <c r="CC368" s="141"/>
      <c r="CD368" s="141"/>
      <c r="CE368" s="141"/>
      <c r="CF368" s="141"/>
      <c r="CG368" s="141"/>
      <c r="CH368" s="141"/>
      <c r="CI368" s="141"/>
      <c r="CJ368" s="141"/>
      <c r="CK368" s="141"/>
      <c r="CL368" s="141"/>
    </row>
    <row r="369" spans="74:90" ht="15" customHeight="1" x14ac:dyDescent="0.35">
      <c r="BV369" s="140"/>
      <c r="BY369" s="141"/>
      <c r="BZ369" s="141"/>
      <c r="CA369" s="141"/>
      <c r="CB369" s="141"/>
      <c r="CC369" s="141"/>
      <c r="CD369" s="141"/>
      <c r="CE369" s="141"/>
      <c r="CF369" s="141"/>
      <c r="CG369" s="141"/>
      <c r="CH369" s="141"/>
      <c r="CI369" s="141"/>
      <c r="CJ369" s="141"/>
      <c r="CK369" s="141"/>
      <c r="CL369" s="141"/>
    </row>
    <row r="370" spans="74:90" ht="15" customHeight="1" x14ac:dyDescent="0.35">
      <c r="BV370" s="140"/>
      <c r="BY370" s="141"/>
      <c r="BZ370" s="141"/>
      <c r="CA370" s="141"/>
      <c r="CB370" s="141"/>
      <c r="CC370" s="141"/>
      <c r="CD370" s="141"/>
      <c r="CE370" s="141"/>
      <c r="CF370" s="141"/>
      <c r="CG370" s="141"/>
      <c r="CH370" s="141"/>
      <c r="CI370" s="141"/>
      <c r="CJ370" s="141"/>
      <c r="CK370" s="141"/>
      <c r="CL370" s="141"/>
    </row>
    <row r="371" spans="74:90" ht="15" customHeight="1" x14ac:dyDescent="0.35">
      <c r="BV371" s="140"/>
      <c r="BY371" s="141"/>
      <c r="BZ371" s="141"/>
      <c r="CA371" s="141"/>
      <c r="CB371" s="141"/>
      <c r="CC371" s="141"/>
      <c r="CD371" s="141"/>
      <c r="CE371" s="141"/>
      <c r="CF371" s="141"/>
      <c r="CG371" s="141"/>
      <c r="CH371" s="141"/>
      <c r="CI371" s="141"/>
      <c r="CJ371" s="141"/>
      <c r="CK371" s="141"/>
      <c r="CL371" s="141"/>
    </row>
    <row r="372" spans="74:90" ht="15" customHeight="1" x14ac:dyDescent="0.35">
      <c r="BV372" s="140"/>
      <c r="BY372" s="141"/>
      <c r="BZ372" s="141"/>
      <c r="CA372" s="141"/>
      <c r="CB372" s="141"/>
      <c r="CC372" s="141"/>
      <c r="CD372" s="141"/>
      <c r="CE372" s="141"/>
      <c r="CF372" s="141"/>
      <c r="CG372" s="141"/>
      <c r="CH372" s="141"/>
      <c r="CI372" s="141"/>
      <c r="CJ372" s="141"/>
      <c r="CK372" s="141"/>
      <c r="CL372" s="141"/>
    </row>
    <row r="373" spans="74:90" ht="15" customHeight="1" x14ac:dyDescent="0.35">
      <c r="BV373" s="140"/>
      <c r="BY373" s="141"/>
      <c r="BZ373" s="141"/>
      <c r="CA373" s="141"/>
      <c r="CB373" s="141"/>
      <c r="CC373" s="141"/>
      <c r="CD373" s="141"/>
      <c r="CE373" s="141"/>
      <c r="CF373" s="141"/>
      <c r="CG373" s="141"/>
      <c r="CH373" s="141"/>
      <c r="CI373" s="141"/>
      <c r="CJ373" s="141"/>
      <c r="CK373" s="141"/>
      <c r="CL373" s="141"/>
    </row>
    <row r="374" spans="74:90" ht="15" customHeight="1" x14ac:dyDescent="0.35">
      <c r="BV374" s="140"/>
      <c r="BY374" s="141"/>
      <c r="BZ374" s="141"/>
      <c r="CA374" s="141"/>
      <c r="CB374" s="141"/>
      <c r="CC374" s="141"/>
      <c r="CD374" s="141"/>
      <c r="CE374" s="141"/>
      <c r="CF374" s="141"/>
      <c r="CG374" s="141"/>
      <c r="CH374" s="141"/>
      <c r="CI374" s="141"/>
      <c r="CJ374" s="141"/>
      <c r="CK374" s="141"/>
      <c r="CL374" s="141"/>
    </row>
    <row r="375" spans="74:90" ht="15" customHeight="1" x14ac:dyDescent="0.35">
      <c r="BV375" s="140"/>
      <c r="BY375" s="141"/>
      <c r="BZ375" s="141"/>
      <c r="CA375" s="141"/>
      <c r="CB375" s="141"/>
      <c r="CC375" s="141"/>
      <c r="CD375" s="141"/>
      <c r="CE375" s="141"/>
      <c r="CF375" s="141"/>
      <c r="CG375" s="141"/>
      <c r="CH375" s="141"/>
      <c r="CI375" s="141"/>
      <c r="CJ375" s="141"/>
      <c r="CK375" s="141"/>
      <c r="CL375" s="141"/>
    </row>
    <row r="376" spans="74:90" ht="15" customHeight="1" x14ac:dyDescent="0.35">
      <c r="BV376" s="140"/>
      <c r="BY376" s="141"/>
      <c r="BZ376" s="141"/>
      <c r="CA376" s="141"/>
      <c r="CB376" s="141"/>
      <c r="CC376" s="141"/>
      <c r="CD376" s="141"/>
      <c r="CE376" s="141"/>
      <c r="CF376" s="141"/>
      <c r="CG376" s="141"/>
      <c r="CH376" s="141"/>
      <c r="CI376" s="141"/>
      <c r="CJ376" s="141"/>
      <c r="CK376" s="141"/>
      <c r="CL376" s="141"/>
    </row>
    <row r="377" spans="74:90" ht="15" customHeight="1" x14ac:dyDescent="0.35">
      <c r="BV377" s="140"/>
      <c r="BY377" s="141"/>
      <c r="BZ377" s="141"/>
      <c r="CA377" s="141"/>
      <c r="CB377" s="141"/>
      <c r="CC377" s="141"/>
      <c r="CD377" s="141"/>
      <c r="CE377" s="141"/>
      <c r="CF377" s="141"/>
      <c r="CG377" s="141"/>
      <c r="CH377" s="141"/>
      <c r="CI377" s="141"/>
      <c r="CJ377" s="141"/>
      <c r="CK377" s="141"/>
      <c r="CL377" s="141"/>
    </row>
    <row r="378" spans="74:90" ht="15" customHeight="1" x14ac:dyDescent="0.35">
      <c r="BV378" s="140"/>
      <c r="BY378" s="141"/>
      <c r="BZ378" s="141"/>
      <c r="CA378" s="141"/>
      <c r="CB378" s="141"/>
      <c r="CC378" s="141"/>
      <c r="CD378" s="141"/>
      <c r="CE378" s="141"/>
      <c r="CF378" s="141"/>
      <c r="CG378" s="141"/>
      <c r="CH378" s="141"/>
      <c r="CI378" s="141"/>
      <c r="CJ378" s="141"/>
      <c r="CK378" s="141"/>
      <c r="CL378" s="141"/>
    </row>
    <row r="379" spans="74:90" ht="15" customHeight="1" x14ac:dyDescent="0.35">
      <c r="BV379" s="140"/>
      <c r="BY379" s="141"/>
      <c r="BZ379" s="141"/>
      <c r="CA379" s="141"/>
      <c r="CB379" s="141"/>
      <c r="CC379" s="141"/>
      <c r="CD379" s="141"/>
      <c r="CE379" s="141"/>
      <c r="CF379" s="141"/>
      <c r="CG379" s="141"/>
      <c r="CH379" s="141"/>
      <c r="CI379" s="141"/>
      <c r="CJ379" s="141"/>
      <c r="CK379" s="141"/>
      <c r="CL379" s="141"/>
    </row>
    <row r="380" spans="74:90" ht="15" customHeight="1" x14ac:dyDescent="0.35">
      <c r="BV380" s="140"/>
      <c r="BY380" s="141"/>
      <c r="BZ380" s="141"/>
      <c r="CA380" s="141"/>
      <c r="CB380" s="141"/>
      <c r="CC380" s="141"/>
      <c r="CD380" s="141"/>
      <c r="CE380" s="141"/>
      <c r="CF380" s="141"/>
      <c r="CG380" s="141"/>
      <c r="CH380" s="141"/>
      <c r="CI380" s="141"/>
      <c r="CJ380" s="141"/>
      <c r="CK380" s="141"/>
      <c r="CL380" s="141"/>
    </row>
    <row r="381" spans="74:90" ht="15" customHeight="1" x14ac:dyDescent="0.35">
      <c r="BV381" s="140"/>
      <c r="BY381" s="141"/>
      <c r="BZ381" s="141"/>
      <c r="CA381" s="141"/>
      <c r="CB381" s="141"/>
      <c r="CC381" s="141"/>
      <c r="CD381" s="141"/>
      <c r="CE381" s="141"/>
      <c r="CF381" s="141"/>
      <c r="CG381" s="141"/>
      <c r="CH381" s="141"/>
      <c r="CI381" s="141"/>
      <c r="CJ381" s="141"/>
      <c r="CK381" s="141"/>
      <c r="CL381" s="141"/>
    </row>
    <row r="382" spans="74:90" ht="15" customHeight="1" x14ac:dyDescent="0.35">
      <c r="BV382" s="140"/>
      <c r="BY382" s="141"/>
      <c r="BZ382" s="141"/>
      <c r="CA382" s="141"/>
      <c r="CB382" s="141"/>
      <c r="CC382" s="141"/>
      <c r="CD382" s="141"/>
      <c r="CE382" s="141"/>
      <c r="CF382" s="141"/>
      <c r="CG382" s="141"/>
      <c r="CH382" s="141"/>
      <c r="CI382" s="141"/>
      <c r="CJ382" s="141"/>
      <c r="CK382" s="141"/>
      <c r="CL382" s="141"/>
    </row>
    <row r="383" spans="74:90" ht="15" customHeight="1" x14ac:dyDescent="0.35">
      <c r="BV383" s="140"/>
      <c r="BY383" s="141"/>
      <c r="BZ383" s="141"/>
      <c r="CA383" s="141"/>
      <c r="CB383" s="141"/>
      <c r="CC383" s="141"/>
      <c r="CD383" s="141"/>
      <c r="CE383" s="141"/>
      <c r="CF383" s="141"/>
      <c r="CG383" s="141"/>
      <c r="CH383" s="141"/>
      <c r="CI383" s="141"/>
      <c r="CJ383" s="141"/>
      <c r="CK383" s="141"/>
      <c r="CL383" s="141"/>
    </row>
    <row r="384" spans="74:90" ht="15" customHeight="1" x14ac:dyDescent="0.35">
      <c r="BV384" s="140"/>
      <c r="BY384" s="141"/>
      <c r="BZ384" s="141"/>
      <c r="CA384" s="141"/>
      <c r="CB384" s="141"/>
      <c r="CC384" s="141"/>
      <c r="CD384" s="141"/>
      <c r="CE384" s="141"/>
      <c r="CF384" s="141"/>
      <c r="CG384" s="141"/>
      <c r="CH384" s="141"/>
      <c r="CI384" s="141"/>
      <c r="CJ384" s="141"/>
      <c r="CK384" s="141"/>
      <c r="CL384" s="141"/>
    </row>
    <row r="385" spans="74:90" ht="15" customHeight="1" x14ac:dyDescent="0.35">
      <c r="BV385" s="140"/>
      <c r="BY385" s="141"/>
      <c r="BZ385" s="141"/>
      <c r="CA385" s="141"/>
      <c r="CB385" s="141"/>
      <c r="CC385" s="141"/>
      <c r="CD385" s="141"/>
      <c r="CE385" s="141"/>
      <c r="CF385" s="141"/>
      <c r="CG385" s="141"/>
      <c r="CH385" s="141"/>
      <c r="CI385" s="141"/>
      <c r="CJ385" s="141"/>
      <c r="CK385" s="141"/>
      <c r="CL385" s="141"/>
    </row>
    <row r="386" spans="74:90" ht="15" customHeight="1" x14ac:dyDescent="0.35">
      <c r="BV386" s="140"/>
      <c r="BY386" s="141"/>
      <c r="BZ386" s="141"/>
      <c r="CA386" s="141"/>
      <c r="CB386" s="141"/>
      <c r="CC386" s="141"/>
      <c r="CD386" s="141"/>
      <c r="CE386" s="141"/>
      <c r="CF386" s="141"/>
      <c r="CG386" s="141"/>
      <c r="CH386" s="141"/>
      <c r="CI386" s="141"/>
      <c r="CJ386" s="141"/>
      <c r="CK386" s="141"/>
      <c r="CL386" s="141"/>
    </row>
    <row r="387" spans="74:90" ht="15" customHeight="1" x14ac:dyDescent="0.35">
      <c r="BV387" s="140"/>
      <c r="BY387" s="141"/>
      <c r="BZ387" s="141"/>
      <c r="CA387" s="141"/>
      <c r="CB387" s="141"/>
      <c r="CC387" s="141"/>
      <c r="CD387" s="141"/>
      <c r="CE387" s="141"/>
      <c r="CF387" s="141"/>
      <c r="CG387" s="141"/>
      <c r="CH387" s="141"/>
      <c r="CI387" s="141"/>
      <c r="CJ387" s="141"/>
      <c r="CK387" s="141"/>
      <c r="CL387" s="141"/>
    </row>
    <row r="388" spans="74:90" ht="15" customHeight="1" x14ac:dyDescent="0.35">
      <c r="BV388" s="140"/>
      <c r="BY388" s="141"/>
      <c r="BZ388" s="141"/>
      <c r="CA388" s="141"/>
      <c r="CB388" s="141"/>
      <c r="CC388" s="141"/>
      <c r="CD388" s="141"/>
      <c r="CE388" s="141"/>
      <c r="CF388" s="141"/>
      <c r="CG388" s="141"/>
      <c r="CH388" s="141"/>
      <c r="CI388" s="141"/>
      <c r="CJ388" s="141"/>
      <c r="CK388" s="141"/>
      <c r="CL388" s="141"/>
    </row>
    <row r="389" spans="74:90" ht="15" customHeight="1" x14ac:dyDescent="0.35">
      <c r="BV389" s="140"/>
      <c r="BY389" s="141"/>
      <c r="BZ389" s="141"/>
      <c r="CA389" s="141"/>
      <c r="CB389" s="141"/>
      <c r="CC389" s="141"/>
      <c r="CD389" s="141"/>
      <c r="CE389" s="141"/>
      <c r="CF389" s="141"/>
      <c r="CG389" s="141"/>
      <c r="CH389" s="141"/>
      <c r="CI389" s="141"/>
      <c r="CJ389" s="141"/>
      <c r="CK389" s="141"/>
      <c r="CL389" s="141"/>
    </row>
    <row r="390" spans="74:90" ht="15" customHeight="1" x14ac:dyDescent="0.35">
      <c r="BV390" s="140"/>
      <c r="BY390" s="141"/>
      <c r="BZ390" s="141"/>
      <c r="CA390" s="141"/>
      <c r="CB390" s="141"/>
      <c r="CC390" s="141"/>
      <c r="CD390" s="141"/>
      <c r="CE390" s="141"/>
      <c r="CF390" s="141"/>
      <c r="CG390" s="141"/>
      <c r="CH390" s="141"/>
      <c r="CI390" s="141"/>
      <c r="CJ390" s="141"/>
      <c r="CK390" s="141"/>
      <c r="CL390" s="141"/>
    </row>
    <row r="391" spans="74:90" ht="15" customHeight="1" x14ac:dyDescent="0.35">
      <c r="BV391" s="140"/>
      <c r="BY391" s="141"/>
      <c r="BZ391" s="141"/>
      <c r="CA391" s="141"/>
      <c r="CB391" s="141"/>
      <c r="CC391" s="141"/>
      <c r="CD391" s="141"/>
      <c r="CE391" s="141"/>
      <c r="CF391" s="141"/>
      <c r="CG391" s="141"/>
      <c r="CH391" s="141"/>
      <c r="CI391" s="141"/>
      <c r="CJ391" s="141"/>
      <c r="CK391" s="141"/>
      <c r="CL391" s="141"/>
    </row>
    <row r="392" spans="74:90" ht="15" customHeight="1" x14ac:dyDescent="0.35">
      <c r="BV392" s="140"/>
      <c r="BY392" s="141"/>
      <c r="BZ392" s="141"/>
      <c r="CA392" s="141"/>
      <c r="CB392" s="141"/>
      <c r="CC392" s="141"/>
      <c r="CD392" s="141"/>
      <c r="CE392" s="141"/>
      <c r="CF392" s="141"/>
      <c r="CG392" s="141"/>
      <c r="CH392" s="141"/>
      <c r="CI392" s="141"/>
      <c r="CJ392" s="141"/>
      <c r="CK392" s="141"/>
      <c r="CL392" s="141"/>
    </row>
    <row r="393" spans="74:90" ht="15" customHeight="1" x14ac:dyDescent="0.35">
      <c r="BV393" s="140"/>
      <c r="BY393" s="141"/>
      <c r="BZ393" s="141"/>
      <c r="CA393" s="141"/>
      <c r="CB393" s="141"/>
      <c r="CC393" s="141"/>
      <c r="CD393" s="141"/>
      <c r="CE393" s="141"/>
      <c r="CF393" s="141"/>
      <c r="CG393" s="141"/>
      <c r="CH393" s="141"/>
      <c r="CI393" s="141"/>
      <c r="CJ393" s="141"/>
      <c r="CK393" s="141"/>
      <c r="CL393" s="141"/>
    </row>
    <row r="394" spans="74:90" ht="15" customHeight="1" x14ac:dyDescent="0.35">
      <c r="BV394" s="140"/>
      <c r="BY394" s="141"/>
      <c r="BZ394" s="141"/>
      <c r="CA394" s="141"/>
      <c r="CB394" s="141"/>
      <c r="CC394" s="141"/>
      <c r="CD394" s="141"/>
      <c r="CE394" s="141"/>
      <c r="CF394" s="141"/>
      <c r="CG394" s="141"/>
      <c r="CH394" s="141"/>
      <c r="CI394" s="141"/>
      <c r="CJ394" s="141"/>
      <c r="CK394" s="141"/>
      <c r="CL394" s="141"/>
    </row>
    <row r="395" spans="74:90" ht="15" customHeight="1" x14ac:dyDescent="0.35">
      <c r="BV395" s="140"/>
      <c r="BY395" s="141"/>
      <c r="BZ395" s="141"/>
      <c r="CA395" s="141"/>
      <c r="CB395" s="141"/>
      <c r="CC395" s="141"/>
      <c r="CD395" s="141"/>
      <c r="CE395" s="141"/>
      <c r="CF395" s="141"/>
      <c r="CG395" s="141"/>
      <c r="CH395" s="141"/>
      <c r="CI395" s="141"/>
      <c r="CJ395" s="141"/>
      <c r="CK395" s="141"/>
      <c r="CL395" s="141"/>
    </row>
    <row r="396" spans="74:90" ht="15" customHeight="1" x14ac:dyDescent="0.35">
      <c r="BV396" s="140"/>
      <c r="BY396" s="141"/>
      <c r="BZ396" s="141"/>
      <c r="CA396" s="141"/>
      <c r="CB396" s="141"/>
      <c r="CC396" s="141"/>
      <c r="CD396" s="141"/>
      <c r="CE396" s="141"/>
      <c r="CF396" s="141"/>
      <c r="CG396" s="141"/>
      <c r="CH396" s="141"/>
      <c r="CI396" s="141"/>
      <c r="CJ396" s="141"/>
      <c r="CK396" s="141"/>
      <c r="CL396" s="141"/>
    </row>
    <row r="397" spans="74:90" ht="15" customHeight="1" x14ac:dyDescent="0.35">
      <c r="BV397" s="140"/>
      <c r="BY397" s="141"/>
      <c r="BZ397" s="141"/>
      <c r="CA397" s="141"/>
      <c r="CB397" s="141"/>
      <c r="CC397" s="141"/>
      <c r="CD397" s="141"/>
      <c r="CE397" s="141"/>
      <c r="CF397" s="141"/>
      <c r="CG397" s="141"/>
      <c r="CH397" s="141"/>
      <c r="CI397" s="141"/>
      <c r="CJ397" s="141"/>
      <c r="CK397" s="141"/>
      <c r="CL397" s="141"/>
    </row>
    <row r="398" spans="74:90" ht="15" customHeight="1" x14ac:dyDescent="0.35">
      <c r="BV398" s="140"/>
      <c r="BY398" s="141"/>
      <c r="BZ398" s="141"/>
      <c r="CA398" s="141"/>
      <c r="CB398" s="141"/>
      <c r="CC398" s="141"/>
      <c r="CD398" s="141"/>
      <c r="CE398" s="141"/>
      <c r="CF398" s="141"/>
      <c r="CG398" s="141"/>
      <c r="CH398" s="141"/>
      <c r="CI398" s="141"/>
      <c r="CJ398" s="141"/>
      <c r="CK398" s="141"/>
      <c r="CL398" s="141"/>
    </row>
    <row r="399" spans="74:90" ht="15" customHeight="1" x14ac:dyDescent="0.35">
      <c r="BV399" s="140"/>
      <c r="BY399" s="141"/>
      <c r="BZ399" s="141"/>
      <c r="CA399" s="141"/>
      <c r="CB399" s="141"/>
      <c r="CC399" s="141"/>
      <c r="CD399" s="141"/>
      <c r="CE399" s="141"/>
      <c r="CF399" s="141"/>
      <c r="CG399" s="141"/>
      <c r="CH399" s="141"/>
      <c r="CI399" s="141"/>
      <c r="CJ399" s="141"/>
      <c r="CK399" s="141"/>
      <c r="CL399" s="141"/>
    </row>
    <row r="400" spans="74:90" ht="15" customHeight="1" x14ac:dyDescent="0.35">
      <c r="BV400" s="140"/>
      <c r="BY400" s="141"/>
      <c r="BZ400" s="141"/>
      <c r="CA400" s="141"/>
      <c r="CB400" s="141"/>
      <c r="CC400" s="141"/>
      <c r="CD400" s="141"/>
      <c r="CE400" s="141"/>
      <c r="CF400" s="141"/>
      <c r="CG400" s="141"/>
      <c r="CH400" s="141"/>
      <c r="CI400" s="141"/>
      <c r="CJ400" s="141"/>
      <c r="CK400" s="141"/>
      <c r="CL400" s="141"/>
    </row>
    <row r="401" spans="74:90" ht="15" customHeight="1" x14ac:dyDescent="0.35">
      <c r="BV401" s="140"/>
      <c r="BY401" s="141"/>
      <c r="BZ401" s="141"/>
      <c r="CA401" s="141"/>
      <c r="CB401" s="141"/>
      <c r="CC401" s="141"/>
      <c r="CD401" s="141"/>
      <c r="CE401" s="141"/>
      <c r="CF401" s="141"/>
      <c r="CG401" s="141"/>
      <c r="CH401" s="141"/>
      <c r="CI401" s="141"/>
      <c r="CJ401" s="141"/>
      <c r="CK401" s="141"/>
      <c r="CL401" s="141"/>
    </row>
    <row r="402" spans="74:90" ht="15" customHeight="1" x14ac:dyDescent="0.35">
      <c r="BV402" s="140"/>
      <c r="BY402" s="141"/>
      <c r="BZ402" s="141"/>
      <c r="CA402" s="141"/>
      <c r="CB402" s="141"/>
      <c r="CC402" s="141"/>
      <c r="CD402" s="141"/>
      <c r="CE402" s="141"/>
      <c r="CF402" s="141"/>
      <c r="CG402" s="141"/>
      <c r="CH402" s="141"/>
      <c r="CI402" s="141"/>
      <c r="CJ402" s="141"/>
      <c r="CK402" s="141"/>
      <c r="CL402" s="141"/>
    </row>
    <row r="403" spans="74:90" ht="15" customHeight="1" x14ac:dyDescent="0.35">
      <c r="BV403" s="140"/>
      <c r="BY403" s="141"/>
      <c r="BZ403" s="141"/>
      <c r="CA403" s="141"/>
      <c r="CB403" s="141"/>
      <c r="CC403" s="141"/>
      <c r="CD403" s="141"/>
      <c r="CE403" s="141"/>
      <c r="CF403" s="141"/>
      <c r="CG403" s="141"/>
      <c r="CH403" s="141"/>
      <c r="CI403" s="141"/>
      <c r="CJ403" s="141"/>
      <c r="CK403" s="141"/>
      <c r="CL403" s="141"/>
    </row>
    <row r="404" spans="74:90" ht="15" customHeight="1" x14ac:dyDescent="0.35">
      <c r="BV404" s="140"/>
      <c r="BY404" s="141"/>
      <c r="BZ404" s="141"/>
      <c r="CA404" s="141"/>
      <c r="CB404" s="141"/>
      <c r="CC404" s="141"/>
      <c r="CD404" s="141"/>
      <c r="CE404" s="141"/>
      <c r="CF404" s="141"/>
      <c r="CG404" s="141"/>
      <c r="CH404" s="141"/>
      <c r="CI404" s="141"/>
      <c r="CJ404" s="141"/>
      <c r="CK404" s="141"/>
      <c r="CL404" s="141"/>
    </row>
    <row r="405" spans="74:90" ht="15" customHeight="1" x14ac:dyDescent="0.35">
      <c r="BV405" s="140"/>
      <c r="BY405" s="141"/>
      <c r="BZ405" s="141"/>
      <c r="CA405" s="141"/>
      <c r="CB405" s="141"/>
      <c r="CC405" s="141"/>
      <c r="CD405" s="141"/>
      <c r="CE405" s="141"/>
      <c r="CF405" s="141"/>
      <c r="CG405" s="141"/>
      <c r="CH405" s="141"/>
      <c r="CI405" s="141"/>
      <c r="CJ405" s="141"/>
      <c r="CK405" s="141"/>
      <c r="CL405" s="141"/>
    </row>
    <row r="406" spans="74:90" ht="15" customHeight="1" x14ac:dyDescent="0.35">
      <c r="BV406" s="140"/>
      <c r="BY406" s="141"/>
      <c r="BZ406" s="141"/>
      <c r="CA406" s="141"/>
      <c r="CB406" s="141"/>
      <c r="CC406" s="141"/>
      <c r="CD406" s="141"/>
      <c r="CE406" s="141"/>
      <c r="CF406" s="141"/>
      <c r="CG406" s="141"/>
      <c r="CH406" s="141"/>
      <c r="CI406" s="141"/>
      <c r="CJ406" s="141"/>
      <c r="CK406" s="141"/>
      <c r="CL406" s="141"/>
    </row>
    <row r="407" spans="74:90" ht="15" customHeight="1" x14ac:dyDescent="0.35">
      <c r="BV407" s="140"/>
      <c r="BY407" s="141"/>
      <c r="BZ407" s="141"/>
      <c r="CA407" s="141"/>
      <c r="CB407" s="141"/>
      <c r="CC407" s="141"/>
      <c r="CD407" s="141"/>
      <c r="CE407" s="141"/>
      <c r="CF407" s="141"/>
      <c r="CG407" s="141"/>
      <c r="CH407" s="141"/>
      <c r="CI407" s="141"/>
      <c r="CJ407" s="141"/>
      <c r="CK407" s="141"/>
      <c r="CL407" s="141"/>
    </row>
    <row r="408" spans="74:90" ht="15" customHeight="1" x14ac:dyDescent="0.35">
      <c r="BV408" s="140"/>
      <c r="BY408" s="141"/>
      <c r="BZ408" s="141"/>
      <c r="CA408" s="141"/>
      <c r="CB408" s="141"/>
      <c r="CC408" s="141"/>
      <c r="CD408" s="141"/>
      <c r="CE408" s="141"/>
      <c r="CF408" s="141"/>
      <c r="CG408" s="141"/>
      <c r="CH408" s="141"/>
      <c r="CI408" s="141"/>
      <c r="CJ408" s="141"/>
      <c r="CK408" s="141"/>
      <c r="CL408" s="141"/>
    </row>
    <row r="409" spans="74:90" ht="15" customHeight="1" x14ac:dyDescent="0.35">
      <c r="BV409" s="140"/>
      <c r="BY409" s="141"/>
      <c r="BZ409" s="141"/>
      <c r="CA409" s="141"/>
      <c r="CB409" s="141"/>
      <c r="CC409" s="141"/>
      <c r="CD409" s="141"/>
      <c r="CE409" s="141"/>
      <c r="CF409" s="141"/>
      <c r="CG409" s="141"/>
      <c r="CH409" s="141"/>
      <c r="CI409" s="141"/>
      <c r="CJ409" s="141"/>
      <c r="CK409" s="141"/>
      <c r="CL409" s="141"/>
    </row>
    <row r="410" spans="74:90" ht="15" customHeight="1" x14ac:dyDescent="0.35">
      <c r="BV410" s="140"/>
      <c r="BY410" s="141"/>
      <c r="BZ410" s="141"/>
      <c r="CA410" s="141"/>
      <c r="CB410" s="141"/>
      <c r="CC410" s="141"/>
      <c r="CD410" s="141"/>
      <c r="CE410" s="141"/>
      <c r="CF410" s="141"/>
      <c r="CG410" s="141"/>
      <c r="CH410" s="141"/>
      <c r="CI410" s="141"/>
      <c r="CJ410" s="141"/>
      <c r="CK410" s="141"/>
      <c r="CL410" s="141"/>
    </row>
    <row r="411" spans="74:90" ht="15" customHeight="1" x14ac:dyDescent="0.35">
      <c r="BV411" s="140"/>
      <c r="BY411" s="141"/>
      <c r="BZ411" s="141"/>
      <c r="CA411" s="141"/>
      <c r="CB411" s="141"/>
      <c r="CC411" s="141"/>
      <c r="CD411" s="141"/>
      <c r="CE411" s="141"/>
      <c r="CF411" s="141"/>
      <c r="CG411" s="141"/>
      <c r="CH411" s="141"/>
      <c r="CI411" s="141"/>
      <c r="CJ411" s="141"/>
      <c r="CK411" s="141"/>
      <c r="CL411" s="141"/>
    </row>
    <row r="412" spans="74:90" ht="15" customHeight="1" x14ac:dyDescent="0.35">
      <c r="BV412" s="140"/>
      <c r="BY412" s="141"/>
      <c r="BZ412" s="141"/>
      <c r="CA412" s="141"/>
      <c r="CB412" s="141"/>
      <c r="CC412" s="141"/>
      <c r="CD412" s="141"/>
      <c r="CE412" s="141"/>
      <c r="CF412" s="141"/>
      <c r="CG412" s="141"/>
      <c r="CH412" s="141"/>
      <c r="CI412" s="141"/>
      <c r="CJ412" s="141"/>
      <c r="CK412" s="141"/>
      <c r="CL412" s="141"/>
    </row>
    <row r="413" spans="74:90" ht="15" customHeight="1" x14ac:dyDescent="0.35">
      <c r="BV413" s="140"/>
      <c r="BY413" s="141"/>
      <c r="BZ413" s="141"/>
      <c r="CA413" s="141"/>
      <c r="CB413" s="141"/>
      <c r="CC413" s="141"/>
      <c r="CD413" s="141"/>
      <c r="CE413" s="141"/>
      <c r="CF413" s="141"/>
      <c r="CG413" s="141"/>
      <c r="CH413" s="141"/>
      <c r="CI413" s="141"/>
      <c r="CJ413" s="141"/>
      <c r="CK413" s="141"/>
      <c r="CL413" s="141"/>
    </row>
    <row r="414" spans="74:90" ht="15" customHeight="1" x14ac:dyDescent="0.35">
      <c r="BV414" s="140"/>
      <c r="BY414" s="141"/>
      <c r="BZ414" s="141"/>
      <c r="CA414" s="141"/>
      <c r="CB414" s="141"/>
      <c r="CC414" s="141"/>
      <c r="CD414" s="141"/>
      <c r="CE414" s="141"/>
      <c r="CF414" s="141"/>
      <c r="CG414" s="141"/>
      <c r="CH414" s="141"/>
      <c r="CI414" s="141"/>
      <c r="CJ414" s="141"/>
      <c r="CK414" s="141"/>
      <c r="CL414" s="141"/>
    </row>
    <row r="415" spans="74:90" ht="15" customHeight="1" x14ac:dyDescent="0.35">
      <c r="BV415" s="140"/>
      <c r="BY415" s="141"/>
      <c r="BZ415" s="141"/>
      <c r="CA415" s="141"/>
      <c r="CB415" s="141"/>
      <c r="CC415" s="141"/>
      <c r="CD415" s="141"/>
      <c r="CE415" s="141"/>
      <c r="CF415" s="141"/>
      <c r="CG415" s="141"/>
      <c r="CH415" s="141"/>
      <c r="CI415" s="141"/>
      <c r="CJ415" s="141"/>
      <c r="CK415" s="141"/>
      <c r="CL415" s="141"/>
    </row>
    <row r="416" spans="74:90" ht="15" customHeight="1" x14ac:dyDescent="0.35">
      <c r="BV416" s="140"/>
      <c r="BY416" s="141"/>
      <c r="BZ416" s="141"/>
      <c r="CA416" s="141"/>
      <c r="CB416" s="141"/>
      <c r="CC416" s="141"/>
      <c r="CD416" s="141"/>
      <c r="CE416" s="141"/>
      <c r="CF416" s="141"/>
      <c r="CG416" s="141"/>
      <c r="CH416" s="141"/>
      <c r="CI416" s="141"/>
      <c r="CJ416" s="141"/>
      <c r="CK416" s="141"/>
      <c r="CL416" s="141"/>
    </row>
    <row r="417" spans="74:90" ht="15" customHeight="1" x14ac:dyDescent="0.35">
      <c r="BV417" s="140"/>
      <c r="BY417" s="141"/>
      <c r="BZ417" s="141"/>
      <c r="CA417" s="141"/>
      <c r="CB417" s="141"/>
      <c r="CC417" s="141"/>
      <c r="CD417" s="141"/>
      <c r="CE417" s="141"/>
      <c r="CF417" s="141"/>
      <c r="CG417" s="141"/>
      <c r="CH417" s="141"/>
      <c r="CI417" s="141"/>
      <c r="CJ417" s="141"/>
      <c r="CK417" s="141"/>
      <c r="CL417" s="141"/>
    </row>
    <row r="418" spans="74:90" ht="15" customHeight="1" x14ac:dyDescent="0.35">
      <c r="BV418" s="140"/>
      <c r="BY418" s="141"/>
      <c r="BZ418" s="141"/>
      <c r="CA418" s="141"/>
      <c r="CB418" s="141"/>
      <c r="CC418" s="141"/>
      <c r="CD418" s="141"/>
      <c r="CE418" s="141"/>
      <c r="CF418" s="141"/>
      <c r="CG418" s="141"/>
      <c r="CH418" s="141"/>
      <c r="CI418" s="141"/>
      <c r="CJ418" s="141"/>
      <c r="CK418" s="141"/>
      <c r="CL418" s="141"/>
    </row>
    <row r="419" spans="74:90" ht="15" customHeight="1" x14ac:dyDescent="0.35">
      <c r="BV419" s="140"/>
      <c r="BY419" s="141"/>
      <c r="BZ419" s="141"/>
      <c r="CA419" s="141"/>
      <c r="CB419" s="141"/>
      <c r="CC419" s="141"/>
      <c r="CD419" s="141"/>
      <c r="CE419" s="141"/>
      <c r="CF419" s="141"/>
      <c r="CG419" s="141"/>
      <c r="CH419" s="141"/>
      <c r="CI419" s="141"/>
      <c r="CJ419" s="141"/>
      <c r="CK419" s="141"/>
      <c r="CL419" s="141"/>
    </row>
    <row r="420" spans="74:90" ht="15" customHeight="1" x14ac:dyDescent="0.35">
      <c r="BV420" s="140"/>
      <c r="BY420" s="141"/>
      <c r="BZ420" s="141"/>
      <c r="CA420" s="141"/>
      <c r="CB420" s="141"/>
      <c r="CC420" s="141"/>
      <c r="CD420" s="141"/>
      <c r="CE420" s="141"/>
      <c r="CF420" s="141"/>
      <c r="CG420" s="141"/>
      <c r="CH420" s="141"/>
      <c r="CI420" s="141"/>
      <c r="CJ420" s="141"/>
      <c r="CK420" s="141"/>
      <c r="CL420" s="141"/>
    </row>
    <row r="421" spans="74:90" ht="15" customHeight="1" x14ac:dyDescent="0.35">
      <c r="BV421" s="140"/>
      <c r="BY421" s="141"/>
      <c r="BZ421" s="141"/>
      <c r="CA421" s="141"/>
      <c r="CB421" s="141"/>
      <c r="CC421" s="141"/>
      <c r="CD421" s="141"/>
      <c r="CE421" s="141"/>
      <c r="CF421" s="141"/>
      <c r="CG421" s="141"/>
      <c r="CH421" s="141"/>
      <c r="CI421" s="141"/>
      <c r="CJ421" s="141"/>
      <c r="CK421" s="141"/>
      <c r="CL421" s="141"/>
    </row>
    <row r="422" spans="74:90" ht="15" customHeight="1" x14ac:dyDescent="0.35">
      <c r="BV422" s="140"/>
      <c r="BY422" s="141"/>
      <c r="BZ422" s="141"/>
      <c r="CA422" s="141"/>
      <c r="CB422" s="141"/>
      <c r="CC422" s="141"/>
      <c r="CD422" s="141"/>
      <c r="CE422" s="141"/>
      <c r="CF422" s="141"/>
      <c r="CG422" s="141"/>
      <c r="CH422" s="141"/>
      <c r="CI422" s="141"/>
      <c r="CJ422" s="141"/>
      <c r="CK422" s="141"/>
      <c r="CL422" s="141"/>
    </row>
    <row r="423" spans="74:90" ht="15" customHeight="1" x14ac:dyDescent="0.35">
      <c r="BV423" s="140"/>
      <c r="BY423" s="141"/>
      <c r="BZ423" s="141"/>
      <c r="CA423" s="141"/>
      <c r="CB423" s="141"/>
      <c r="CC423" s="141"/>
      <c r="CD423" s="141"/>
      <c r="CE423" s="141"/>
      <c r="CF423" s="141"/>
      <c r="CG423" s="141"/>
      <c r="CH423" s="141"/>
      <c r="CI423" s="141"/>
      <c r="CJ423" s="141"/>
      <c r="CK423" s="141"/>
      <c r="CL423" s="141"/>
    </row>
    <row r="424" spans="74:90" ht="15" customHeight="1" x14ac:dyDescent="0.35">
      <c r="BV424" s="140"/>
      <c r="BY424" s="141"/>
      <c r="BZ424" s="141"/>
      <c r="CA424" s="141"/>
      <c r="CB424" s="141"/>
      <c r="CC424" s="141"/>
      <c r="CD424" s="141"/>
      <c r="CE424" s="141"/>
      <c r="CF424" s="141"/>
      <c r="CG424" s="141"/>
      <c r="CH424" s="141"/>
      <c r="CI424" s="141"/>
      <c r="CJ424" s="141"/>
      <c r="CK424" s="141"/>
      <c r="CL424" s="141"/>
    </row>
    <row r="425" spans="74:90" ht="15" customHeight="1" x14ac:dyDescent="0.35">
      <c r="BV425" s="140"/>
      <c r="BY425" s="141"/>
      <c r="BZ425" s="141"/>
      <c r="CA425" s="141"/>
      <c r="CB425" s="141"/>
      <c r="CC425" s="141"/>
      <c r="CD425" s="141"/>
      <c r="CE425" s="141"/>
      <c r="CF425" s="141"/>
      <c r="CG425" s="141"/>
      <c r="CH425" s="141"/>
      <c r="CI425" s="141"/>
      <c r="CJ425" s="141"/>
      <c r="CK425" s="141"/>
      <c r="CL425" s="141"/>
    </row>
    <row r="426" spans="74:90" ht="15" customHeight="1" x14ac:dyDescent="0.35">
      <c r="BV426" s="140"/>
      <c r="BY426" s="141"/>
      <c r="BZ426" s="141"/>
      <c r="CA426" s="141"/>
      <c r="CB426" s="141"/>
      <c r="CC426" s="141"/>
      <c r="CD426" s="141"/>
      <c r="CE426" s="141"/>
      <c r="CF426" s="141"/>
      <c r="CG426" s="141"/>
      <c r="CH426" s="141"/>
      <c r="CI426" s="141"/>
      <c r="CJ426" s="141"/>
      <c r="CK426" s="141"/>
      <c r="CL426" s="141"/>
    </row>
    <row r="427" spans="74:90" ht="15" customHeight="1" x14ac:dyDescent="0.35">
      <c r="BV427" s="140"/>
      <c r="BY427" s="141"/>
      <c r="BZ427" s="141"/>
      <c r="CA427" s="141"/>
      <c r="CB427" s="141"/>
      <c r="CC427" s="141"/>
      <c r="CD427" s="141"/>
      <c r="CE427" s="141"/>
      <c r="CF427" s="141"/>
      <c r="CG427" s="141"/>
      <c r="CH427" s="141"/>
      <c r="CI427" s="141"/>
      <c r="CJ427" s="141"/>
      <c r="CK427" s="141"/>
      <c r="CL427" s="141"/>
    </row>
    <row r="428" spans="74:90" ht="15" customHeight="1" x14ac:dyDescent="0.35">
      <c r="BV428" s="140"/>
      <c r="BY428" s="141"/>
      <c r="BZ428" s="141"/>
      <c r="CA428" s="141"/>
      <c r="CB428" s="141"/>
      <c r="CC428" s="141"/>
      <c r="CD428" s="141"/>
      <c r="CE428" s="141"/>
      <c r="CF428" s="141"/>
      <c r="CG428" s="141"/>
      <c r="CH428" s="141"/>
      <c r="CI428" s="141"/>
      <c r="CJ428" s="141"/>
      <c r="CK428" s="141"/>
      <c r="CL428" s="141"/>
    </row>
    <row r="429" spans="74:90" ht="15" customHeight="1" x14ac:dyDescent="0.35">
      <c r="BV429" s="140"/>
      <c r="BY429" s="141"/>
      <c r="BZ429" s="141"/>
      <c r="CA429" s="141"/>
      <c r="CB429" s="141"/>
      <c r="CC429" s="141"/>
      <c r="CD429" s="141"/>
      <c r="CE429" s="141"/>
      <c r="CF429" s="141"/>
      <c r="CG429" s="141"/>
      <c r="CH429" s="141"/>
      <c r="CI429" s="141"/>
      <c r="CJ429" s="141"/>
      <c r="CK429" s="141"/>
      <c r="CL429" s="141"/>
    </row>
    <row r="430" spans="74:90" ht="15" customHeight="1" x14ac:dyDescent="0.35">
      <c r="BV430" s="140"/>
      <c r="BY430" s="141"/>
      <c r="BZ430" s="141"/>
      <c r="CA430" s="141"/>
      <c r="CB430" s="141"/>
      <c r="CC430" s="141"/>
      <c r="CD430" s="141"/>
      <c r="CE430" s="141"/>
      <c r="CF430" s="141"/>
      <c r="CG430" s="141"/>
      <c r="CH430" s="141"/>
      <c r="CI430" s="141"/>
      <c r="CJ430" s="141"/>
      <c r="CK430" s="141"/>
      <c r="CL430" s="141"/>
    </row>
    <row r="431" spans="74:90" ht="15" customHeight="1" x14ac:dyDescent="0.35">
      <c r="BV431" s="140"/>
      <c r="BY431" s="141"/>
      <c r="BZ431" s="141"/>
      <c r="CA431" s="141"/>
      <c r="CB431" s="141"/>
      <c r="CC431" s="141"/>
      <c r="CD431" s="141"/>
      <c r="CE431" s="141"/>
      <c r="CF431" s="141"/>
      <c r="CG431" s="141"/>
      <c r="CH431" s="141"/>
      <c r="CI431" s="141"/>
      <c r="CJ431" s="141"/>
      <c r="CK431" s="141"/>
      <c r="CL431" s="141"/>
    </row>
    <row r="432" spans="74:90" ht="15" customHeight="1" x14ac:dyDescent="0.35">
      <c r="BV432" s="140"/>
      <c r="BY432" s="141"/>
      <c r="BZ432" s="141"/>
      <c r="CA432" s="141"/>
      <c r="CB432" s="141"/>
      <c r="CC432" s="141"/>
      <c r="CD432" s="141"/>
      <c r="CE432" s="141"/>
      <c r="CF432" s="141"/>
      <c r="CG432" s="141"/>
      <c r="CH432" s="141"/>
      <c r="CI432" s="141"/>
      <c r="CJ432" s="141"/>
      <c r="CK432" s="141"/>
      <c r="CL432" s="141"/>
    </row>
    <row r="433" spans="74:90" ht="15" customHeight="1" x14ac:dyDescent="0.35">
      <c r="BV433" s="140"/>
      <c r="BY433" s="141"/>
      <c r="BZ433" s="141"/>
      <c r="CA433" s="141"/>
      <c r="CB433" s="141"/>
      <c r="CC433" s="141"/>
      <c r="CD433" s="141"/>
      <c r="CE433" s="141"/>
      <c r="CF433" s="141"/>
      <c r="CG433" s="141"/>
      <c r="CH433" s="141"/>
      <c r="CI433" s="141"/>
      <c r="CJ433" s="141"/>
      <c r="CK433" s="141"/>
      <c r="CL433" s="141"/>
    </row>
    <row r="434" spans="74:90" ht="15" customHeight="1" x14ac:dyDescent="0.35">
      <c r="BV434" s="140"/>
      <c r="BY434" s="141"/>
      <c r="BZ434" s="141"/>
      <c r="CA434" s="141"/>
      <c r="CB434" s="141"/>
      <c r="CC434" s="141"/>
      <c r="CD434" s="141"/>
      <c r="CE434" s="141"/>
      <c r="CF434" s="141"/>
      <c r="CG434" s="141"/>
      <c r="CH434" s="141"/>
      <c r="CI434" s="141"/>
      <c r="CJ434" s="141"/>
      <c r="CK434" s="141"/>
      <c r="CL434" s="141"/>
    </row>
    <row r="435" spans="74:90" ht="15" customHeight="1" x14ac:dyDescent="0.35">
      <c r="BV435" s="140"/>
      <c r="BY435" s="141"/>
      <c r="BZ435" s="141"/>
      <c r="CA435" s="141"/>
      <c r="CB435" s="141"/>
      <c r="CC435" s="141"/>
      <c r="CD435" s="141"/>
      <c r="CE435" s="141"/>
      <c r="CF435" s="141"/>
      <c r="CG435" s="141"/>
      <c r="CH435" s="141"/>
      <c r="CI435" s="141"/>
      <c r="CJ435" s="141"/>
      <c r="CK435" s="141"/>
      <c r="CL435" s="141"/>
    </row>
    <row r="436" spans="74:90" ht="15" customHeight="1" x14ac:dyDescent="0.35">
      <c r="BV436" s="140"/>
      <c r="BY436" s="141"/>
      <c r="BZ436" s="141"/>
      <c r="CA436" s="141"/>
      <c r="CB436" s="141"/>
      <c r="CC436" s="141"/>
      <c r="CD436" s="141"/>
      <c r="CE436" s="141"/>
      <c r="CF436" s="141"/>
      <c r="CG436" s="141"/>
      <c r="CH436" s="141"/>
      <c r="CI436" s="141"/>
      <c r="CJ436" s="141"/>
      <c r="CK436" s="141"/>
      <c r="CL436" s="141"/>
    </row>
    <row r="437" spans="74:90" ht="15" customHeight="1" x14ac:dyDescent="0.35">
      <c r="BV437" s="140"/>
      <c r="BY437" s="141"/>
      <c r="BZ437" s="141"/>
      <c r="CA437" s="141"/>
      <c r="CB437" s="141"/>
      <c r="CC437" s="141"/>
      <c r="CD437" s="141"/>
      <c r="CE437" s="141"/>
      <c r="CF437" s="141"/>
      <c r="CG437" s="141"/>
      <c r="CH437" s="141"/>
      <c r="CI437" s="141"/>
      <c r="CJ437" s="141"/>
      <c r="CK437" s="141"/>
      <c r="CL437" s="141"/>
    </row>
    <row r="438" spans="74:90" ht="15" customHeight="1" x14ac:dyDescent="0.35">
      <c r="BV438" s="140"/>
      <c r="BY438" s="141"/>
      <c r="BZ438" s="141"/>
      <c r="CA438" s="141"/>
      <c r="CB438" s="141"/>
      <c r="CC438" s="141"/>
      <c r="CD438" s="141"/>
      <c r="CE438" s="141"/>
      <c r="CF438" s="141"/>
      <c r="CG438" s="141"/>
      <c r="CH438" s="141"/>
      <c r="CI438" s="141"/>
      <c r="CJ438" s="141"/>
      <c r="CK438" s="141"/>
      <c r="CL438" s="141"/>
    </row>
    <row r="439" spans="74:90" ht="15" customHeight="1" x14ac:dyDescent="0.35">
      <c r="BV439" s="140"/>
      <c r="BY439" s="141"/>
      <c r="BZ439" s="141"/>
      <c r="CA439" s="141"/>
      <c r="CB439" s="141"/>
      <c r="CC439" s="141"/>
      <c r="CD439" s="141"/>
      <c r="CE439" s="141"/>
      <c r="CF439" s="141"/>
      <c r="CG439" s="141"/>
      <c r="CH439" s="141"/>
      <c r="CI439" s="141"/>
      <c r="CJ439" s="141"/>
      <c r="CK439" s="141"/>
      <c r="CL439" s="141"/>
    </row>
    <row r="440" spans="74:90" ht="15" customHeight="1" x14ac:dyDescent="0.35">
      <c r="BV440" s="140"/>
      <c r="BY440" s="141"/>
      <c r="BZ440" s="141"/>
      <c r="CA440" s="141"/>
      <c r="CB440" s="141"/>
      <c r="CC440" s="141"/>
      <c r="CD440" s="141"/>
      <c r="CE440" s="141"/>
      <c r="CF440" s="141"/>
      <c r="CG440" s="141"/>
      <c r="CH440" s="141"/>
      <c r="CI440" s="141"/>
      <c r="CJ440" s="141"/>
      <c r="CK440" s="141"/>
      <c r="CL440" s="141"/>
    </row>
    <row r="441" spans="74:90" ht="15" customHeight="1" x14ac:dyDescent="0.35">
      <c r="BV441" s="140"/>
      <c r="BY441" s="141"/>
      <c r="BZ441" s="141"/>
      <c r="CA441" s="141"/>
      <c r="CB441" s="141"/>
      <c r="CC441" s="141"/>
      <c r="CD441" s="141"/>
      <c r="CE441" s="141"/>
      <c r="CF441" s="141"/>
      <c r="CG441" s="141"/>
      <c r="CH441" s="141"/>
      <c r="CI441" s="141"/>
      <c r="CJ441" s="141"/>
      <c r="CK441" s="141"/>
      <c r="CL441" s="141"/>
    </row>
    <row r="442" spans="74:90" ht="15" customHeight="1" x14ac:dyDescent="0.35">
      <c r="BV442" s="140"/>
      <c r="BY442" s="141"/>
      <c r="BZ442" s="141"/>
      <c r="CA442" s="141"/>
      <c r="CB442" s="141"/>
      <c r="CC442" s="141"/>
      <c r="CD442" s="141"/>
      <c r="CE442" s="141"/>
      <c r="CF442" s="141"/>
      <c r="CG442" s="141"/>
      <c r="CH442" s="141"/>
      <c r="CI442" s="141"/>
      <c r="CJ442" s="141"/>
      <c r="CK442" s="141"/>
      <c r="CL442" s="141"/>
    </row>
    <row r="443" spans="74:90" ht="15" customHeight="1" x14ac:dyDescent="0.35">
      <c r="BV443" s="140"/>
      <c r="BY443" s="141"/>
      <c r="BZ443" s="141"/>
      <c r="CA443" s="141"/>
      <c r="CB443" s="141"/>
      <c r="CC443" s="141"/>
      <c r="CD443" s="141"/>
      <c r="CE443" s="141"/>
      <c r="CF443" s="141"/>
      <c r="CG443" s="141"/>
      <c r="CH443" s="141"/>
      <c r="CI443" s="141"/>
      <c r="CJ443" s="141"/>
      <c r="CK443" s="141"/>
      <c r="CL443" s="141"/>
    </row>
    <row r="444" spans="74:90" ht="15" customHeight="1" x14ac:dyDescent="0.35">
      <c r="BV444" s="140"/>
      <c r="BY444" s="141"/>
      <c r="BZ444" s="141"/>
      <c r="CA444" s="141"/>
      <c r="CB444" s="141"/>
      <c r="CC444" s="141"/>
      <c r="CD444" s="141"/>
      <c r="CE444" s="141"/>
      <c r="CF444" s="141"/>
      <c r="CG444" s="141"/>
      <c r="CH444" s="141"/>
      <c r="CI444" s="141"/>
      <c r="CJ444" s="141"/>
      <c r="CK444" s="141"/>
      <c r="CL444" s="141"/>
    </row>
    <row r="445" spans="74:90" ht="15" customHeight="1" x14ac:dyDescent="0.35">
      <c r="BV445" s="140"/>
      <c r="BY445" s="141"/>
      <c r="BZ445" s="141"/>
      <c r="CA445" s="141"/>
      <c r="CB445" s="141"/>
      <c r="CC445" s="141"/>
      <c r="CD445" s="141"/>
      <c r="CE445" s="141"/>
      <c r="CF445" s="141"/>
      <c r="CG445" s="141"/>
      <c r="CH445" s="141"/>
      <c r="CI445" s="141"/>
      <c r="CJ445" s="141"/>
      <c r="CK445" s="141"/>
      <c r="CL445" s="141"/>
    </row>
    <row r="446" spans="74:90" ht="15" customHeight="1" x14ac:dyDescent="0.35">
      <c r="BV446" s="140"/>
      <c r="BY446" s="141"/>
      <c r="BZ446" s="141"/>
      <c r="CA446" s="141"/>
      <c r="CB446" s="141"/>
      <c r="CC446" s="141"/>
      <c r="CD446" s="141"/>
      <c r="CE446" s="141"/>
      <c r="CF446" s="141"/>
      <c r="CG446" s="141"/>
      <c r="CH446" s="141"/>
      <c r="CI446" s="141"/>
      <c r="CJ446" s="141"/>
      <c r="CK446" s="141"/>
      <c r="CL446" s="141"/>
    </row>
    <row r="447" spans="74:90" ht="15" customHeight="1" x14ac:dyDescent="0.35">
      <c r="BV447" s="140"/>
      <c r="BY447" s="141"/>
      <c r="BZ447" s="141"/>
      <c r="CA447" s="141"/>
      <c r="CB447" s="141"/>
      <c r="CC447" s="141"/>
      <c r="CD447" s="141"/>
      <c r="CE447" s="141"/>
      <c r="CF447" s="141"/>
      <c r="CG447" s="141"/>
      <c r="CH447" s="141"/>
      <c r="CI447" s="141"/>
      <c r="CJ447" s="141"/>
      <c r="CK447" s="141"/>
      <c r="CL447" s="141"/>
    </row>
    <row r="448" spans="74:90" ht="15" customHeight="1" x14ac:dyDescent="0.35">
      <c r="BV448" s="140"/>
      <c r="BY448" s="141"/>
      <c r="BZ448" s="141"/>
      <c r="CA448" s="141"/>
      <c r="CB448" s="141"/>
      <c r="CC448" s="141"/>
      <c r="CD448" s="141"/>
      <c r="CE448" s="141"/>
      <c r="CF448" s="141"/>
      <c r="CG448" s="141"/>
      <c r="CH448" s="141"/>
      <c r="CI448" s="141"/>
      <c r="CJ448" s="141"/>
      <c r="CK448" s="141"/>
      <c r="CL448" s="141"/>
    </row>
    <row r="449" spans="74:90" ht="15" customHeight="1" x14ac:dyDescent="0.35">
      <c r="BV449" s="140"/>
      <c r="BY449" s="141"/>
      <c r="BZ449" s="141"/>
      <c r="CA449" s="141"/>
      <c r="CB449" s="141"/>
      <c r="CC449" s="141"/>
      <c r="CD449" s="141"/>
      <c r="CE449" s="141"/>
      <c r="CF449" s="141"/>
      <c r="CG449" s="141"/>
      <c r="CH449" s="141"/>
      <c r="CI449" s="141"/>
      <c r="CJ449" s="141"/>
      <c r="CK449" s="141"/>
      <c r="CL449" s="141"/>
    </row>
    <row r="450" spans="74:90" ht="15" customHeight="1" x14ac:dyDescent="0.35">
      <c r="BV450" s="140"/>
      <c r="BY450" s="141"/>
      <c r="BZ450" s="141"/>
      <c r="CA450" s="141"/>
      <c r="CB450" s="141"/>
      <c r="CC450" s="141"/>
      <c r="CD450" s="141"/>
      <c r="CE450" s="141"/>
      <c r="CF450" s="141"/>
      <c r="CG450" s="141"/>
      <c r="CH450" s="141"/>
      <c r="CI450" s="141"/>
      <c r="CJ450" s="141"/>
      <c r="CK450" s="141"/>
      <c r="CL450" s="141"/>
    </row>
    <row r="451" spans="74:90" ht="15" customHeight="1" x14ac:dyDescent="0.35">
      <c r="BV451" s="140"/>
      <c r="BY451" s="141"/>
      <c r="BZ451" s="141"/>
      <c r="CA451" s="141"/>
      <c r="CB451" s="141"/>
      <c r="CC451" s="141"/>
      <c r="CD451" s="141"/>
      <c r="CE451" s="141"/>
      <c r="CF451" s="141"/>
      <c r="CG451" s="141"/>
      <c r="CH451" s="141"/>
      <c r="CI451" s="141"/>
      <c r="CJ451" s="141"/>
      <c r="CK451" s="141"/>
      <c r="CL451" s="141"/>
    </row>
    <row r="452" spans="74:90" ht="15" customHeight="1" x14ac:dyDescent="0.35">
      <c r="BV452" s="140"/>
      <c r="BY452" s="141"/>
      <c r="BZ452" s="141"/>
      <c r="CA452" s="141"/>
      <c r="CB452" s="141"/>
      <c r="CC452" s="141"/>
      <c r="CD452" s="141"/>
      <c r="CE452" s="141"/>
      <c r="CF452" s="141"/>
      <c r="CG452" s="141"/>
      <c r="CH452" s="141"/>
      <c r="CI452" s="141"/>
      <c r="CJ452" s="141"/>
      <c r="CK452" s="141"/>
      <c r="CL452" s="141"/>
    </row>
    <row r="453" spans="74:90" ht="15" customHeight="1" x14ac:dyDescent="0.35">
      <c r="BV453" s="140"/>
      <c r="BY453" s="141"/>
      <c r="BZ453" s="141"/>
      <c r="CA453" s="141"/>
      <c r="CB453" s="141"/>
      <c r="CC453" s="141"/>
      <c r="CD453" s="141"/>
      <c r="CE453" s="141"/>
      <c r="CF453" s="141"/>
      <c r="CG453" s="141"/>
      <c r="CH453" s="141"/>
      <c r="CI453" s="141"/>
      <c r="CJ453" s="141"/>
      <c r="CK453" s="141"/>
      <c r="CL453" s="141"/>
    </row>
    <row r="454" spans="74:90" ht="15" customHeight="1" x14ac:dyDescent="0.35">
      <c r="BV454" s="140"/>
      <c r="BY454" s="141"/>
      <c r="BZ454" s="141"/>
      <c r="CA454" s="141"/>
      <c r="CB454" s="141"/>
      <c r="CC454" s="141"/>
      <c r="CD454" s="141"/>
      <c r="CE454" s="141"/>
      <c r="CF454" s="141"/>
      <c r="CG454" s="141"/>
      <c r="CH454" s="141"/>
      <c r="CI454" s="141"/>
      <c r="CJ454" s="141"/>
      <c r="CK454" s="141"/>
      <c r="CL454" s="141"/>
    </row>
    <row r="455" spans="74:90" ht="15" customHeight="1" x14ac:dyDescent="0.35">
      <c r="BV455" s="140"/>
      <c r="BY455" s="141"/>
      <c r="BZ455" s="141"/>
      <c r="CA455" s="141"/>
      <c r="CB455" s="141"/>
      <c r="CC455" s="141"/>
      <c r="CD455" s="141"/>
      <c r="CE455" s="141"/>
      <c r="CF455" s="141"/>
      <c r="CG455" s="141"/>
      <c r="CH455" s="141"/>
      <c r="CI455" s="141"/>
      <c r="CJ455" s="141"/>
      <c r="CK455" s="141"/>
      <c r="CL455" s="141"/>
    </row>
    <row r="456" spans="74:90" ht="49.5" customHeight="1" x14ac:dyDescent="0.35">
      <c r="BV456" s="140"/>
      <c r="BY456" s="141"/>
      <c r="BZ456" s="141"/>
      <c r="CA456" s="141"/>
      <c r="CB456" s="141"/>
      <c r="CC456" s="141"/>
      <c r="CD456" s="141"/>
      <c r="CE456" s="141"/>
      <c r="CF456" s="141"/>
      <c r="CG456" s="141"/>
      <c r="CH456" s="141"/>
      <c r="CI456" s="141"/>
      <c r="CJ456" s="141"/>
      <c r="CK456" s="141"/>
      <c r="CL456" s="141"/>
    </row>
    <row r="457" spans="74:90" ht="49.5" customHeight="1" x14ac:dyDescent="0.35">
      <c r="BV457" s="140"/>
      <c r="BY457" s="141"/>
      <c r="BZ457" s="141"/>
      <c r="CA457" s="141"/>
      <c r="CB457" s="141"/>
      <c r="CC457" s="141"/>
      <c r="CD457" s="141"/>
      <c r="CE457" s="141"/>
      <c r="CF457" s="141"/>
      <c r="CG457" s="141"/>
      <c r="CH457" s="141"/>
      <c r="CI457" s="141"/>
      <c r="CJ457" s="141"/>
      <c r="CK457" s="141"/>
      <c r="CL457" s="141"/>
    </row>
    <row r="458" spans="74:90" ht="49.5" customHeight="1" x14ac:dyDescent="0.35">
      <c r="BV458" s="140"/>
      <c r="BY458" s="141"/>
      <c r="BZ458" s="141"/>
      <c r="CA458" s="141"/>
      <c r="CB458" s="141"/>
      <c r="CC458" s="141"/>
      <c r="CD458" s="141"/>
      <c r="CE458" s="141"/>
      <c r="CF458" s="141"/>
      <c r="CG458" s="141"/>
      <c r="CH458" s="141"/>
      <c r="CI458" s="141"/>
      <c r="CJ458" s="141"/>
      <c r="CK458" s="141"/>
      <c r="CL458" s="141"/>
    </row>
    <row r="459" spans="74:90" ht="49.5" customHeight="1" x14ac:dyDescent="0.35">
      <c r="BV459" s="140"/>
      <c r="BY459" s="141"/>
      <c r="BZ459" s="141"/>
      <c r="CA459" s="141"/>
      <c r="CB459" s="141"/>
      <c r="CC459" s="141"/>
      <c r="CD459" s="141"/>
      <c r="CE459" s="141"/>
      <c r="CF459" s="141"/>
      <c r="CG459" s="141"/>
      <c r="CH459" s="141"/>
      <c r="CI459" s="141"/>
      <c r="CJ459" s="141"/>
      <c r="CK459" s="141"/>
      <c r="CL459" s="141"/>
    </row>
    <row r="460" spans="74:90" ht="49.5" customHeight="1" x14ac:dyDescent="0.35">
      <c r="BV460" s="140"/>
      <c r="BY460" s="141"/>
      <c r="BZ460" s="141"/>
      <c r="CA460" s="141"/>
      <c r="CB460" s="141"/>
      <c r="CC460" s="141"/>
      <c r="CD460" s="141"/>
      <c r="CE460" s="141"/>
      <c r="CF460" s="141"/>
      <c r="CG460" s="141"/>
      <c r="CH460" s="141"/>
      <c r="CI460" s="141"/>
      <c r="CJ460" s="141"/>
      <c r="CK460" s="141"/>
      <c r="CL460" s="141"/>
    </row>
    <row r="461" spans="74:90" ht="49.5" customHeight="1" x14ac:dyDescent="0.35">
      <c r="BV461" s="140"/>
      <c r="BY461" s="141"/>
      <c r="BZ461" s="141"/>
      <c r="CA461" s="141"/>
      <c r="CB461" s="141"/>
      <c r="CC461" s="141"/>
      <c r="CD461" s="141"/>
      <c r="CE461" s="141"/>
      <c r="CF461" s="141"/>
      <c r="CG461" s="141"/>
      <c r="CH461" s="141"/>
      <c r="CI461" s="141"/>
      <c r="CJ461" s="141"/>
      <c r="CK461" s="141"/>
      <c r="CL461" s="141"/>
    </row>
    <row r="462" spans="74:90" ht="49.5" customHeight="1" x14ac:dyDescent="0.35">
      <c r="BV462" s="140"/>
      <c r="BY462" s="141"/>
      <c r="BZ462" s="141"/>
      <c r="CA462" s="141"/>
      <c r="CB462" s="141"/>
      <c r="CC462" s="141"/>
      <c r="CD462" s="141"/>
      <c r="CE462" s="141"/>
      <c r="CF462" s="141"/>
      <c r="CG462" s="141"/>
      <c r="CH462" s="141"/>
      <c r="CI462" s="141"/>
      <c r="CJ462" s="141"/>
      <c r="CK462" s="141"/>
      <c r="CL462" s="141"/>
    </row>
    <row r="463" spans="74:90" ht="49.5" customHeight="1" x14ac:dyDescent="0.35">
      <c r="BV463" s="140"/>
      <c r="BY463" s="141"/>
      <c r="BZ463" s="141"/>
      <c r="CA463" s="141"/>
      <c r="CB463" s="141"/>
      <c r="CC463" s="141"/>
      <c r="CD463" s="141"/>
      <c r="CE463" s="141"/>
      <c r="CF463" s="141"/>
      <c r="CG463" s="141"/>
      <c r="CH463" s="141"/>
      <c r="CI463" s="141"/>
      <c r="CJ463" s="141"/>
      <c r="CK463" s="141"/>
      <c r="CL463" s="141"/>
    </row>
    <row r="464" spans="74:90" ht="49.5" customHeight="1" x14ac:dyDescent="0.35">
      <c r="BV464" s="140"/>
      <c r="BY464" s="141"/>
      <c r="BZ464" s="141"/>
      <c r="CA464" s="141"/>
      <c r="CB464" s="141"/>
      <c r="CC464" s="141"/>
      <c r="CD464" s="141"/>
      <c r="CE464" s="141"/>
      <c r="CF464" s="141"/>
      <c r="CG464" s="141"/>
      <c r="CH464" s="141"/>
      <c r="CI464" s="141"/>
      <c r="CJ464" s="141"/>
      <c r="CK464" s="141"/>
      <c r="CL464" s="141"/>
    </row>
    <row r="465" spans="74:90" ht="49.5" customHeight="1" x14ac:dyDescent="0.35">
      <c r="BV465" s="140"/>
      <c r="BY465" s="141"/>
      <c r="BZ465" s="141"/>
      <c r="CA465" s="141"/>
      <c r="CB465" s="141"/>
      <c r="CC465" s="141"/>
      <c r="CD465" s="141"/>
      <c r="CE465" s="141"/>
      <c r="CF465" s="141"/>
      <c r="CG465" s="141"/>
      <c r="CH465" s="141"/>
      <c r="CI465" s="141"/>
      <c r="CJ465" s="141"/>
      <c r="CK465" s="141"/>
      <c r="CL465" s="141"/>
    </row>
    <row r="466" spans="74:90" ht="49.5" customHeight="1" x14ac:dyDescent="0.35">
      <c r="BV466" s="140"/>
      <c r="BY466" s="141"/>
      <c r="BZ466" s="141"/>
      <c r="CA466" s="141"/>
      <c r="CB466" s="141"/>
      <c r="CC466" s="141"/>
      <c r="CD466" s="141"/>
      <c r="CE466" s="141"/>
      <c r="CF466" s="141"/>
      <c r="CG466" s="141"/>
      <c r="CH466" s="141"/>
      <c r="CI466" s="141"/>
      <c r="CJ466" s="141"/>
      <c r="CK466" s="141"/>
      <c r="CL466" s="141"/>
    </row>
    <row r="467" spans="74:90" ht="49.5" customHeight="1" x14ac:dyDescent="0.35">
      <c r="BV467" s="140"/>
      <c r="BY467" s="141"/>
      <c r="BZ467" s="141"/>
      <c r="CA467" s="141"/>
      <c r="CB467" s="141"/>
      <c r="CC467" s="141"/>
      <c r="CD467" s="141"/>
      <c r="CE467" s="141"/>
      <c r="CF467" s="141"/>
      <c r="CG467" s="141"/>
      <c r="CH467" s="141"/>
      <c r="CI467" s="141"/>
      <c r="CJ467" s="141"/>
      <c r="CK467" s="141"/>
      <c r="CL467" s="141"/>
    </row>
    <row r="468" spans="74:90" ht="49.5" customHeight="1" x14ac:dyDescent="0.35">
      <c r="BV468" s="140"/>
      <c r="BY468" s="141"/>
      <c r="BZ468" s="141"/>
      <c r="CA468" s="141"/>
      <c r="CB468" s="141"/>
      <c r="CC468" s="141"/>
      <c r="CD468" s="141"/>
      <c r="CE468" s="141"/>
      <c r="CF468" s="141"/>
      <c r="CG468" s="141"/>
      <c r="CH468" s="141"/>
      <c r="CI468" s="141"/>
      <c r="CJ468" s="141"/>
      <c r="CK468" s="141"/>
      <c r="CL468" s="141"/>
    </row>
    <row r="469" spans="74:90" ht="49.5" customHeight="1" x14ac:dyDescent="0.35">
      <c r="BV469" s="140"/>
      <c r="BY469" s="141"/>
      <c r="BZ469" s="141"/>
      <c r="CA469" s="141"/>
      <c r="CB469" s="141"/>
      <c r="CC469" s="141"/>
      <c r="CD469" s="141"/>
      <c r="CE469" s="141"/>
      <c r="CF469" s="141"/>
      <c r="CG469" s="141"/>
      <c r="CH469" s="141"/>
      <c r="CI469" s="141"/>
      <c r="CJ469" s="141"/>
      <c r="CK469" s="141"/>
      <c r="CL469" s="141"/>
    </row>
    <row r="470" spans="74:90" ht="49.5" customHeight="1" x14ac:dyDescent="0.35">
      <c r="BV470" s="140"/>
      <c r="BY470" s="141"/>
      <c r="BZ470" s="141"/>
      <c r="CA470" s="141"/>
      <c r="CB470" s="141"/>
      <c r="CC470" s="141"/>
      <c r="CD470" s="141"/>
      <c r="CE470" s="141"/>
      <c r="CF470" s="141"/>
      <c r="CG470" s="141"/>
      <c r="CH470" s="141"/>
      <c r="CI470" s="141"/>
      <c r="CJ470" s="141"/>
      <c r="CK470" s="141"/>
      <c r="CL470" s="141"/>
    </row>
    <row r="471" spans="74:90" ht="49.5" customHeight="1" x14ac:dyDescent="0.35">
      <c r="BV471" s="140"/>
      <c r="BY471" s="141"/>
      <c r="BZ471" s="141"/>
      <c r="CA471" s="141"/>
      <c r="CB471" s="141"/>
      <c r="CC471" s="141"/>
      <c r="CD471" s="141"/>
      <c r="CE471" s="141"/>
      <c r="CF471" s="141"/>
      <c r="CG471" s="141"/>
      <c r="CH471" s="141"/>
      <c r="CI471" s="141"/>
      <c r="CJ471" s="141"/>
      <c r="CK471" s="141"/>
      <c r="CL471" s="141"/>
    </row>
    <row r="472" spans="74:90" ht="49.5" customHeight="1" x14ac:dyDescent="0.35">
      <c r="BV472" s="140"/>
      <c r="BY472" s="141"/>
      <c r="BZ472" s="141"/>
      <c r="CA472" s="141"/>
      <c r="CB472" s="141"/>
      <c r="CC472" s="141"/>
      <c r="CD472" s="141"/>
      <c r="CE472" s="141"/>
      <c r="CF472" s="141"/>
      <c r="CG472" s="141"/>
      <c r="CH472" s="141"/>
      <c r="CI472" s="141"/>
      <c r="CJ472" s="141"/>
      <c r="CK472" s="141"/>
      <c r="CL472" s="141"/>
    </row>
    <row r="473" spans="74:90" ht="49.5" customHeight="1" x14ac:dyDescent="0.35">
      <c r="BV473" s="140"/>
      <c r="BY473" s="141"/>
      <c r="BZ473" s="141"/>
      <c r="CA473" s="141"/>
      <c r="CB473" s="141"/>
      <c r="CC473" s="141"/>
      <c r="CD473" s="141"/>
      <c r="CE473" s="141"/>
      <c r="CF473" s="141"/>
      <c r="CG473" s="141"/>
      <c r="CH473" s="141"/>
      <c r="CI473" s="141"/>
      <c r="CJ473" s="141"/>
      <c r="CK473" s="141"/>
      <c r="CL473" s="141"/>
    </row>
    <row r="474" spans="74:90" ht="49.5" customHeight="1" x14ac:dyDescent="0.35">
      <c r="BV474" s="140"/>
      <c r="BY474" s="141"/>
      <c r="BZ474" s="141"/>
      <c r="CA474" s="141"/>
      <c r="CB474" s="141"/>
      <c r="CC474" s="141"/>
      <c r="CD474" s="141"/>
      <c r="CE474" s="141"/>
      <c r="CF474" s="141"/>
      <c r="CG474" s="141"/>
      <c r="CH474" s="141"/>
      <c r="CI474" s="141"/>
      <c r="CJ474" s="141"/>
      <c r="CK474" s="141"/>
      <c r="CL474" s="141"/>
    </row>
    <row r="475" spans="74:90" ht="49.5" customHeight="1" x14ac:dyDescent="0.35">
      <c r="BV475" s="140"/>
      <c r="BY475" s="141"/>
      <c r="BZ475" s="141"/>
      <c r="CA475" s="141"/>
      <c r="CB475" s="141"/>
      <c r="CC475" s="141"/>
      <c r="CD475" s="141"/>
      <c r="CE475" s="141"/>
      <c r="CF475" s="141"/>
      <c r="CG475" s="141"/>
      <c r="CH475" s="141"/>
      <c r="CI475" s="141"/>
      <c r="CJ475" s="141"/>
      <c r="CK475" s="141"/>
      <c r="CL475" s="141"/>
    </row>
    <row r="476" spans="74:90" ht="49.5" customHeight="1" x14ac:dyDescent="0.35">
      <c r="BV476" s="140"/>
      <c r="BY476" s="141"/>
      <c r="BZ476" s="141"/>
      <c r="CA476" s="141"/>
      <c r="CB476" s="141"/>
      <c r="CC476" s="141"/>
      <c r="CD476" s="141"/>
      <c r="CE476" s="141"/>
      <c r="CF476" s="141"/>
      <c r="CG476" s="141"/>
      <c r="CH476" s="141"/>
      <c r="CI476" s="141"/>
      <c r="CJ476" s="141"/>
      <c r="CK476" s="141"/>
      <c r="CL476" s="141"/>
    </row>
    <row r="477" spans="74:90" ht="49.5" customHeight="1" x14ac:dyDescent="0.35">
      <c r="BV477" s="140"/>
      <c r="BY477" s="141"/>
      <c r="BZ477" s="141"/>
      <c r="CA477" s="141"/>
      <c r="CB477" s="141"/>
      <c r="CC477" s="141"/>
      <c r="CD477" s="141"/>
      <c r="CE477" s="141"/>
      <c r="CF477" s="141"/>
      <c r="CG477" s="141"/>
      <c r="CH477" s="141"/>
      <c r="CI477" s="141"/>
      <c r="CJ477" s="141"/>
      <c r="CK477" s="141"/>
      <c r="CL477" s="141"/>
    </row>
    <row r="478" spans="74:90" ht="49.5" customHeight="1" x14ac:dyDescent="0.35">
      <c r="BV478" s="140"/>
      <c r="BY478" s="141"/>
      <c r="BZ478" s="141"/>
      <c r="CA478" s="141"/>
      <c r="CB478" s="141"/>
      <c r="CC478" s="141"/>
      <c r="CD478" s="141"/>
      <c r="CE478" s="141"/>
      <c r="CF478" s="141"/>
      <c r="CG478" s="141"/>
      <c r="CH478" s="141"/>
      <c r="CI478" s="141"/>
      <c r="CJ478" s="141"/>
      <c r="CK478" s="141"/>
      <c r="CL478" s="141"/>
    </row>
    <row r="479" spans="74:90" ht="49.5" customHeight="1" x14ac:dyDescent="0.35">
      <c r="BV479" s="140"/>
      <c r="BY479" s="141"/>
      <c r="BZ479" s="141"/>
      <c r="CA479" s="141"/>
      <c r="CB479" s="141"/>
      <c r="CC479" s="141"/>
      <c r="CD479" s="141"/>
      <c r="CE479" s="141"/>
      <c r="CF479" s="141"/>
      <c r="CG479" s="141"/>
      <c r="CH479" s="141"/>
      <c r="CI479" s="141"/>
      <c r="CJ479" s="141"/>
      <c r="CK479" s="141"/>
      <c r="CL479" s="141"/>
    </row>
    <row r="480" spans="74:90" ht="49.5" customHeight="1" x14ac:dyDescent="0.35">
      <c r="BV480" s="140"/>
      <c r="BY480" s="141"/>
      <c r="BZ480" s="141"/>
      <c r="CA480" s="141"/>
      <c r="CB480" s="141"/>
      <c r="CC480" s="141"/>
      <c r="CD480" s="141"/>
      <c r="CE480" s="141"/>
      <c r="CF480" s="141"/>
      <c r="CG480" s="141"/>
      <c r="CH480" s="141"/>
      <c r="CI480" s="141"/>
      <c r="CJ480" s="141"/>
      <c r="CK480" s="141"/>
      <c r="CL480" s="141"/>
    </row>
    <row r="481" spans="74:90" ht="49.5" customHeight="1" x14ac:dyDescent="0.35">
      <c r="BV481" s="140"/>
      <c r="BY481" s="141"/>
      <c r="BZ481" s="141"/>
      <c r="CA481" s="141"/>
      <c r="CB481" s="141"/>
      <c r="CC481" s="141"/>
      <c r="CD481" s="141"/>
      <c r="CE481" s="141"/>
      <c r="CF481" s="141"/>
      <c r="CG481" s="141"/>
      <c r="CH481" s="141"/>
      <c r="CI481" s="141"/>
      <c r="CJ481" s="141"/>
      <c r="CK481" s="141"/>
      <c r="CL481" s="141"/>
    </row>
    <row r="482" spans="74:90" ht="49.5" customHeight="1" x14ac:dyDescent="0.35">
      <c r="BV482" s="140"/>
      <c r="BY482" s="141"/>
      <c r="BZ482" s="141"/>
      <c r="CA482" s="141"/>
      <c r="CB482" s="141"/>
      <c r="CC482" s="141"/>
      <c r="CD482" s="141"/>
      <c r="CE482" s="141"/>
      <c r="CF482" s="141"/>
      <c r="CG482" s="141"/>
      <c r="CH482" s="141"/>
      <c r="CI482" s="141"/>
      <c r="CJ482" s="141"/>
      <c r="CK482" s="141"/>
      <c r="CL482" s="141"/>
    </row>
    <row r="483" spans="74:90" ht="49.5" customHeight="1" x14ac:dyDescent="0.35">
      <c r="BV483" s="140"/>
      <c r="BY483" s="141"/>
      <c r="BZ483" s="141"/>
      <c r="CA483" s="141"/>
      <c r="CB483" s="141"/>
      <c r="CC483" s="141"/>
      <c r="CD483" s="141"/>
      <c r="CE483" s="141"/>
      <c r="CF483" s="141"/>
      <c r="CG483" s="141"/>
      <c r="CH483" s="141"/>
      <c r="CI483" s="141"/>
      <c r="CJ483" s="141"/>
      <c r="CK483" s="141"/>
      <c r="CL483" s="141"/>
    </row>
    <row r="484" spans="74:90" ht="49.5" customHeight="1" x14ac:dyDescent="0.35">
      <c r="BV484" s="140"/>
      <c r="BY484" s="141"/>
      <c r="BZ484" s="141"/>
      <c r="CA484" s="141"/>
      <c r="CB484" s="141"/>
      <c r="CC484" s="141"/>
      <c r="CD484" s="141"/>
      <c r="CE484" s="141"/>
      <c r="CF484" s="141"/>
      <c r="CG484" s="141"/>
      <c r="CH484" s="141"/>
      <c r="CI484" s="141"/>
      <c r="CJ484" s="141"/>
      <c r="CK484" s="141"/>
      <c r="CL484" s="141"/>
    </row>
    <row r="485" spans="74:90" ht="49.5" customHeight="1" x14ac:dyDescent="0.35">
      <c r="BV485" s="140"/>
      <c r="BY485" s="141"/>
      <c r="BZ485" s="141"/>
      <c r="CA485" s="141"/>
      <c r="CB485" s="141"/>
      <c r="CC485" s="141"/>
      <c r="CD485" s="141"/>
      <c r="CE485" s="141"/>
      <c r="CF485" s="141"/>
      <c r="CG485" s="141"/>
      <c r="CH485" s="141"/>
      <c r="CI485" s="141"/>
      <c r="CJ485" s="141"/>
      <c r="CK485" s="141"/>
      <c r="CL485" s="141"/>
    </row>
    <row r="486" spans="74:90" ht="49.5" customHeight="1" x14ac:dyDescent="0.35">
      <c r="BV486" s="140"/>
      <c r="BY486" s="141"/>
      <c r="BZ486" s="141"/>
      <c r="CA486" s="141"/>
      <c r="CB486" s="141"/>
      <c r="CC486" s="141"/>
      <c r="CD486" s="141"/>
      <c r="CE486" s="141"/>
      <c r="CF486" s="141"/>
      <c r="CG486" s="141"/>
      <c r="CH486" s="141"/>
      <c r="CI486" s="141"/>
      <c r="CJ486" s="141"/>
      <c r="CK486" s="141"/>
      <c r="CL486" s="141"/>
    </row>
    <row r="487" spans="74:90" ht="49.5" customHeight="1" x14ac:dyDescent="0.35">
      <c r="BV487" s="140"/>
      <c r="BY487" s="141"/>
      <c r="BZ487" s="141"/>
      <c r="CA487" s="141"/>
      <c r="CB487" s="141"/>
      <c r="CC487" s="141"/>
      <c r="CD487" s="141"/>
      <c r="CE487" s="141"/>
      <c r="CF487" s="141"/>
      <c r="CG487" s="141"/>
      <c r="CH487" s="141"/>
      <c r="CI487" s="141"/>
      <c r="CJ487" s="141"/>
      <c r="CK487" s="141"/>
      <c r="CL487" s="141"/>
    </row>
    <row r="488" spans="74:90" ht="49.5" customHeight="1" x14ac:dyDescent="0.35">
      <c r="BV488" s="140"/>
      <c r="BY488" s="141"/>
      <c r="BZ488" s="141"/>
      <c r="CA488" s="141"/>
      <c r="CB488" s="141"/>
      <c r="CC488" s="141"/>
      <c r="CD488" s="141"/>
      <c r="CE488" s="141"/>
      <c r="CF488" s="141"/>
      <c r="CG488" s="141"/>
      <c r="CH488" s="141"/>
      <c r="CI488" s="141"/>
      <c r="CJ488" s="141"/>
      <c r="CK488" s="141"/>
      <c r="CL488" s="141"/>
    </row>
    <row r="489" spans="74:90" ht="49.5" customHeight="1" x14ac:dyDescent="0.35">
      <c r="BV489" s="140"/>
      <c r="BY489" s="141"/>
      <c r="BZ489" s="141"/>
      <c r="CA489" s="141"/>
      <c r="CB489" s="141"/>
      <c r="CC489" s="141"/>
      <c r="CD489" s="141"/>
      <c r="CE489" s="141"/>
      <c r="CF489" s="141"/>
      <c r="CG489" s="141"/>
      <c r="CH489" s="141"/>
      <c r="CI489" s="141"/>
      <c r="CJ489" s="141"/>
      <c r="CK489" s="141"/>
      <c r="CL489" s="141"/>
    </row>
    <row r="490" spans="74:90" ht="49.5" customHeight="1" x14ac:dyDescent="0.35">
      <c r="BV490" s="140"/>
      <c r="BY490" s="141"/>
      <c r="BZ490" s="141"/>
      <c r="CA490" s="141"/>
      <c r="CB490" s="141"/>
      <c r="CC490" s="141"/>
      <c r="CD490" s="141"/>
      <c r="CE490" s="141"/>
      <c r="CF490" s="141"/>
      <c r="CG490" s="141"/>
      <c r="CH490" s="141"/>
      <c r="CI490" s="141"/>
      <c r="CJ490" s="141"/>
      <c r="CK490" s="141"/>
      <c r="CL490" s="141"/>
    </row>
    <row r="491" spans="74:90" ht="49.5" customHeight="1" x14ac:dyDescent="0.35">
      <c r="BV491" s="140"/>
      <c r="BY491" s="141"/>
      <c r="BZ491" s="141"/>
      <c r="CA491" s="141"/>
      <c r="CB491" s="141"/>
      <c r="CC491" s="141"/>
      <c r="CD491" s="141"/>
      <c r="CE491" s="141"/>
      <c r="CF491" s="141"/>
      <c r="CG491" s="141"/>
      <c r="CH491" s="141"/>
      <c r="CI491" s="141"/>
      <c r="CJ491" s="141"/>
      <c r="CK491" s="141"/>
      <c r="CL491" s="141"/>
    </row>
    <row r="492" spans="74:90" ht="49.5" customHeight="1" x14ac:dyDescent="0.35">
      <c r="BV492" s="140"/>
      <c r="BY492" s="141"/>
      <c r="BZ492" s="141"/>
      <c r="CA492" s="141"/>
      <c r="CB492" s="141"/>
      <c r="CC492" s="141"/>
      <c r="CD492" s="141"/>
      <c r="CE492" s="141"/>
      <c r="CF492" s="141"/>
      <c r="CG492" s="141"/>
      <c r="CH492" s="141"/>
      <c r="CI492" s="141"/>
      <c r="CJ492" s="141"/>
      <c r="CK492" s="141"/>
      <c r="CL492" s="141"/>
    </row>
    <row r="493" spans="74:90" ht="49.5" customHeight="1" x14ac:dyDescent="0.35">
      <c r="BV493" s="140"/>
      <c r="BY493" s="141"/>
      <c r="BZ493" s="141"/>
      <c r="CA493" s="141"/>
      <c r="CB493" s="141"/>
      <c r="CC493" s="141"/>
      <c r="CD493" s="141"/>
      <c r="CE493" s="141"/>
      <c r="CF493" s="141"/>
      <c r="CG493" s="141"/>
      <c r="CH493" s="141"/>
      <c r="CI493" s="141"/>
      <c r="CJ493" s="141"/>
      <c r="CK493" s="141"/>
      <c r="CL493" s="141"/>
    </row>
    <row r="494" spans="74:90" ht="49.5" customHeight="1" x14ac:dyDescent="0.35">
      <c r="BV494" s="140"/>
      <c r="BY494" s="141"/>
      <c r="BZ494" s="141"/>
      <c r="CA494" s="141"/>
      <c r="CB494" s="141"/>
      <c r="CC494" s="141"/>
      <c r="CD494" s="141"/>
      <c r="CE494" s="141"/>
      <c r="CF494" s="141"/>
      <c r="CG494" s="141"/>
      <c r="CH494" s="141"/>
      <c r="CI494" s="141"/>
      <c r="CJ494" s="141"/>
      <c r="CK494" s="141"/>
      <c r="CL494" s="141"/>
    </row>
    <row r="495" spans="74:90" ht="49.5" customHeight="1" x14ac:dyDescent="0.35">
      <c r="BV495" s="140"/>
      <c r="BY495" s="141"/>
      <c r="BZ495" s="141"/>
      <c r="CA495" s="141"/>
      <c r="CB495" s="141"/>
      <c r="CC495" s="141"/>
      <c r="CD495" s="141"/>
      <c r="CE495" s="141"/>
      <c r="CF495" s="141"/>
      <c r="CG495" s="141"/>
      <c r="CH495" s="141"/>
      <c r="CI495" s="141"/>
      <c r="CJ495" s="141"/>
      <c r="CK495" s="141"/>
      <c r="CL495" s="141"/>
    </row>
    <row r="496" spans="74:90" ht="49.5" customHeight="1" x14ac:dyDescent="0.35">
      <c r="BV496" s="140"/>
      <c r="BY496" s="141"/>
      <c r="BZ496" s="141"/>
      <c r="CA496" s="141"/>
      <c r="CB496" s="141"/>
      <c r="CC496" s="141"/>
      <c r="CD496" s="141"/>
      <c r="CE496" s="141"/>
      <c r="CF496" s="141"/>
      <c r="CG496" s="141"/>
      <c r="CH496" s="141"/>
      <c r="CI496" s="141"/>
      <c r="CJ496" s="141"/>
      <c r="CK496" s="141"/>
      <c r="CL496" s="141"/>
    </row>
    <row r="497" spans="74:90" ht="49.5" customHeight="1" x14ac:dyDescent="0.35">
      <c r="BV497" s="140"/>
      <c r="BY497" s="141"/>
      <c r="BZ497" s="141"/>
      <c r="CA497" s="141"/>
      <c r="CB497" s="141"/>
      <c r="CC497" s="141"/>
      <c r="CD497" s="141"/>
      <c r="CE497" s="141"/>
      <c r="CF497" s="141"/>
      <c r="CG497" s="141"/>
      <c r="CH497" s="141"/>
      <c r="CI497" s="141"/>
      <c r="CJ497" s="141"/>
      <c r="CK497" s="141"/>
      <c r="CL497" s="141"/>
    </row>
    <row r="498" spans="74:90" ht="49.5" customHeight="1" x14ac:dyDescent="0.35">
      <c r="BV498" s="140"/>
      <c r="BY498" s="141"/>
      <c r="BZ498" s="141"/>
      <c r="CA498" s="141"/>
      <c r="CB498" s="141"/>
      <c r="CC498" s="141"/>
      <c r="CD498" s="141"/>
      <c r="CE498" s="141"/>
      <c r="CF498" s="141"/>
      <c r="CG498" s="141"/>
      <c r="CH498" s="141"/>
      <c r="CI498" s="141"/>
      <c r="CJ498" s="141"/>
      <c r="CK498" s="141"/>
      <c r="CL498" s="141"/>
    </row>
    <row r="499" spans="74:90" ht="49.5" customHeight="1" x14ac:dyDescent="0.35">
      <c r="BV499" s="140"/>
      <c r="BY499" s="141"/>
      <c r="BZ499" s="141"/>
      <c r="CA499" s="141"/>
      <c r="CB499" s="141"/>
      <c r="CC499" s="141"/>
      <c r="CD499" s="141"/>
      <c r="CE499" s="141"/>
      <c r="CF499" s="141"/>
      <c r="CG499" s="141"/>
      <c r="CH499" s="141"/>
      <c r="CI499" s="141"/>
      <c r="CJ499" s="141"/>
      <c r="CK499" s="141"/>
      <c r="CL499" s="141"/>
    </row>
    <row r="500" spans="74:90" ht="49.5" customHeight="1" x14ac:dyDescent="0.35">
      <c r="BV500" s="140"/>
      <c r="BY500" s="141"/>
      <c r="BZ500" s="141"/>
      <c r="CA500" s="141"/>
      <c r="CB500" s="141"/>
      <c r="CC500" s="141"/>
      <c r="CD500" s="141"/>
      <c r="CE500" s="141"/>
      <c r="CF500" s="141"/>
      <c r="CG500" s="141"/>
      <c r="CH500" s="141"/>
      <c r="CI500" s="141"/>
      <c r="CJ500" s="141"/>
      <c r="CK500" s="141"/>
      <c r="CL500" s="141"/>
    </row>
    <row r="501" spans="74:90" ht="49.5" customHeight="1" x14ac:dyDescent="0.35">
      <c r="BV501" s="140"/>
      <c r="BY501" s="141"/>
      <c r="BZ501" s="141"/>
      <c r="CA501" s="141"/>
      <c r="CB501" s="141"/>
      <c r="CC501" s="141"/>
      <c r="CD501" s="141"/>
      <c r="CE501" s="141"/>
      <c r="CF501" s="141"/>
      <c r="CG501" s="141"/>
      <c r="CH501" s="141"/>
      <c r="CI501" s="141"/>
      <c r="CJ501" s="141"/>
      <c r="CK501" s="141"/>
      <c r="CL501" s="141"/>
    </row>
    <row r="502" spans="74:90" ht="49.5" customHeight="1" x14ac:dyDescent="0.35">
      <c r="BV502" s="140"/>
      <c r="BY502" s="141"/>
      <c r="BZ502" s="141"/>
      <c r="CA502" s="141"/>
      <c r="CB502" s="141"/>
      <c r="CC502" s="141"/>
      <c r="CD502" s="141"/>
      <c r="CE502" s="141"/>
      <c r="CF502" s="141"/>
      <c r="CG502" s="141"/>
      <c r="CH502" s="141"/>
      <c r="CI502" s="141"/>
      <c r="CJ502" s="141"/>
      <c r="CK502" s="141"/>
      <c r="CL502" s="141"/>
    </row>
    <row r="503" spans="74:90" ht="49.5" customHeight="1" x14ac:dyDescent="0.35">
      <c r="BV503" s="140"/>
      <c r="BY503" s="141"/>
      <c r="BZ503" s="141"/>
      <c r="CA503" s="141"/>
      <c r="CB503" s="141"/>
      <c r="CC503" s="141"/>
      <c r="CD503" s="141"/>
      <c r="CE503" s="141"/>
      <c r="CF503" s="141"/>
      <c r="CG503" s="141"/>
      <c r="CH503" s="141"/>
      <c r="CI503" s="141"/>
      <c r="CJ503" s="141"/>
      <c r="CK503" s="141"/>
      <c r="CL503" s="141"/>
    </row>
    <row r="504" spans="74:90" ht="49.5" customHeight="1" x14ac:dyDescent="0.35">
      <c r="BV504" s="140"/>
      <c r="BY504" s="141"/>
      <c r="BZ504" s="141"/>
      <c r="CA504" s="141"/>
      <c r="CB504" s="141"/>
      <c r="CC504" s="141"/>
      <c r="CD504" s="141"/>
      <c r="CE504" s="141"/>
      <c r="CF504" s="141"/>
      <c r="CG504" s="141"/>
      <c r="CH504" s="141"/>
      <c r="CI504" s="141"/>
      <c r="CJ504" s="141"/>
      <c r="CK504" s="141"/>
      <c r="CL504" s="141"/>
    </row>
    <row r="505" spans="74:90" ht="49.5" customHeight="1" x14ac:dyDescent="0.35">
      <c r="BV505" s="140"/>
      <c r="BY505" s="141"/>
      <c r="BZ505" s="141"/>
      <c r="CA505" s="141"/>
      <c r="CB505" s="141"/>
      <c r="CC505" s="141"/>
      <c r="CD505" s="141"/>
      <c r="CE505" s="141"/>
      <c r="CF505" s="141"/>
      <c r="CG505" s="141"/>
      <c r="CH505" s="141"/>
      <c r="CI505" s="141"/>
      <c r="CJ505" s="141"/>
      <c r="CK505" s="141"/>
      <c r="CL505" s="141"/>
    </row>
    <row r="506" spans="74:90" ht="49.5" customHeight="1" x14ac:dyDescent="0.35">
      <c r="BV506" s="140"/>
      <c r="BY506" s="141"/>
      <c r="BZ506" s="141"/>
      <c r="CA506" s="141"/>
      <c r="CB506" s="141"/>
      <c r="CC506" s="141"/>
      <c r="CD506" s="141"/>
      <c r="CE506" s="141"/>
      <c r="CF506" s="141"/>
      <c r="CG506" s="141"/>
      <c r="CH506" s="141"/>
      <c r="CI506" s="141"/>
      <c r="CJ506" s="141"/>
      <c r="CK506" s="141"/>
      <c r="CL506" s="141"/>
    </row>
    <row r="507" spans="74:90" ht="49.5" customHeight="1" x14ac:dyDescent="0.35">
      <c r="BV507" s="140"/>
      <c r="BY507" s="141"/>
      <c r="BZ507" s="141"/>
      <c r="CA507" s="141"/>
      <c r="CB507" s="141"/>
      <c r="CC507" s="141"/>
      <c r="CD507" s="141"/>
      <c r="CE507" s="141"/>
      <c r="CF507" s="141"/>
      <c r="CG507" s="141"/>
      <c r="CH507" s="141"/>
      <c r="CI507" s="141"/>
      <c r="CJ507" s="141"/>
      <c r="CK507" s="141"/>
      <c r="CL507" s="141"/>
    </row>
    <row r="508" spans="74:90" ht="49.5" customHeight="1" x14ac:dyDescent="0.35">
      <c r="BV508" s="140"/>
      <c r="BY508" s="141"/>
      <c r="BZ508" s="141"/>
      <c r="CA508" s="141"/>
      <c r="CB508" s="141"/>
      <c r="CC508" s="141"/>
      <c r="CD508" s="141"/>
      <c r="CE508" s="141"/>
      <c r="CF508" s="141"/>
      <c r="CG508" s="141"/>
      <c r="CH508" s="141"/>
      <c r="CI508" s="141"/>
      <c r="CJ508" s="141"/>
      <c r="CK508" s="141"/>
      <c r="CL508" s="141"/>
    </row>
    <row r="509" spans="74:90" ht="49.5" customHeight="1" x14ac:dyDescent="0.35">
      <c r="BV509" s="140"/>
      <c r="BY509" s="141"/>
      <c r="BZ509" s="141"/>
      <c r="CA509" s="141"/>
      <c r="CB509" s="141"/>
      <c r="CC509" s="141"/>
      <c r="CD509" s="141"/>
      <c r="CE509" s="141"/>
      <c r="CF509" s="141"/>
      <c r="CG509" s="141"/>
      <c r="CH509" s="141"/>
      <c r="CI509" s="141"/>
      <c r="CJ509" s="141"/>
      <c r="CK509" s="141"/>
      <c r="CL509" s="141"/>
    </row>
    <row r="510" spans="74:90" ht="49.5" customHeight="1" x14ac:dyDescent="0.35">
      <c r="BV510" s="140"/>
      <c r="BY510" s="141"/>
      <c r="BZ510" s="141"/>
      <c r="CA510" s="141"/>
      <c r="CB510" s="141"/>
      <c r="CC510" s="141"/>
      <c r="CD510" s="141"/>
      <c r="CE510" s="141"/>
      <c r="CF510" s="141"/>
      <c r="CG510" s="141"/>
      <c r="CH510" s="141"/>
      <c r="CI510" s="141"/>
      <c r="CJ510" s="141"/>
      <c r="CK510" s="141"/>
      <c r="CL510" s="141"/>
    </row>
    <row r="511" spans="74:90" ht="49.5" customHeight="1" x14ac:dyDescent="0.35">
      <c r="BV511" s="140"/>
      <c r="BY511" s="141"/>
      <c r="BZ511" s="141"/>
      <c r="CA511" s="141"/>
      <c r="CB511" s="141"/>
      <c r="CC511" s="141"/>
      <c r="CD511" s="141"/>
      <c r="CE511" s="141"/>
      <c r="CF511" s="141"/>
      <c r="CG511" s="141"/>
      <c r="CH511" s="141"/>
      <c r="CI511" s="141"/>
      <c r="CJ511" s="141"/>
      <c r="CK511" s="141"/>
      <c r="CL511" s="141"/>
    </row>
    <row r="512" spans="74:90" ht="49.5" customHeight="1" x14ac:dyDescent="0.35">
      <c r="BV512" s="140"/>
      <c r="BY512" s="141"/>
      <c r="BZ512" s="141"/>
      <c r="CA512" s="141"/>
      <c r="CB512" s="141"/>
      <c r="CC512" s="141"/>
      <c r="CD512" s="141"/>
      <c r="CE512" s="141"/>
      <c r="CF512" s="141"/>
      <c r="CG512" s="141"/>
      <c r="CH512" s="141"/>
      <c r="CI512" s="141"/>
      <c r="CJ512" s="141"/>
      <c r="CK512" s="141"/>
      <c r="CL512" s="141"/>
    </row>
    <row r="513" spans="74:90" ht="49.5" customHeight="1" x14ac:dyDescent="0.35">
      <c r="BV513" s="140"/>
      <c r="BY513" s="141"/>
      <c r="BZ513" s="141"/>
      <c r="CA513" s="141"/>
      <c r="CB513" s="141"/>
      <c r="CC513" s="141"/>
      <c r="CD513" s="141"/>
      <c r="CE513" s="141"/>
      <c r="CF513" s="141"/>
      <c r="CG513" s="141"/>
      <c r="CH513" s="141"/>
      <c r="CI513" s="141"/>
      <c r="CJ513" s="141"/>
      <c r="CK513" s="141"/>
      <c r="CL513" s="141"/>
    </row>
    <row r="514" spans="74:90" ht="49.5" customHeight="1" x14ac:dyDescent="0.35">
      <c r="BV514" s="140"/>
      <c r="BY514" s="141"/>
      <c r="BZ514" s="141"/>
      <c r="CA514" s="141"/>
      <c r="CB514" s="141"/>
      <c r="CC514" s="141"/>
      <c r="CD514" s="141"/>
      <c r="CE514" s="141"/>
      <c r="CF514" s="141"/>
      <c r="CG514" s="141"/>
      <c r="CH514" s="141"/>
      <c r="CI514" s="141"/>
      <c r="CJ514" s="141"/>
      <c r="CK514" s="141"/>
      <c r="CL514" s="141"/>
    </row>
    <row r="515" spans="74:90" ht="49.5" customHeight="1" x14ac:dyDescent="0.35">
      <c r="BV515" s="140"/>
      <c r="BY515" s="141"/>
      <c r="BZ515" s="141"/>
      <c r="CA515" s="141"/>
      <c r="CB515" s="141"/>
      <c r="CC515" s="141"/>
      <c r="CD515" s="141"/>
      <c r="CE515" s="141"/>
      <c r="CF515" s="141"/>
      <c r="CG515" s="141"/>
      <c r="CH515" s="141"/>
      <c r="CI515" s="141"/>
      <c r="CJ515" s="141"/>
      <c r="CK515" s="141"/>
      <c r="CL515" s="141"/>
    </row>
    <row r="516" spans="74:90" ht="49.5" customHeight="1" x14ac:dyDescent="0.35">
      <c r="BV516" s="140"/>
      <c r="BY516" s="141"/>
      <c r="BZ516" s="141"/>
      <c r="CA516" s="141"/>
      <c r="CB516" s="141"/>
      <c r="CC516" s="141"/>
      <c r="CD516" s="141"/>
      <c r="CE516" s="141"/>
      <c r="CF516" s="141"/>
      <c r="CG516" s="141"/>
      <c r="CH516" s="141"/>
      <c r="CI516" s="141"/>
      <c r="CJ516" s="141"/>
      <c r="CK516" s="141"/>
      <c r="CL516" s="141"/>
    </row>
    <row r="517" spans="74:90" ht="49.5" customHeight="1" x14ac:dyDescent="0.35">
      <c r="BV517" s="140"/>
      <c r="BY517" s="141"/>
      <c r="BZ517" s="141"/>
      <c r="CA517" s="141"/>
      <c r="CB517" s="141"/>
      <c r="CC517" s="141"/>
      <c r="CD517" s="141"/>
      <c r="CE517" s="141"/>
      <c r="CF517" s="141"/>
      <c r="CG517" s="141"/>
      <c r="CH517" s="141"/>
      <c r="CI517" s="141"/>
      <c r="CJ517" s="141"/>
      <c r="CK517" s="141"/>
      <c r="CL517" s="141"/>
    </row>
    <row r="518" spans="74:90" ht="49.5" customHeight="1" x14ac:dyDescent="0.35">
      <c r="BV518" s="140"/>
      <c r="BY518" s="141"/>
      <c r="BZ518" s="141"/>
      <c r="CA518" s="141"/>
      <c r="CB518" s="141"/>
      <c r="CC518" s="141"/>
      <c r="CD518" s="141"/>
      <c r="CE518" s="141"/>
      <c r="CF518" s="141"/>
      <c r="CG518" s="141"/>
      <c r="CH518" s="141"/>
      <c r="CI518" s="141"/>
      <c r="CJ518" s="141"/>
      <c r="CK518" s="141"/>
      <c r="CL518" s="141"/>
    </row>
    <row r="519" spans="74:90" ht="49.5" customHeight="1" x14ac:dyDescent="0.35">
      <c r="BV519" s="140"/>
      <c r="BY519" s="141"/>
      <c r="BZ519" s="141"/>
      <c r="CA519" s="141"/>
      <c r="CB519" s="141"/>
      <c r="CC519" s="141"/>
      <c r="CD519" s="141"/>
      <c r="CE519" s="141"/>
      <c r="CF519" s="141"/>
      <c r="CG519" s="141"/>
      <c r="CH519" s="141"/>
      <c r="CI519" s="141"/>
      <c r="CJ519" s="141"/>
      <c r="CK519" s="141"/>
      <c r="CL519" s="141"/>
    </row>
    <row r="520" spans="74:90" ht="49.5" customHeight="1" x14ac:dyDescent="0.35">
      <c r="BV520" s="140"/>
      <c r="BY520" s="141"/>
      <c r="BZ520" s="141"/>
      <c r="CA520" s="141"/>
      <c r="CB520" s="141"/>
      <c r="CC520" s="141"/>
      <c r="CD520" s="141"/>
      <c r="CE520" s="141"/>
      <c r="CF520" s="141"/>
      <c r="CG520" s="141"/>
      <c r="CH520" s="141"/>
      <c r="CI520" s="141"/>
      <c r="CJ520" s="141"/>
      <c r="CK520" s="141"/>
      <c r="CL520" s="141"/>
    </row>
    <row r="521" spans="74:90" ht="49.5" customHeight="1" x14ac:dyDescent="0.35">
      <c r="BV521" s="140"/>
      <c r="BY521" s="141"/>
      <c r="BZ521" s="141"/>
      <c r="CA521" s="141"/>
      <c r="CB521" s="141"/>
      <c r="CC521" s="141"/>
      <c r="CD521" s="141"/>
      <c r="CE521" s="141"/>
      <c r="CF521" s="141"/>
      <c r="CG521" s="141"/>
      <c r="CH521" s="141"/>
      <c r="CI521" s="141"/>
      <c r="CJ521" s="141"/>
      <c r="CK521" s="141"/>
      <c r="CL521" s="141"/>
    </row>
    <row r="522" spans="74:90" ht="49.5" customHeight="1" x14ac:dyDescent="0.35">
      <c r="BV522" s="140"/>
      <c r="BY522" s="141"/>
      <c r="BZ522" s="141"/>
      <c r="CA522" s="141"/>
      <c r="CB522" s="141"/>
      <c r="CC522" s="141"/>
      <c r="CD522" s="141"/>
      <c r="CE522" s="141"/>
      <c r="CF522" s="141"/>
      <c r="CG522" s="141"/>
      <c r="CH522" s="141"/>
      <c r="CI522" s="141"/>
      <c r="CJ522" s="141"/>
      <c r="CK522" s="141"/>
      <c r="CL522" s="141"/>
    </row>
    <row r="523" spans="74:90" ht="49.5" customHeight="1" x14ac:dyDescent="0.35">
      <c r="BV523" s="140"/>
      <c r="BY523" s="141"/>
      <c r="BZ523" s="141"/>
      <c r="CA523" s="141"/>
      <c r="CB523" s="141"/>
      <c r="CC523" s="141"/>
      <c r="CD523" s="141"/>
      <c r="CE523" s="141"/>
      <c r="CF523" s="141"/>
      <c r="CG523" s="141"/>
      <c r="CH523" s="141"/>
      <c r="CI523" s="141"/>
      <c r="CJ523" s="141"/>
      <c r="CK523" s="141"/>
      <c r="CL523" s="141"/>
    </row>
    <row r="524" spans="74:90" ht="49.5" customHeight="1" x14ac:dyDescent="0.35">
      <c r="BV524" s="140"/>
      <c r="BY524" s="141"/>
      <c r="BZ524" s="141"/>
      <c r="CA524" s="141"/>
      <c r="CB524" s="141"/>
      <c r="CC524" s="141"/>
      <c r="CD524" s="141"/>
      <c r="CE524" s="141"/>
      <c r="CF524" s="141"/>
      <c r="CG524" s="141"/>
      <c r="CH524" s="141"/>
      <c r="CI524" s="141"/>
      <c r="CJ524" s="141"/>
      <c r="CK524" s="141"/>
      <c r="CL524" s="141"/>
    </row>
    <row r="525" spans="74:90" ht="49.5" customHeight="1" x14ac:dyDescent="0.35">
      <c r="BV525" s="140"/>
      <c r="BY525" s="141"/>
      <c r="BZ525" s="141"/>
      <c r="CA525" s="141"/>
      <c r="CB525" s="141"/>
      <c r="CC525" s="141"/>
      <c r="CD525" s="141"/>
      <c r="CE525" s="141"/>
      <c r="CF525" s="141"/>
      <c r="CG525" s="141"/>
      <c r="CH525" s="141"/>
      <c r="CI525" s="141"/>
      <c r="CJ525" s="141"/>
      <c r="CK525" s="141"/>
      <c r="CL525" s="141"/>
    </row>
    <row r="526" spans="74:90" ht="49.5" customHeight="1" x14ac:dyDescent="0.35">
      <c r="BV526" s="140"/>
      <c r="BY526" s="141"/>
      <c r="BZ526" s="141"/>
      <c r="CA526" s="141"/>
      <c r="CB526" s="141"/>
      <c r="CC526" s="141"/>
      <c r="CD526" s="141"/>
      <c r="CE526" s="141"/>
      <c r="CF526" s="141"/>
      <c r="CG526" s="141"/>
      <c r="CH526" s="141"/>
      <c r="CI526" s="141"/>
      <c r="CJ526" s="141"/>
      <c r="CK526" s="141"/>
      <c r="CL526" s="141"/>
    </row>
    <row r="527" spans="74:90" ht="49.5" customHeight="1" x14ac:dyDescent="0.35">
      <c r="BV527" s="140"/>
      <c r="BY527" s="141"/>
      <c r="BZ527" s="141"/>
      <c r="CA527" s="141"/>
      <c r="CB527" s="141"/>
      <c r="CC527" s="141"/>
      <c r="CD527" s="141"/>
      <c r="CE527" s="141"/>
      <c r="CF527" s="141"/>
      <c r="CG527" s="141"/>
      <c r="CH527" s="141"/>
      <c r="CI527" s="141"/>
      <c r="CJ527" s="141"/>
      <c r="CK527" s="141"/>
      <c r="CL527" s="141"/>
    </row>
    <row r="528" spans="74:90" ht="49.5" customHeight="1" x14ac:dyDescent="0.35">
      <c r="BV528" s="140"/>
      <c r="BY528" s="141"/>
      <c r="BZ528" s="141"/>
      <c r="CA528" s="141"/>
      <c r="CB528" s="141"/>
      <c r="CC528" s="141"/>
      <c r="CD528" s="141"/>
      <c r="CE528" s="141"/>
      <c r="CF528" s="141"/>
      <c r="CG528" s="141"/>
      <c r="CH528" s="141"/>
      <c r="CI528" s="141"/>
      <c r="CJ528" s="141"/>
      <c r="CK528" s="141"/>
      <c r="CL528" s="141"/>
    </row>
    <row r="529" spans="74:90" ht="49.5" customHeight="1" x14ac:dyDescent="0.35">
      <c r="BV529" s="140"/>
      <c r="BY529" s="141"/>
      <c r="BZ529" s="141"/>
      <c r="CA529" s="141"/>
      <c r="CB529" s="141"/>
      <c r="CC529" s="141"/>
      <c r="CD529" s="141"/>
      <c r="CE529" s="141"/>
      <c r="CF529" s="141"/>
      <c r="CG529" s="141"/>
      <c r="CH529" s="141"/>
      <c r="CI529" s="141"/>
      <c r="CJ529" s="141"/>
      <c r="CK529" s="141"/>
      <c r="CL529" s="141"/>
    </row>
    <row r="530" spans="74:90" ht="49.5" customHeight="1" x14ac:dyDescent="0.35">
      <c r="BV530" s="140"/>
      <c r="BY530" s="141"/>
      <c r="BZ530" s="141"/>
      <c r="CA530" s="141"/>
      <c r="CB530" s="141"/>
      <c r="CC530" s="141"/>
      <c r="CD530" s="141"/>
      <c r="CE530" s="141"/>
      <c r="CF530" s="141"/>
      <c r="CG530" s="141"/>
      <c r="CH530" s="141"/>
      <c r="CI530" s="141"/>
      <c r="CJ530" s="141"/>
      <c r="CK530" s="141"/>
      <c r="CL530" s="141"/>
    </row>
    <row r="531" spans="74:90" ht="49.5" customHeight="1" x14ac:dyDescent="0.35">
      <c r="BV531" s="140"/>
      <c r="BY531" s="141"/>
      <c r="BZ531" s="141"/>
      <c r="CA531" s="141"/>
      <c r="CB531" s="141"/>
      <c r="CC531" s="141"/>
      <c r="CD531" s="141"/>
      <c r="CE531" s="141"/>
      <c r="CF531" s="141"/>
      <c r="CG531" s="141"/>
      <c r="CH531" s="141"/>
      <c r="CI531" s="141"/>
      <c r="CJ531" s="141"/>
      <c r="CK531" s="141"/>
      <c r="CL531" s="141"/>
    </row>
    <row r="532" spans="74:90" ht="49.5" customHeight="1" x14ac:dyDescent="0.35">
      <c r="BV532" s="140"/>
      <c r="BY532" s="141"/>
      <c r="BZ532" s="141"/>
      <c r="CA532" s="141"/>
      <c r="CB532" s="141"/>
      <c r="CC532" s="141"/>
      <c r="CD532" s="141"/>
      <c r="CE532" s="141"/>
      <c r="CF532" s="141"/>
      <c r="CG532" s="141"/>
      <c r="CH532" s="141"/>
      <c r="CI532" s="141"/>
      <c r="CJ532" s="141"/>
      <c r="CK532" s="141"/>
      <c r="CL532" s="141"/>
    </row>
    <row r="533" spans="74:90" ht="49.5" customHeight="1" x14ac:dyDescent="0.35">
      <c r="BV533" s="140"/>
      <c r="BY533" s="141"/>
      <c r="BZ533" s="141"/>
      <c r="CA533" s="141"/>
      <c r="CB533" s="141"/>
      <c r="CC533" s="141"/>
      <c r="CD533" s="141"/>
      <c r="CE533" s="141"/>
      <c r="CF533" s="141"/>
      <c r="CG533" s="141"/>
      <c r="CH533" s="141"/>
      <c r="CI533" s="141"/>
      <c r="CJ533" s="141"/>
      <c r="CK533" s="141"/>
      <c r="CL533" s="141"/>
    </row>
    <row r="534" spans="74:90" ht="49.5" customHeight="1" x14ac:dyDescent="0.35">
      <c r="BV534" s="140"/>
      <c r="BY534" s="141"/>
      <c r="BZ534" s="141"/>
      <c r="CA534" s="141"/>
      <c r="CB534" s="141"/>
      <c r="CC534" s="141"/>
      <c r="CD534" s="141"/>
      <c r="CE534" s="141"/>
      <c r="CF534" s="141"/>
      <c r="CG534" s="141"/>
      <c r="CH534" s="141"/>
      <c r="CI534" s="141"/>
      <c r="CJ534" s="141"/>
      <c r="CK534" s="141"/>
      <c r="CL534" s="141"/>
    </row>
    <row r="535" spans="74:90" ht="49.5" customHeight="1" x14ac:dyDescent="0.35">
      <c r="BV535" s="140"/>
      <c r="BY535" s="141"/>
      <c r="BZ535" s="141"/>
      <c r="CA535" s="141"/>
      <c r="CB535" s="141"/>
      <c r="CC535" s="141"/>
      <c r="CD535" s="141"/>
      <c r="CE535" s="141"/>
      <c r="CF535" s="141"/>
      <c r="CG535" s="141"/>
      <c r="CH535" s="141"/>
      <c r="CI535" s="141"/>
      <c r="CJ535" s="141"/>
      <c r="CK535" s="141"/>
      <c r="CL535" s="141"/>
    </row>
    <row r="536" spans="74:90" ht="49.5" customHeight="1" x14ac:dyDescent="0.35">
      <c r="BV536" s="140"/>
      <c r="BY536" s="141"/>
      <c r="BZ536" s="141"/>
      <c r="CA536" s="141"/>
      <c r="CB536" s="141"/>
      <c r="CC536" s="141"/>
      <c r="CD536" s="141"/>
      <c r="CE536" s="141"/>
      <c r="CF536" s="141"/>
      <c r="CG536" s="141"/>
      <c r="CH536" s="141"/>
      <c r="CI536" s="141"/>
      <c r="CJ536" s="141"/>
      <c r="CK536" s="141"/>
      <c r="CL536" s="141"/>
    </row>
    <row r="537" spans="74:90" ht="49.5" customHeight="1" x14ac:dyDescent="0.35">
      <c r="BV537" s="140"/>
      <c r="BY537" s="141"/>
      <c r="BZ537" s="141"/>
      <c r="CA537" s="141"/>
      <c r="CB537" s="141"/>
      <c r="CC537" s="141"/>
      <c r="CD537" s="141"/>
      <c r="CE537" s="141"/>
      <c r="CF537" s="141"/>
      <c r="CG537" s="141"/>
      <c r="CH537" s="141"/>
      <c r="CI537" s="141"/>
      <c r="CJ537" s="141"/>
      <c r="CK537" s="141"/>
      <c r="CL537" s="141"/>
    </row>
    <row r="538" spans="74:90" ht="49.5" customHeight="1" x14ac:dyDescent="0.35">
      <c r="BV538" s="140"/>
      <c r="BY538" s="141"/>
      <c r="BZ538" s="141"/>
      <c r="CA538" s="141"/>
      <c r="CB538" s="141"/>
      <c r="CC538" s="141"/>
      <c r="CD538" s="141"/>
      <c r="CE538" s="141"/>
      <c r="CF538" s="141"/>
      <c r="CG538" s="141"/>
      <c r="CH538" s="141"/>
      <c r="CI538" s="141"/>
      <c r="CJ538" s="141"/>
      <c r="CK538" s="141"/>
      <c r="CL538" s="141"/>
    </row>
    <row r="539" spans="74:90" ht="49.5" customHeight="1" x14ac:dyDescent="0.35">
      <c r="BV539" s="140"/>
      <c r="BY539" s="141"/>
      <c r="BZ539" s="141"/>
      <c r="CA539" s="141"/>
      <c r="CB539" s="141"/>
      <c r="CC539" s="141"/>
      <c r="CD539" s="141"/>
      <c r="CE539" s="141"/>
      <c r="CF539" s="141"/>
      <c r="CG539" s="141"/>
      <c r="CH539" s="141"/>
      <c r="CI539" s="141"/>
      <c r="CJ539" s="141"/>
      <c r="CK539" s="141"/>
      <c r="CL539" s="141"/>
    </row>
    <row r="540" spans="74:90" ht="49.5" customHeight="1" x14ac:dyDescent="0.35">
      <c r="BV540" s="140"/>
      <c r="BY540" s="141"/>
      <c r="BZ540" s="141"/>
      <c r="CA540" s="141"/>
      <c r="CB540" s="141"/>
      <c r="CC540" s="141"/>
      <c r="CD540" s="141"/>
      <c r="CE540" s="141"/>
      <c r="CF540" s="141"/>
      <c r="CG540" s="141"/>
      <c r="CH540" s="141"/>
      <c r="CI540" s="141"/>
      <c r="CJ540" s="141"/>
      <c r="CK540" s="141"/>
      <c r="CL540" s="141"/>
    </row>
    <row r="541" spans="74:90" ht="49.5" customHeight="1" x14ac:dyDescent="0.35">
      <c r="BV541" s="140"/>
      <c r="BY541" s="141"/>
      <c r="BZ541" s="141"/>
      <c r="CA541" s="141"/>
      <c r="CB541" s="141"/>
      <c r="CC541" s="141"/>
      <c r="CD541" s="141"/>
      <c r="CE541" s="141"/>
      <c r="CF541" s="141"/>
      <c r="CG541" s="141"/>
      <c r="CH541" s="141"/>
      <c r="CI541" s="141"/>
      <c r="CJ541" s="141"/>
      <c r="CK541" s="141"/>
      <c r="CL541" s="141"/>
    </row>
    <row r="542" spans="74:90" ht="49.5" customHeight="1" x14ac:dyDescent="0.35">
      <c r="BV542" s="140"/>
      <c r="BY542" s="141"/>
      <c r="BZ542" s="141"/>
      <c r="CA542" s="141"/>
      <c r="CB542" s="141"/>
      <c r="CC542" s="141"/>
      <c r="CD542" s="141"/>
      <c r="CE542" s="141"/>
      <c r="CF542" s="141"/>
      <c r="CG542" s="141"/>
      <c r="CH542" s="141"/>
      <c r="CI542" s="141"/>
      <c r="CJ542" s="141"/>
      <c r="CK542" s="141"/>
      <c r="CL542" s="141"/>
    </row>
    <row r="543" spans="74:90" ht="49.5" customHeight="1" x14ac:dyDescent="0.35">
      <c r="BV543" s="140"/>
      <c r="BY543" s="141"/>
      <c r="BZ543" s="141"/>
      <c r="CA543" s="141"/>
      <c r="CB543" s="141"/>
      <c r="CC543" s="141"/>
      <c r="CD543" s="141"/>
      <c r="CE543" s="141"/>
      <c r="CF543" s="141"/>
      <c r="CG543" s="141"/>
      <c r="CH543" s="141"/>
      <c r="CI543" s="141"/>
      <c r="CJ543" s="141"/>
      <c r="CK543" s="141"/>
      <c r="CL543" s="141"/>
    </row>
    <row r="544" spans="74:90" ht="49.5" customHeight="1" x14ac:dyDescent="0.35">
      <c r="BV544" s="140"/>
      <c r="BY544" s="141"/>
      <c r="BZ544" s="141"/>
      <c r="CA544" s="141"/>
      <c r="CB544" s="141"/>
      <c r="CC544" s="141"/>
      <c r="CD544" s="141"/>
      <c r="CE544" s="141"/>
      <c r="CF544" s="141"/>
      <c r="CG544" s="141"/>
      <c r="CH544" s="141"/>
      <c r="CI544" s="141"/>
      <c r="CJ544" s="141"/>
      <c r="CK544" s="141"/>
      <c r="CL544" s="141"/>
    </row>
    <row r="545" spans="74:90" ht="49.5" customHeight="1" x14ac:dyDescent="0.35">
      <c r="BV545" s="140"/>
      <c r="BY545" s="141"/>
      <c r="BZ545" s="141"/>
      <c r="CA545" s="141"/>
      <c r="CB545" s="141"/>
      <c r="CC545" s="141"/>
      <c r="CD545" s="141"/>
      <c r="CE545" s="141"/>
      <c r="CF545" s="141"/>
      <c r="CG545" s="141"/>
      <c r="CH545" s="141"/>
      <c r="CI545" s="141"/>
      <c r="CJ545" s="141"/>
      <c r="CK545" s="141"/>
      <c r="CL545" s="141"/>
    </row>
    <row r="546" spans="74:90" ht="49.5" customHeight="1" x14ac:dyDescent="0.35">
      <c r="BV546" s="140"/>
      <c r="BY546" s="141"/>
      <c r="BZ546" s="141"/>
      <c r="CA546" s="141"/>
      <c r="CB546" s="141"/>
      <c r="CC546" s="141"/>
      <c r="CD546" s="141"/>
      <c r="CE546" s="141"/>
      <c r="CF546" s="141"/>
      <c r="CG546" s="141"/>
      <c r="CH546" s="141"/>
      <c r="CI546" s="141"/>
      <c r="CJ546" s="141"/>
      <c r="CK546" s="141"/>
      <c r="CL546" s="141"/>
    </row>
    <row r="547" spans="74:90" ht="49.5" customHeight="1" x14ac:dyDescent="0.35">
      <c r="BV547" s="140"/>
      <c r="BY547" s="141"/>
      <c r="BZ547" s="141"/>
      <c r="CA547" s="141"/>
      <c r="CB547" s="141"/>
      <c r="CC547" s="141"/>
      <c r="CD547" s="141"/>
      <c r="CE547" s="141"/>
      <c r="CF547" s="141"/>
      <c r="CG547" s="141"/>
      <c r="CH547" s="141"/>
      <c r="CI547" s="141"/>
      <c r="CJ547" s="141"/>
      <c r="CK547" s="141"/>
      <c r="CL547" s="141"/>
    </row>
    <row r="548" spans="74:90" ht="49.5" customHeight="1" x14ac:dyDescent="0.35">
      <c r="BV548" s="140"/>
      <c r="BY548" s="141"/>
      <c r="BZ548" s="141"/>
      <c r="CA548" s="141"/>
      <c r="CB548" s="141"/>
      <c r="CC548" s="141"/>
      <c r="CD548" s="141"/>
      <c r="CE548" s="141"/>
      <c r="CF548" s="141"/>
      <c r="CG548" s="141"/>
      <c r="CH548" s="141"/>
      <c r="CI548" s="141"/>
      <c r="CJ548" s="141"/>
      <c r="CK548" s="141"/>
      <c r="CL548" s="141"/>
    </row>
    <row r="549" spans="74:90" ht="49.5" customHeight="1" x14ac:dyDescent="0.35">
      <c r="BV549" s="140"/>
      <c r="BY549" s="141"/>
      <c r="BZ549" s="141"/>
      <c r="CA549" s="141"/>
      <c r="CB549" s="141"/>
      <c r="CC549" s="141"/>
      <c r="CD549" s="141"/>
      <c r="CE549" s="141"/>
      <c r="CF549" s="141"/>
      <c r="CG549" s="141"/>
      <c r="CH549" s="141"/>
      <c r="CI549" s="141"/>
      <c r="CJ549" s="141"/>
      <c r="CK549" s="141"/>
      <c r="CL549" s="141"/>
    </row>
    <row r="550" spans="74:90" ht="49.5" customHeight="1" x14ac:dyDescent="0.35">
      <c r="BV550" s="140"/>
      <c r="BY550" s="141"/>
      <c r="BZ550" s="141"/>
      <c r="CA550" s="141"/>
      <c r="CB550" s="141"/>
      <c r="CC550" s="141"/>
      <c r="CD550" s="141"/>
      <c r="CE550" s="141"/>
      <c r="CF550" s="141"/>
      <c r="CG550" s="141"/>
      <c r="CH550" s="141"/>
      <c r="CI550" s="141"/>
      <c r="CJ550" s="141"/>
      <c r="CK550" s="141"/>
      <c r="CL550" s="141"/>
    </row>
    <row r="551" spans="74:90" ht="49.5" customHeight="1" x14ac:dyDescent="0.35">
      <c r="BV551" s="140"/>
      <c r="BY551" s="141"/>
      <c r="BZ551" s="141"/>
      <c r="CA551" s="141"/>
      <c r="CB551" s="141"/>
      <c r="CC551" s="141"/>
      <c r="CD551" s="141"/>
      <c r="CE551" s="141"/>
      <c r="CF551" s="141"/>
      <c r="CG551" s="141"/>
      <c r="CH551" s="141"/>
      <c r="CI551" s="141"/>
      <c r="CJ551" s="141"/>
      <c r="CK551" s="141"/>
      <c r="CL551" s="141"/>
    </row>
    <row r="552" spans="74:90" ht="49.5" customHeight="1" x14ac:dyDescent="0.35">
      <c r="BV552" s="140"/>
      <c r="BY552" s="141"/>
      <c r="BZ552" s="141"/>
      <c r="CA552" s="141"/>
      <c r="CB552" s="141"/>
      <c r="CC552" s="141"/>
      <c r="CD552" s="141"/>
      <c r="CE552" s="141"/>
      <c r="CF552" s="141"/>
      <c r="CG552" s="141"/>
      <c r="CH552" s="141"/>
      <c r="CI552" s="141"/>
      <c r="CJ552" s="141"/>
      <c r="CK552" s="141"/>
      <c r="CL552" s="141"/>
    </row>
    <row r="553" spans="74:90" ht="49.5" customHeight="1" x14ac:dyDescent="0.35">
      <c r="BV553" s="140"/>
      <c r="BY553" s="141"/>
      <c r="BZ553" s="141"/>
      <c r="CA553" s="141"/>
      <c r="CB553" s="141"/>
      <c r="CC553" s="141"/>
      <c r="CD553" s="141"/>
      <c r="CE553" s="141"/>
      <c r="CF553" s="141"/>
      <c r="CG553" s="141"/>
      <c r="CH553" s="141"/>
      <c r="CI553" s="141"/>
      <c r="CJ553" s="141"/>
      <c r="CK553" s="141"/>
      <c r="CL553" s="141"/>
    </row>
    <row r="554" spans="74:90" ht="49.5" customHeight="1" x14ac:dyDescent="0.35">
      <c r="BV554" s="140"/>
      <c r="BY554" s="141"/>
      <c r="BZ554" s="141"/>
      <c r="CA554" s="141"/>
      <c r="CB554" s="141"/>
      <c r="CC554" s="141"/>
      <c r="CD554" s="141"/>
      <c r="CE554" s="141"/>
      <c r="CF554" s="141"/>
      <c r="CG554" s="141"/>
      <c r="CH554" s="141"/>
      <c r="CI554" s="141"/>
      <c r="CJ554" s="141"/>
      <c r="CK554" s="141"/>
      <c r="CL554" s="141"/>
    </row>
    <row r="555" spans="74:90" ht="49.5" customHeight="1" x14ac:dyDescent="0.35">
      <c r="BV555" s="140"/>
      <c r="BY555" s="141"/>
      <c r="BZ555" s="141"/>
      <c r="CA555" s="141"/>
      <c r="CB555" s="141"/>
      <c r="CC555" s="141"/>
      <c r="CD555" s="141"/>
      <c r="CE555" s="141"/>
      <c r="CF555" s="141"/>
      <c r="CG555" s="141"/>
      <c r="CH555" s="141"/>
      <c r="CI555" s="141"/>
      <c r="CJ555" s="141"/>
      <c r="CK555" s="141"/>
      <c r="CL555" s="141"/>
    </row>
    <row r="556" spans="74:90" ht="49.5" customHeight="1" x14ac:dyDescent="0.35">
      <c r="BV556" s="140"/>
      <c r="BY556" s="141"/>
      <c r="BZ556" s="141"/>
      <c r="CA556" s="141"/>
      <c r="CB556" s="141"/>
      <c r="CC556" s="141"/>
      <c r="CD556" s="141"/>
      <c r="CE556" s="141"/>
      <c r="CF556" s="141"/>
      <c r="CG556" s="141"/>
      <c r="CH556" s="141"/>
      <c r="CI556" s="141"/>
      <c r="CJ556" s="141"/>
      <c r="CK556" s="141"/>
      <c r="CL556" s="141"/>
    </row>
    <row r="557" spans="74:90" ht="49.5" customHeight="1" x14ac:dyDescent="0.35">
      <c r="BV557" s="140"/>
      <c r="BY557" s="141"/>
      <c r="BZ557" s="141"/>
      <c r="CA557" s="141"/>
      <c r="CB557" s="141"/>
      <c r="CC557" s="141"/>
      <c r="CD557" s="141"/>
      <c r="CE557" s="141"/>
      <c r="CF557" s="141"/>
      <c r="CG557" s="141"/>
      <c r="CH557" s="141"/>
      <c r="CI557" s="141"/>
      <c r="CJ557" s="141"/>
      <c r="CK557" s="141"/>
      <c r="CL557" s="141"/>
    </row>
    <row r="558" spans="74:90" ht="49.5" customHeight="1" x14ac:dyDescent="0.35">
      <c r="BV558" s="140"/>
      <c r="BY558" s="141"/>
      <c r="BZ558" s="141"/>
      <c r="CA558" s="141"/>
      <c r="CB558" s="141"/>
      <c r="CC558" s="141"/>
      <c r="CD558" s="141"/>
      <c r="CE558" s="141"/>
      <c r="CF558" s="141"/>
      <c r="CG558" s="141"/>
      <c r="CH558" s="141"/>
      <c r="CI558" s="141"/>
      <c r="CJ558" s="141"/>
      <c r="CK558" s="141"/>
      <c r="CL558" s="141"/>
    </row>
    <row r="559" spans="74:90" ht="49.5" customHeight="1" x14ac:dyDescent="0.35">
      <c r="BV559" s="140"/>
      <c r="BY559" s="141"/>
      <c r="BZ559" s="141"/>
      <c r="CA559" s="141"/>
      <c r="CB559" s="141"/>
      <c r="CC559" s="141"/>
      <c r="CD559" s="141"/>
      <c r="CE559" s="141"/>
      <c r="CF559" s="141"/>
      <c r="CG559" s="141"/>
      <c r="CH559" s="141"/>
      <c r="CI559" s="141"/>
      <c r="CJ559" s="141"/>
      <c r="CK559" s="141"/>
      <c r="CL559" s="141"/>
    </row>
    <row r="560" spans="74:90" ht="49.5" customHeight="1" x14ac:dyDescent="0.35">
      <c r="BV560" s="140"/>
      <c r="BY560" s="141"/>
      <c r="BZ560" s="141"/>
      <c r="CA560" s="141"/>
      <c r="CB560" s="141"/>
      <c r="CC560" s="141"/>
      <c r="CD560" s="141"/>
      <c r="CE560" s="141"/>
      <c r="CF560" s="141"/>
      <c r="CG560" s="141"/>
      <c r="CH560" s="141"/>
      <c r="CI560" s="141"/>
      <c r="CJ560" s="141"/>
      <c r="CK560" s="141"/>
      <c r="CL560" s="141"/>
    </row>
    <row r="561" spans="74:90" ht="49.5" customHeight="1" x14ac:dyDescent="0.35">
      <c r="BV561" s="140"/>
      <c r="BY561" s="141"/>
      <c r="BZ561" s="141"/>
      <c r="CA561" s="141"/>
      <c r="CB561" s="141"/>
      <c r="CC561" s="141"/>
      <c r="CD561" s="141"/>
      <c r="CE561" s="141"/>
      <c r="CF561" s="141"/>
      <c r="CG561" s="141"/>
      <c r="CH561" s="141"/>
      <c r="CI561" s="141"/>
      <c r="CJ561" s="141"/>
      <c r="CK561" s="141"/>
      <c r="CL561" s="141"/>
    </row>
    <row r="562" spans="74:90" ht="49.5" customHeight="1" x14ac:dyDescent="0.35">
      <c r="BV562" s="140"/>
      <c r="BY562" s="141"/>
      <c r="BZ562" s="141"/>
      <c r="CA562" s="141"/>
      <c r="CB562" s="141"/>
      <c r="CC562" s="141"/>
      <c r="CD562" s="141"/>
      <c r="CE562" s="141"/>
      <c r="CF562" s="141"/>
      <c r="CG562" s="141"/>
      <c r="CH562" s="141"/>
      <c r="CI562" s="141"/>
      <c r="CJ562" s="141"/>
      <c r="CK562" s="141"/>
      <c r="CL562" s="141"/>
    </row>
    <row r="563" spans="74:90" ht="49.5" customHeight="1" x14ac:dyDescent="0.35">
      <c r="BV563" s="140"/>
      <c r="BY563" s="141"/>
      <c r="BZ563" s="141"/>
      <c r="CA563" s="141"/>
      <c r="CB563" s="141"/>
      <c r="CC563" s="141"/>
      <c r="CD563" s="141"/>
      <c r="CE563" s="141"/>
      <c r="CF563" s="141"/>
      <c r="CG563" s="141"/>
      <c r="CH563" s="141"/>
      <c r="CI563" s="141"/>
      <c r="CJ563" s="141"/>
      <c r="CK563" s="141"/>
      <c r="CL563" s="141"/>
    </row>
    <row r="564" spans="74:90" ht="49.5" customHeight="1" x14ac:dyDescent="0.35">
      <c r="BV564" s="140"/>
      <c r="BY564" s="141"/>
      <c r="BZ564" s="141"/>
      <c r="CA564" s="141"/>
      <c r="CB564" s="141"/>
      <c r="CC564" s="141"/>
      <c r="CD564" s="141"/>
      <c r="CE564" s="141"/>
      <c r="CF564" s="141"/>
      <c r="CG564" s="141"/>
      <c r="CH564" s="141"/>
      <c r="CI564" s="141"/>
      <c r="CJ564" s="141"/>
      <c r="CK564" s="141"/>
      <c r="CL564" s="141"/>
    </row>
    <row r="565" spans="74:90" ht="49.5" customHeight="1" x14ac:dyDescent="0.35">
      <c r="BV565" s="140"/>
      <c r="BY565" s="141"/>
      <c r="BZ565" s="141"/>
      <c r="CA565" s="141"/>
      <c r="CB565" s="141"/>
      <c r="CC565" s="141"/>
      <c r="CD565" s="141"/>
      <c r="CE565" s="141"/>
      <c r="CF565" s="141"/>
      <c r="CG565" s="141"/>
      <c r="CH565" s="141"/>
      <c r="CI565" s="141"/>
      <c r="CJ565" s="141"/>
      <c r="CK565" s="141"/>
      <c r="CL565" s="141"/>
    </row>
    <row r="566" spans="74:90" ht="49.5" customHeight="1" x14ac:dyDescent="0.35">
      <c r="BV566" s="140"/>
      <c r="BY566" s="141"/>
      <c r="BZ566" s="141"/>
      <c r="CA566" s="141"/>
      <c r="CB566" s="141"/>
      <c r="CC566" s="141"/>
      <c r="CD566" s="141"/>
      <c r="CE566" s="141"/>
      <c r="CF566" s="141"/>
      <c r="CG566" s="141"/>
      <c r="CH566" s="141"/>
      <c r="CI566" s="141"/>
      <c r="CJ566" s="141"/>
      <c r="CK566" s="141"/>
      <c r="CL566" s="141"/>
    </row>
    <row r="567" spans="74:90" ht="49.5" customHeight="1" x14ac:dyDescent="0.35">
      <c r="BV567" s="140"/>
      <c r="BY567" s="141"/>
      <c r="BZ567" s="141"/>
      <c r="CA567" s="141"/>
      <c r="CB567" s="141"/>
      <c r="CC567" s="141"/>
      <c r="CD567" s="141"/>
      <c r="CE567" s="141"/>
      <c r="CF567" s="141"/>
      <c r="CG567" s="141"/>
      <c r="CH567" s="141"/>
      <c r="CI567" s="141"/>
      <c r="CJ567" s="141"/>
      <c r="CK567" s="141"/>
      <c r="CL567" s="141"/>
    </row>
    <row r="568" spans="74:90" ht="49.5" customHeight="1" x14ac:dyDescent="0.35">
      <c r="BV568" s="140"/>
      <c r="BY568" s="141"/>
      <c r="BZ568" s="141"/>
      <c r="CA568" s="141"/>
      <c r="CB568" s="141"/>
      <c r="CC568" s="141"/>
      <c r="CD568" s="141"/>
      <c r="CE568" s="141"/>
      <c r="CF568" s="141"/>
      <c r="CG568" s="141"/>
      <c r="CH568" s="141"/>
      <c r="CI568" s="141"/>
      <c r="CJ568" s="141"/>
      <c r="CK568" s="141"/>
      <c r="CL568" s="141"/>
    </row>
    <row r="569" spans="74:90" ht="49.5" customHeight="1" x14ac:dyDescent="0.35">
      <c r="BV569" s="140"/>
      <c r="BY569" s="141"/>
      <c r="BZ569" s="141"/>
      <c r="CA569" s="141"/>
      <c r="CB569" s="141"/>
      <c r="CC569" s="141"/>
      <c r="CD569" s="141"/>
      <c r="CE569" s="141"/>
      <c r="CF569" s="141"/>
      <c r="CG569" s="141"/>
      <c r="CH569" s="141"/>
      <c r="CI569" s="141"/>
      <c r="CJ569" s="141"/>
      <c r="CK569" s="141"/>
      <c r="CL569" s="141"/>
    </row>
    <row r="570" spans="74:90" ht="49.5" customHeight="1" x14ac:dyDescent="0.35">
      <c r="BV570" s="140"/>
      <c r="BY570" s="141"/>
      <c r="BZ570" s="141"/>
      <c r="CA570" s="141"/>
      <c r="CB570" s="141"/>
      <c r="CC570" s="141"/>
      <c r="CD570" s="141"/>
      <c r="CE570" s="141"/>
      <c r="CF570" s="141"/>
      <c r="CG570" s="141"/>
      <c r="CH570" s="141"/>
      <c r="CI570" s="141"/>
      <c r="CJ570" s="141"/>
      <c r="CK570" s="141"/>
      <c r="CL570" s="141"/>
    </row>
    <row r="571" spans="74:90" ht="49.5" customHeight="1" x14ac:dyDescent="0.35">
      <c r="BV571" s="140"/>
      <c r="BY571" s="141"/>
      <c r="BZ571" s="141"/>
      <c r="CA571" s="141"/>
      <c r="CB571" s="141"/>
      <c r="CC571" s="141"/>
      <c r="CD571" s="141"/>
      <c r="CE571" s="141"/>
      <c r="CF571" s="141"/>
      <c r="CG571" s="141"/>
      <c r="CH571" s="141"/>
      <c r="CI571" s="141"/>
      <c r="CJ571" s="141"/>
      <c r="CK571" s="141"/>
      <c r="CL571" s="141"/>
    </row>
    <row r="572" spans="74:90" ht="49.5" customHeight="1" x14ac:dyDescent="0.35">
      <c r="BV572" s="140"/>
      <c r="BY572" s="141"/>
      <c r="BZ572" s="141"/>
      <c r="CA572" s="141"/>
      <c r="CB572" s="141"/>
      <c r="CC572" s="141"/>
      <c r="CD572" s="141"/>
      <c r="CE572" s="141"/>
      <c r="CF572" s="141"/>
      <c r="CG572" s="141"/>
      <c r="CH572" s="141"/>
      <c r="CI572" s="141"/>
      <c r="CJ572" s="141"/>
      <c r="CK572" s="141"/>
      <c r="CL572" s="141"/>
    </row>
    <row r="573" spans="74:90" ht="49.5" customHeight="1" x14ac:dyDescent="0.35">
      <c r="BV573" s="140"/>
      <c r="BY573" s="141"/>
      <c r="BZ573" s="141"/>
      <c r="CA573" s="141"/>
      <c r="CB573" s="141"/>
      <c r="CC573" s="141"/>
      <c r="CD573" s="141"/>
      <c r="CE573" s="141"/>
      <c r="CF573" s="141"/>
      <c r="CG573" s="141"/>
      <c r="CH573" s="141"/>
      <c r="CI573" s="141"/>
      <c r="CJ573" s="141"/>
      <c r="CK573" s="141"/>
      <c r="CL573" s="141"/>
    </row>
    <row r="574" spans="74:90" ht="49.5" customHeight="1" x14ac:dyDescent="0.35">
      <c r="BV574" s="140"/>
      <c r="BY574" s="141"/>
      <c r="BZ574" s="141"/>
      <c r="CA574" s="141"/>
      <c r="CB574" s="141"/>
      <c r="CC574" s="141"/>
      <c r="CD574" s="141"/>
      <c r="CE574" s="141"/>
      <c r="CF574" s="141"/>
      <c r="CG574" s="141"/>
      <c r="CH574" s="141"/>
      <c r="CI574" s="141"/>
      <c r="CJ574" s="141"/>
      <c r="CK574" s="141"/>
      <c r="CL574" s="141"/>
    </row>
    <row r="575" spans="74:90" ht="49.5" customHeight="1" x14ac:dyDescent="0.35">
      <c r="BV575" s="140"/>
      <c r="BY575" s="141"/>
      <c r="BZ575" s="141"/>
      <c r="CA575" s="141"/>
      <c r="CB575" s="141"/>
      <c r="CC575" s="141"/>
      <c r="CD575" s="141"/>
      <c r="CE575" s="141"/>
      <c r="CF575" s="141"/>
      <c r="CG575" s="141"/>
      <c r="CH575" s="141"/>
      <c r="CI575" s="141"/>
      <c r="CJ575" s="141"/>
      <c r="CK575" s="141"/>
      <c r="CL575" s="141"/>
    </row>
    <row r="576" spans="74:90" ht="49.5" customHeight="1" x14ac:dyDescent="0.35">
      <c r="BV576" s="140"/>
      <c r="BY576" s="141"/>
      <c r="BZ576" s="141"/>
      <c r="CA576" s="141"/>
      <c r="CB576" s="141"/>
      <c r="CC576" s="141"/>
      <c r="CD576" s="141"/>
      <c r="CE576" s="141"/>
      <c r="CF576" s="141"/>
      <c r="CG576" s="141"/>
      <c r="CH576" s="141"/>
      <c r="CI576" s="141"/>
      <c r="CJ576" s="141"/>
      <c r="CK576" s="141"/>
      <c r="CL576" s="141"/>
    </row>
    <row r="577" spans="74:90" ht="49.5" customHeight="1" x14ac:dyDescent="0.35">
      <c r="BV577" s="140"/>
      <c r="BY577" s="141"/>
      <c r="BZ577" s="141"/>
      <c r="CA577" s="141"/>
      <c r="CB577" s="141"/>
      <c r="CC577" s="141"/>
      <c r="CD577" s="141"/>
      <c r="CE577" s="141"/>
      <c r="CF577" s="141"/>
      <c r="CG577" s="141"/>
      <c r="CH577" s="141"/>
      <c r="CI577" s="141"/>
      <c r="CJ577" s="141"/>
      <c r="CK577" s="141"/>
      <c r="CL577" s="141"/>
    </row>
    <row r="578" spans="74:90" ht="49.5" customHeight="1" x14ac:dyDescent="0.35">
      <c r="BV578" s="140"/>
      <c r="BY578" s="141"/>
      <c r="BZ578" s="141"/>
      <c r="CA578" s="141"/>
      <c r="CB578" s="141"/>
      <c r="CC578" s="141"/>
      <c r="CD578" s="141"/>
      <c r="CE578" s="141"/>
      <c r="CF578" s="141"/>
      <c r="CG578" s="141"/>
      <c r="CH578" s="141"/>
      <c r="CI578" s="141"/>
      <c r="CJ578" s="141"/>
      <c r="CK578" s="141"/>
      <c r="CL578" s="141"/>
    </row>
    <row r="579" spans="74:90" ht="49.5" customHeight="1" x14ac:dyDescent="0.35">
      <c r="BV579" s="140"/>
      <c r="BY579" s="141"/>
      <c r="BZ579" s="141"/>
      <c r="CA579" s="141"/>
      <c r="CB579" s="141"/>
      <c r="CC579" s="141"/>
      <c r="CD579" s="141"/>
      <c r="CE579" s="141"/>
      <c r="CF579" s="141"/>
      <c r="CG579" s="141"/>
      <c r="CH579" s="141"/>
      <c r="CI579" s="141"/>
      <c r="CJ579" s="141"/>
      <c r="CK579" s="141"/>
      <c r="CL579" s="141"/>
    </row>
    <row r="580" spans="74:90" ht="49.5" customHeight="1" x14ac:dyDescent="0.35">
      <c r="BV580" s="140"/>
      <c r="BY580" s="141"/>
      <c r="BZ580" s="141"/>
      <c r="CA580" s="141"/>
      <c r="CB580" s="141"/>
      <c r="CC580" s="141"/>
      <c r="CD580" s="141"/>
      <c r="CE580" s="141"/>
      <c r="CF580" s="141"/>
      <c r="CG580" s="141"/>
      <c r="CH580" s="141"/>
      <c r="CI580" s="141"/>
      <c r="CJ580" s="141"/>
      <c r="CK580" s="141"/>
      <c r="CL580" s="141"/>
    </row>
    <row r="581" spans="74:90" ht="49.5" customHeight="1" x14ac:dyDescent="0.35">
      <c r="BV581" s="140"/>
      <c r="BY581" s="141"/>
      <c r="BZ581" s="141"/>
      <c r="CA581" s="141"/>
      <c r="CB581" s="141"/>
      <c r="CC581" s="141"/>
      <c r="CD581" s="141"/>
      <c r="CE581" s="141"/>
      <c r="CF581" s="141"/>
      <c r="CG581" s="141"/>
      <c r="CH581" s="141"/>
      <c r="CI581" s="141"/>
      <c r="CJ581" s="141"/>
      <c r="CK581" s="141"/>
      <c r="CL581" s="141"/>
    </row>
    <row r="582" spans="74:90" ht="49.5" customHeight="1" x14ac:dyDescent="0.35">
      <c r="BV582" s="140"/>
      <c r="BY582" s="141"/>
      <c r="BZ582" s="141"/>
      <c r="CA582" s="141"/>
      <c r="CB582" s="141"/>
      <c r="CC582" s="141"/>
      <c r="CD582" s="141"/>
      <c r="CE582" s="141"/>
      <c r="CF582" s="141"/>
      <c r="CG582" s="141"/>
      <c r="CH582" s="141"/>
      <c r="CI582" s="141"/>
      <c r="CJ582" s="141"/>
      <c r="CK582" s="141"/>
      <c r="CL582" s="141"/>
    </row>
    <row r="583" spans="74:90" ht="49.5" customHeight="1" x14ac:dyDescent="0.35">
      <c r="BV583" s="140"/>
      <c r="BY583" s="141"/>
      <c r="BZ583" s="141"/>
      <c r="CA583" s="141"/>
      <c r="CB583" s="141"/>
      <c r="CC583" s="141"/>
      <c r="CD583" s="141"/>
      <c r="CE583" s="141"/>
      <c r="CF583" s="141"/>
      <c r="CG583" s="141"/>
      <c r="CH583" s="141"/>
      <c r="CI583" s="141"/>
      <c r="CJ583" s="141"/>
      <c r="CK583" s="141"/>
      <c r="CL583" s="141"/>
    </row>
    <row r="584" spans="74:90" ht="49.5" customHeight="1" x14ac:dyDescent="0.35">
      <c r="BV584" s="140"/>
      <c r="BY584" s="141"/>
      <c r="BZ584" s="141"/>
      <c r="CA584" s="141"/>
      <c r="CB584" s="141"/>
      <c r="CC584" s="141"/>
      <c r="CD584" s="141"/>
      <c r="CE584" s="141"/>
      <c r="CF584" s="141"/>
      <c r="CG584" s="141"/>
      <c r="CH584" s="141"/>
      <c r="CI584" s="141"/>
      <c r="CJ584" s="141"/>
      <c r="CK584" s="141"/>
      <c r="CL584" s="141"/>
    </row>
    <row r="585" spans="74:90" ht="49.5" customHeight="1" x14ac:dyDescent="0.35">
      <c r="BV585" s="140"/>
      <c r="BY585" s="141"/>
      <c r="BZ585" s="141"/>
      <c r="CA585" s="141"/>
      <c r="CB585" s="141"/>
      <c r="CC585" s="141"/>
      <c r="CD585" s="141"/>
      <c r="CE585" s="141"/>
      <c r="CF585" s="141"/>
      <c r="CG585" s="141"/>
      <c r="CH585" s="141"/>
      <c r="CI585" s="141"/>
      <c r="CJ585" s="141"/>
      <c r="CK585" s="141"/>
      <c r="CL585" s="141"/>
    </row>
    <row r="586" spans="74:90" ht="49.5" customHeight="1" x14ac:dyDescent="0.35">
      <c r="BV586" s="140"/>
      <c r="BY586" s="141"/>
      <c r="BZ586" s="141"/>
      <c r="CA586" s="141"/>
      <c r="CB586" s="141"/>
      <c r="CC586" s="141"/>
      <c r="CD586" s="141"/>
      <c r="CE586" s="141"/>
      <c r="CF586" s="141"/>
      <c r="CG586" s="141"/>
      <c r="CH586" s="141"/>
      <c r="CI586" s="141"/>
      <c r="CJ586" s="141"/>
      <c r="CK586" s="141"/>
      <c r="CL586" s="141"/>
    </row>
    <row r="587" spans="74:90" ht="49.5" customHeight="1" x14ac:dyDescent="0.35">
      <c r="BV587" s="140"/>
      <c r="BY587" s="141"/>
      <c r="BZ587" s="141"/>
      <c r="CA587" s="141"/>
      <c r="CB587" s="141"/>
      <c r="CC587" s="141"/>
      <c r="CD587" s="141"/>
      <c r="CE587" s="141"/>
      <c r="CF587" s="141"/>
      <c r="CG587" s="141"/>
      <c r="CH587" s="141"/>
      <c r="CI587" s="141"/>
      <c r="CJ587" s="141"/>
      <c r="CK587" s="141"/>
      <c r="CL587" s="141"/>
    </row>
    <row r="588" spans="74:90" ht="49.5" customHeight="1" x14ac:dyDescent="0.35">
      <c r="BV588" s="140"/>
      <c r="BY588" s="141"/>
      <c r="BZ588" s="141"/>
      <c r="CA588" s="141"/>
      <c r="CB588" s="141"/>
      <c r="CC588" s="141"/>
      <c r="CD588" s="141"/>
      <c r="CE588" s="141"/>
      <c r="CF588" s="141"/>
      <c r="CG588" s="141"/>
      <c r="CH588" s="141"/>
      <c r="CI588" s="141"/>
      <c r="CJ588" s="141"/>
      <c r="CK588" s="141"/>
      <c r="CL588" s="141"/>
    </row>
    <row r="589" spans="74:90" ht="49.5" customHeight="1" x14ac:dyDescent="0.35">
      <c r="BV589" s="140"/>
      <c r="BY589" s="141"/>
      <c r="BZ589" s="141"/>
      <c r="CA589" s="141"/>
      <c r="CB589" s="141"/>
      <c r="CC589" s="141"/>
      <c r="CD589" s="141"/>
      <c r="CE589" s="141"/>
      <c r="CF589" s="141"/>
      <c r="CG589" s="141"/>
      <c r="CH589" s="141"/>
      <c r="CI589" s="141"/>
      <c r="CJ589" s="141"/>
      <c r="CK589" s="141"/>
      <c r="CL589" s="141"/>
    </row>
    <row r="590" spans="74:90" ht="49.5" customHeight="1" x14ac:dyDescent="0.35">
      <c r="BV590" s="140"/>
      <c r="BY590" s="141"/>
      <c r="BZ590" s="141"/>
      <c r="CA590" s="141"/>
      <c r="CB590" s="141"/>
      <c r="CC590" s="141"/>
      <c r="CD590" s="141"/>
      <c r="CE590" s="141"/>
      <c r="CF590" s="141"/>
      <c r="CG590" s="141"/>
      <c r="CH590" s="141"/>
      <c r="CI590" s="141"/>
      <c r="CJ590" s="141"/>
      <c r="CK590" s="141"/>
      <c r="CL590" s="141"/>
    </row>
    <row r="591" spans="74:90" ht="49.5" customHeight="1" x14ac:dyDescent="0.35">
      <c r="BV591" s="140"/>
      <c r="BY591" s="141"/>
      <c r="BZ591" s="141"/>
      <c r="CA591" s="141"/>
      <c r="CB591" s="141"/>
      <c r="CC591" s="141"/>
      <c r="CD591" s="141"/>
      <c r="CE591" s="141"/>
      <c r="CF591" s="141"/>
      <c r="CG591" s="141"/>
      <c r="CH591" s="141"/>
      <c r="CI591" s="141"/>
      <c r="CJ591" s="141"/>
      <c r="CK591" s="141"/>
      <c r="CL591" s="141"/>
    </row>
    <row r="592" spans="74:90" ht="49.5" customHeight="1" x14ac:dyDescent="0.35">
      <c r="BV592" s="140"/>
      <c r="BY592" s="141"/>
      <c r="BZ592" s="141"/>
      <c r="CA592" s="141"/>
      <c r="CB592" s="141"/>
      <c r="CC592" s="141"/>
      <c r="CD592" s="141"/>
      <c r="CE592" s="141"/>
      <c r="CF592" s="141"/>
      <c r="CG592" s="141"/>
      <c r="CH592" s="141"/>
      <c r="CI592" s="141"/>
      <c r="CJ592" s="141"/>
      <c r="CK592" s="141"/>
      <c r="CL592" s="141"/>
    </row>
    <row r="593" spans="74:90" ht="49.5" customHeight="1" x14ac:dyDescent="0.35">
      <c r="BV593" s="140"/>
      <c r="BY593" s="141"/>
      <c r="BZ593" s="141"/>
      <c r="CA593" s="141"/>
      <c r="CB593" s="141"/>
      <c r="CC593" s="141"/>
      <c r="CD593" s="141"/>
      <c r="CE593" s="141"/>
      <c r="CF593" s="141"/>
      <c r="CG593" s="141"/>
      <c r="CH593" s="141"/>
      <c r="CI593" s="141"/>
      <c r="CJ593" s="141"/>
      <c r="CK593" s="141"/>
      <c r="CL593" s="141"/>
    </row>
    <row r="594" spans="74:90" ht="49.5" customHeight="1" x14ac:dyDescent="0.35">
      <c r="BV594" s="140"/>
      <c r="BY594" s="141"/>
      <c r="BZ594" s="141"/>
      <c r="CA594" s="141"/>
      <c r="CB594" s="141"/>
      <c r="CC594" s="141"/>
      <c r="CD594" s="141"/>
      <c r="CE594" s="141"/>
      <c r="CF594" s="141"/>
      <c r="CG594" s="141"/>
      <c r="CH594" s="141"/>
      <c r="CI594" s="141"/>
      <c r="CJ594" s="141"/>
      <c r="CK594" s="141"/>
      <c r="CL594" s="141"/>
    </row>
    <row r="595" spans="74:90" ht="49.5" customHeight="1" x14ac:dyDescent="0.35">
      <c r="BV595" s="140"/>
      <c r="BY595" s="141"/>
      <c r="BZ595" s="141"/>
      <c r="CA595" s="141"/>
      <c r="CB595" s="141"/>
      <c r="CC595" s="141"/>
      <c r="CD595" s="141"/>
      <c r="CE595" s="141"/>
      <c r="CF595" s="141"/>
      <c r="CG595" s="141"/>
      <c r="CH595" s="141"/>
      <c r="CI595" s="141"/>
      <c r="CJ595" s="141"/>
      <c r="CK595" s="141"/>
      <c r="CL595" s="141"/>
    </row>
    <row r="596" spans="74:90" ht="49.5" customHeight="1" x14ac:dyDescent="0.35">
      <c r="BV596" s="140"/>
      <c r="BY596" s="141"/>
      <c r="BZ596" s="141"/>
      <c r="CA596" s="141"/>
      <c r="CB596" s="141"/>
      <c r="CC596" s="141"/>
      <c r="CD596" s="141"/>
      <c r="CE596" s="141"/>
      <c r="CF596" s="141"/>
      <c r="CG596" s="141"/>
      <c r="CH596" s="141"/>
      <c r="CI596" s="141"/>
      <c r="CJ596" s="141"/>
      <c r="CK596" s="141"/>
      <c r="CL596" s="141"/>
    </row>
    <row r="597" spans="74:90" ht="49.5" customHeight="1" x14ac:dyDescent="0.35">
      <c r="BV597" s="140"/>
      <c r="BY597" s="141"/>
      <c r="BZ597" s="141"/>
      <c r="CA597" s="141"/>
      <c r="CB597" s="141"/>
      <c r="CC597" s="141"/>
      <c r="CD597" s="141"/>
      <c r="CE597" s="141"/>
      <c r="CF597" s="141"/>
      <c r="CG597" s="141"/>
      <c r="CH597" s="141"/>
      <c r="CI597" s="141"/>
      <c r="CJ597" s="141"/>
      <c r="CK597" s="141"/>
      <c r="CL597" s="141"/>
    </row>
    <row r="598" spans="74:90" ht="49.5" customHeight="1" x14ac:dyDescent="0.35">
      <c r="BV598" s="140"/>
      <c r="BY598" s="141"/>
      <c r="BZ598" s="141"/>
      <c r="CA598" s="141"/>
      <c r="CB598" s="141"/>
      <c r="CC598" s="141"/>
      <c r="CD598" s="141"/>
      <c r="CE598" s="141"/>
      <c r="CF598" s="141"/>
      <c r="CG598" s="141"/>
      <c r="CH598" s="141"/>
      <c r="CI598" s="141"/>
      <c r="CJ598" s="141"/>
      <c r="CK598" s="141"/>
      <c r="CL598" s="141"/>
    </row>
    <row r="599" spans="74:90" ht="49.5" customHeight="1" x14ac:dyDescent="0.35">
      <c r="BV599" s="140"/>
      <c r="BY599" s="141"/>
      <c r="BZ599" s="141"/>
      <c r="CA599" s="141"/>
      <c r="CB599" s="141"/>
      <c r="CC599" s="141"/>
      <c r="CD599" s="141"/>
      <c r="CE599" s="141"/>
      <c r="CF599" s="141"/>
      <c r="CG599" s="141"/>
      <c r="CH599" s="141"/>
      <c r="CI599" s="141"/>
      <c r="CJ599" s="141"/>
      <c r="CK599" s="141"/>
      <c r="CL599" s="141"/>
    </row>
    <row r="600" spans="74:90" ht="49.5" customHeight="1" x14ac:dyDescent="0.35">
      <c r="BV600" s="140"/>
      <c r="BY600" s="141"/>
      <c r="BZ600" s="141"/>
      <c r="CA600" s="141"/>
      <c r="CB600" s="141"/>
      <c r="CC600" s="141"/>
      <c r="CD600" s="141"/>
      <c r="CE600" s="141"/>
      <c r="CF600" s="141"/>
      <c r="CG600" s="141"/>
      <c r="CH600" s="141"/>
      <c r="CI600" s="141"/>
      <c r="CJ600" s="141"/>
      <c r="CK600" s="141"/>
      <c r="CL600" s="141"/>
    </row>
    <row r="601" spans="74:90" ht="49.5" customHeight="1" x14ac:dyDescent="0.35">
      <c r="BV601" s="140"/>
      <c r="BY601" s="141"/>
      <c r="BZ601" s="141"/>
      <c r="CA601" s="141"/>
      <c r="CB601" s="141"/>
      <c r="CC601" s="141"/>
      <c r="CD601" s="141"/>
      <c r="CE601" s="141"/>
      <c r="CF601" s="141"/>
      <c r="CG601" s="141"/>
      <c r="CH601" s="141"/>
      <c r="CI601" s="141"/>
      <c r="CJ601" s="141"/>
      <c r="CK601" s="141"/>
      <c r="CL601" s="141"/>
    </row>
    <row r="602" spans="74:90" ht="49.5" customHeight="1" x14ac:dyDescent="0.35">
      <c r="BV602" s="140"/>
      <c r="BY602" s="141"/>
      <c r="BZ602" s="141"/>
      <c r="CA602" s="141"/>
      <c r="CB602" s="141"/>
      <c r="CC602" s="141"/>
      <c r="CD602" s="141"/>
      <c r="CE602" s="141"/>
      <c r="CF602" s="141"/>
      <c r="CG602" s="141"/>
      <c r="CH602" s="141"/>
      <c r="CI602" s="141"/>
      <c r="CJ602" s="141"/>
      <c r="CK602" s="141"/>
      <c r="CL602" s="141"/>
    </row>
    <row r="603" spans="74:90" ht="49.5" customHeight="1" x14ac:dyDescent="0.35">
      <c r="BV603" s="140"/>
      <c r="BY603" s="141"/>
      <c r="BZ603" s="141"/>
      <c r="CA603" s="141"/>
      <c r="CB603" s="141"/>
      <c r="CC603" s="141"/>
      <c r="CD603" s="141"/>
      <c r="CE603" s="141"/>
      <c r="CF603" s="141"/>
      <c r="CG603" s="141"/>
      <c r="CH603" s="141"/>
      <c r="CI603" s="141"/>
      <c r="CJ603" s="141"/>
      <c r="CK603" s="141"/>
      <c r="CL603" s="141"/>
    </row>
    <row r="604" spans="74:90" ht="49.5" customHeight="1" x14ac:dyDescent="0.35">
      <c r="BV604" s="140"/>
      <c r="BY604" s="141"/>
      <c r="BZ604" s="141"/>
      <c r="CA604" s="141"/>
      <c r="CB604" s="141"/>
      <c r="CC604" s="141"/>
      <c r="CD604" s="141"/>
      <c r="CE604" s="141"/>
      <c r="CF604" s="141"/>
      <c r="CG604" s="141"/>
      <c r="CH604" s="141"/>
      <c r="CI604" s="141"/>
      <c r="CJ604" s="141"/>
      <c r="CK604" s="141"/>
      <c r="CL604" s="141"/>
    </row>
    <row r="605" spans="74:90" ht="49.5" customHeight="1" x14ac:dyDescent="0.35">
      <c r="BV605" s="140"/>
      <c r="BY605" s="141"/>
      <c r="BZ605" s="141"/>
      <c r="CA605" s="141"/>
      <c r="CB605" s="141"/>
      <c r="CC605" s="141"/>
      <c r="CD605" s="141"/>
      <c r="CE605" s="141"/>
      <c r="CF605" s="141"/>
      <c r="CG605" s="141"/>
      <c r="CH605" s="141"/>
      <c r="CI605" s="141"/>
      <c r="CJ605" s="141"/>
      <c r="CK605" s="141"/>
      <c r="CL605" s="141"/>
    </row>
    <row r="606" spans="74:90" ht="49.5" customHeight="1" x14ac:dyDescent="0.35">
      <c r="BV606" s="140"/>
      <c r="BY606" s="141"/>
      <c r="BZ606" s="141"/>
      <c r="CA606" s="141"/>
      <c r="CB606" s="141"/>
      <c r="CC606" s="141"/>
      <c r="CD606" s="141"/>
      <c r="CE606" s="141"/>
      <c r="CF606" s="141"/>
      <c r="CG606" s="141"/>
      <c r="CH606" s="141"/>
      <c r="CI606" s="141"/>
      <c r="CJ606" s="141"/>
      <c r="CK606" s="141"/>
      <c r="CL606" s="141"/>
    </row>
    <row r="607" spans="74:90" ht="49.5" customHeight="1" x14ac:dyDescent="0.35">
      <c r="BV607" s="140"/>
      <c r="BY607" s="141"/>
      <c r="BZ607" s="141"/>
      <c r="CA607" s="141"/>
      <c r="CB607" s="141"/>
      <c r="CC607" s="141"/>
      <c r="CD607" s="141"/>
      <c r="CE607" s="141"/>
      <c r="CF607" s="141"/>
      <c r="CG607" s="141"/>
      <c r="CH607" s="141"/>
      <c r="CI607" s="141"/>
      <c r="CJ607" s="141"/>
      <c r="CK607" s="141"/>
      <c r="CL607" s="141"/>
    </row>
    <row r="608" spans="74:90" ht="49.5" customHeight="1" x14ac:dyDescent="0.35">
      <c r="BV608" s="140"/>
      <c r="BY608" s="141"/>
      <c r="BZ608" s="141"/>
      <c r="CA608" s="141"/>
      <c r="CB608" s="141"/>
      <c r="CC608" s="141"/>
      <c r="CD608" s="141"/>
      <c r="CE608" s="141"/>
      <c r="CF608" s="141"/>
      <c r="CG608" s="141"/>
      <c r="CH608" s="141"/>
      <c r="CI608" s="141"/>
      <c r="CJ608" s="141"/>
      <c r="CK608" s="141"/>
      <c r="CL608" s="141"/>
    </row>
    <row r="609" spans="74:90" ht="49.5" customHeight="1" x14ac:dyDescent="0.35">
      <c r="BV609" s="140"/>
      <c r="BY609" s="141"/>
      <c r="BZ609" s="141"/>
      <c r="CA609" s="141"/>
      <c r="CB609" s="141"/>
      <c r="CC609" s="141"/>
      <c r="CD609" s="141"/>
      <c r="CE609" s="141"/>
      <c r="CF609" s="141"/>
      <c r="CG609" s="141"/>
      <c r="CH609" s="141"/>
      <c r="CI609" s="141"/>
      <c r="CJ609" s="141"/>
      <c r="CK609" s="141"/>
      <c r="CL609" s="141"/>
    </row>
    <row r="610" spans="74:90" ht="49.5" customHeight="1" x14ac:dyDescent="0.35">
      <c r="BV610" s="140"/>
      <c r="BY610" s="141"/>
      <c r="BZ610" s="141"/>
      <c r="CA610" s="141"/>
      <c r="CB610" s="141"/>
      <c r="CC610" s="141"/>
      <c r="CD610" s="141"/>
      <c r="CE610" s="141"/>
      <c r="CF610" s="141"/>
      <c r="CG610" s="141"/>
      <c r="CH610" s="141"/>
      <c r="CI610" s="141"/>
      <c r="CJ610" s="141"/>
      <c r="CK610" s="141"/>
      <c r="CL610" s="141"/>
    </row>
    <row r="611" spans="74:90" ht="49.5" customHeight="1" x14ac:dyDescent="0.35">
      <c r="BV611" s="140"/>
      <c r="BY611" s="141"/>
      <c r="BZ611" s="141"/>
      <c r="CA611" s="141"/>
      <c r="CB611" s="141"/>
      <c r="CC611" s="141"/>
      <c r="CD611" s="141"/>
      <c r="CE611" s="141"/>
      <c r="CF611" s="141"/>
      <c r="CG611" s="141"/>
      <c r="CH611" s="141"/>
      <c r="CI611" s="141"/>
      <c r="CJ611" s="141"/>
      <c r="CK611" s="141"/>
      <c r="CL611" s="141"/>
    </row>
    <row r="612" spans="74:90" ht="49.5" customHeight="1" x14ac:dyDescent="0.35">
      <c r="BV612" s="140"/>
      <c r="BY612" s="141"/>
      <c r="BZ612" s="141"/>
      <c r="CA612" s="141"/>
      <c r="CB612" s="141"/>
      <c r="CC612" s="141"/>
      <c r="CD612" s="141"/>
      <c r="CE612" s="141"/>
      <c r="CF612" s="141"/>
      <c r="CG612" s="141"/>
      <c r="CH612" s="141"/>
      <c r="CI612" s="141"/>
      <c r="CJ612" s="141"/>
      <c r="CK612" s="141"/>
      <c r="CL612" s="141"/>
    </row>
    <row r="613" spans="74:90" ht="49.5" customHeight="1" x14ac:dyDescent="0.35">
      <c r="BV613" s="140"/>
      <c r="BY613" s="141"/>
      <c r="BZ613" s="141"/>
      <c r="CA613" s="141"/>
      <c r="CB613" s="141"/>
      <c r="CC613" s="141"/>
      <c r="CD613" s="141"/>
      <c r="CE613" s="141"/>
      <c r="CF613" s="141"/>
      <c r="CG613" s="141"/>
      <c r="CH613" s="141"/>
      <c r="CI613" s="141"/>
      <c r="CJ613" s="141"/>
      <c r="CK613" s="141"/>
      <c r="CL613" s="141"/>
    </row>
    <row r="614" spans="74:90" ht="49.5" customHeight="1" x14ac:dyDescent="0.35">
      <c r="BV614" s="140"/>
      <c r="BY614" s="141"/>
      <c r="BZ614" s="141"/>
      <c r="CA614" s="141"/>
      <c r="CB614" s="141"/>
      <c r="CC614" s="141"/>
      <c r="CD614" s="141"/>
      <c r="CE614" s="141"/>
      <c r="CF614" s="141"/>
      <c r="CG614" s="141"/>
      <c r="CH614" s="141"/>
      <c r="CI614" s="141"/>
      <c r="CJ614" s="141"/>
      <c r="CK614" s="141"/>
      <c r="CL614" s="141"/>
    </row>
    <row r="615" spans="74:90" ht="49.5" customHeight="1" x14ac:dyDescent="0.35">
      <c r="BV615" s="140"/>
      <c r="BY615" s="141"/>
      <c r="BZ615" s="141"/>
      <c r="CA615" s="141"/>
      <c r="CB615" s="141"/>
      <c r="CC615" s="141"/>
      <c r="CD615" s="141"/>
      <c r="CE615" s="141"/>
      <c r="CF615" s="141"/>
      <c r="CG615" s="141"/>
      <c r="CH615" s="141"/>
      <c r="CI615" s="141"/>
      <c r="CJ615" s="141"/>
      <c r="CK615" s="141"/>
      <c r="CL615" s="141"/>
    </row>
    <row r="616" spans="74:90" ht="49.5" customHeight="1" x14ac:dyDescent="0.35">
      <c r="BV616" s="140"/>
      <c r="BY616" s="141"/>
      <c r="BZ616" s="141"/>
      <c r="CA616" s="141"/>
      <c r="CB616" s="141"/>
      <c r="CC616" s="141"/>
      <c r="CD616" s="141"/>
      <c r="CE616" s="141"/>
      <c r="CF616" s="141"/>
      <c r="CG616" s="141"/>
      <c r="CH616" s="141"/>
      <c r="CI616" s="141"/>
      <c r="CJ616" s="141"/>
      <c r="CK616" s="141"/>
      <c r="CL616" s="141"/>
    </row>
    <row r="617" spans="74:90" ht="49.5" customHeight="1" x14ac:dyDescent="0.35">
      <c r="BV617" s="140"/>
      <c r="BY617" s="141"/>
      <c r="BZ617" s="141"/>
      <c r="CA617" s="141"/>
      <c r="CB617" s="141"/>
      <c r="CC617" s="141"/>
      <c r="CD617" s="141"/>
      <c r="CE617" s="141"/>
      <c r="CF617" s="141"/>
      <c r="CG617" s="141"/>
      <c r="CH617" s="141"/>
      <c r="CI617" s="141"/>
      <c r="CJ617" s="141"/>
      <c r="CK617" s="141"/>
      <c r="CL617" s="141"/>
    </row>
    <row r="618" spans="74:90" ht="49.5" customHeight="1" x14ac:dyDescent="0.35">
      <c r="BV618" s="140"/>
      <c r="BY618" s="141"/>
      <c r="BZ618" s="141"/>
      <c r="CA618" s="141"/>
      <c r="CB618" s="141"/>
      <c r="CC618" s="141"/>
      <c r="CD618" s="141"/>
      <c r="CE618" s="141"/>
      <c r="CF618" s="141"/>
      <c r="CG618" s="141"/>
      <c r="CH618" s="141"/>
      <c r="CI618" s="141"/>
      <c r="CJ618" s="141"/>
      <c r="CK618" s="141"/>
      <c r="CL618" s="141"/>
    </row>
    <row r="619" spans="74:90" ht="49.5" customHeight="1" x14ac:dyDescent="0.35">
      <c r="BV619" s="140"/>
      <c r="BY619" s="141"/>
      <c r="BZ619" s="141"/>
      <c r="CA619" s="141"/>
      <c r="CB619" s="141"/>
      <c r="CC619" s="141"/>
      <c r="CD619" s="141"/>
      <c r="CE619" s="141"/>
      <c r="CF619" s="141"/>
      <c r="CG619" s="141"/>
      <c r="CH619" s="141"/>
      <c r="CI619" s="141"/>
      <c r="CJ619" s="141"/>
      <c r="CK619" s="141"/>
      <c r="CL619" s="141"/>
    </row>
    <row r="620" spans="74:90" ht="49.5" customHeight="1" x14ac:dyDescent="0.35">
      <c r="BV620" s="140"/>
      <c r="BY620" s="141"/>
      <c r="BZ620" s="141"/>
      <c r="CA620" s="141"/>
      <c r="CB620" s="141"/>
      <c r="CC620" s="141"/>
      <c r="CD620" s="141"/>
      <c r="CE620" s="141"/>
      <c r="CF620" s="141"/>
      <c r="CG620" s="141"/>
      <c r="CH620" s="141"/>
      <c r="CI620" s="141"/>
      <c r="CJ620" s="141"/>
      <c r="CK620" s="141"/>
      <c r="CL620" s="141"/>
    </row>
    <row r="621" spans="74:90" ht="49.5" customHeight="1" x14ac:dyDescent="0.35">
      <c r="BV621" s="140"/>
      <c r="BY621" s="141"/>
      <c r="BZ621" s="141"/>
      <c r="CA621" s="141"/>
      <c r="CB621" s="141"/>
      <c r="CC621" s="141"/>
      <c r="CD621" s="141"/>
      <c r="CE621" s="141"/>
      <c r="CF621" s="141"/>
      <c r="CG621" s="141"/>
      <c r="CH621" s="141"/>
      <c r="CI621" s="141"/>
      <c r="CJ621" s="141"/>
      <c r="CK621" s="141"/>
      <c r="CL621" s="141"/>
    </row>
    <row r="622" spans="74:90" ht="49.5" customHeight="1" x14ac:dyDescent="0.35">
      <c r="BV622" s="140"/>
      <c r="BY622" s="141"/>
      <c r="BZ622" s="141"/>
      <c r="CA622" s="141"/>
      <c r="CB622" s="141"/>
      <c r="CC622" s="141"/>
      <c r="CD622" s="141"/>
      <c r="CE622" s="141"/>
      <c r="CF622" s="141"/>
      <c r="CG622" s="141"/>
      <c r="CH622" s="141"/>
      <c r="CI622" s="141"/>
      <c r="CJ622" s="141"/>
      <c r="CK622" s="141"/>
      <c r="CL622" s="141"/>
    </row>
    <row r="623" spans="74:90" ht="49.5" customHeight="1" x14ac:dyDescent="0.35">
      <c r="BV623" s="140"/>
      <c r="BY623" s="141"/>
      <c r="BZ623" s="141"/>
      <c r="CA623" s="141"/>
      <c r="CB623" s="141"/>
      <c r="CC623" s="141"/>
      <c r="CD623" s="141"/>
      <c r="CE623" s="141"/>
      <c r="CF623" s="141"/>
      <c r="CG623" s="141"/>
      <c r="CH623" s="141"/>
      <c r="CI623" s="141"/>
      <c r="CJ623" s="141"/>
      <c r="CK623" s="141"/>
      <c r="CL623" s="141"/>
    </row>
    <row r="624" spans="74:90" ht="49.5" customHeight="1" x14ac:dyDescent="0.35">
      <c r="BV624" s="140"/>
      <c r="BY624" s="141"/>
      <c r="BZ624" s="141"/>
      <c r="CA624" s="141"/>
      <c r="CB624" s="141"/>
      <c r="CC624" s="141"/>
      <c r="CD624" s="141"/>
      <c r="CE624" s="141"/>
      <c r="CF624" s="141"/>
      <c r="CG624" s="141"/>
      <c r="CH624" s="141"/>
      <c r="CI624" s="141"/>
      <c r="CJ624" s="141"/>
      <c r="CK624" s="141"/>
      <c r="CL624" s="141"/>
    </row>
    <row r="625" spans="74:90" ht="49.5" customHeight="1" x14ac:dyDescent="0.35">
      <c r="BV625" s="140"/>
      <c r="BY625" s="141"/>
      <c r="BZ625" s="141"/>
      <c r="CA625" s="141"/>
      <c r="CB625" s="141"/>
      <c r="CC625" s="141"/>
      <c r="CD625" s="141"/>
      <c r="CE625" s="141"/>
      <c r="CF625" s="141"/>
      <c r="CG625" s="141"/>
      <c r="CH625" s="141"/>
      <c r="CI625" s="141"/>
      <c r="CJ625" s="141"/>
      <c r="CK625" s="141"/>
      <c r="CL625" s="141"/>
    </row>
    <row r="626" spans="74:90" ht="49.5" customHeight="1" x14ac:dyDescent="0.35">
      <c r="BV626" s="140"/>
      <c r="BY626" s="141"/>
      <c r="BZ626" s="141"/>
      <c r="CA626" s="141"/>
      <c r="CB626" s="141"/>
      <c r="CC626" s="141"/>
      <c r="CD626" s="141"/>
      <c r="CE626" s="141"/>
      <c r="CF626" s="141"/>
      <c r="CG626" s="141"/>
      <c r="CH626" s="141"/>
      <c r="CI626" s="141"/>
      <c r="CJ626" s="141"/>
      <c r="CK626" s="141"/>
      <c r="CL626" s="141"/>
    </row>
    <row r="627" spans="74:90" ht="49.5" customHeight="1" x14ac:dyDescent="0.35">
      <c r="BV627" s="140"/>
      <c r="BY627" s="141"/>
      <c r="BZ627" s="141"/>
      <c r="CA627" s="141"/>
      <c r="CB627" s="141"/>
      <c r="CC627" s="141"/>
      <c r="CD627" s="141"/>
      <c r="CE627" s="141"/>
      <c r="CF627" s="141"/>
      <c r="CG627" s="141"/>
      <c r="CH627" s="141"/>
      <c r="CI627" s="141"/>
      <c r="CJ627" s="141"/>
      <c r="CK627" s="141"/>
      <c r="CL627" s="141"/>
    </row>
    <row r="628" spans="74:90" ht="49.5" customHeight="1" x14ac:dyDescent="0.35">
      <c r="BV628" s="140"/>
      <c r="BY628" s="141"/>
      <c r="BZ628" s="141"/>
      <c r="CA628" s="141"/>
      <c r="CB628" s="141"/>
      <c r="CC628" s="141"/>
      <c r="CD628" s="141"/>
      <c r="CE628" s="141"/>
      <c r="CF628" s="141"/>
      <c r="CG628" s="141"/>
      <c r="CH628" s="141"/>
      <c r="CI628" s="141"/>
      <c r="CJ628" s="141"/>
      <c r="CK628" s="141"/>
      <c r="CL628" s="141"/>
    </row>
    <row r="629" spans="74:90" ht="49.5" customHeight="1" x14ac:dyDescent="0.35">
      <c r="BV629" s="140"/>
      <c r="BY629" s="141"/>
      <c r="BZ629" s="141"/>
      <c r="CA629" s="141"/>
      <c r="CB629" s="141"/>
      <c r="CC629" s="141"/>
      <c r="CD629" s="141"/>
      <c r="CE629" s="141"/>
      <c r="CF629" s="141"/>
      <c r="CG629" s="141"/>
      <c r="CH629" s="141"/>
      <c r="CI629" s="141"/>
      <c r="CJ629" s="141"/>
      <c r="CK629" s="141"/>
      <c r="CL629" s="141"/>
    </row>
    <row r="630" spans="74:90" ht="49.5" customHeight="1" x14ac:dyDescent="0.35">
      <c r="BV630" s="140"/>
      <c r="BY630" s="141"/>
      <c r="BZ630" s="141"/>
      <c r="CA630" s="141"/>
      <c r="CB630" s="141"/>
      <c r="CC630" s="141"/>
      <c r="CD630" s="141"/>
      <c r="CE630" s="141"/>
      <c r="CF630" s="141"/>
      <c r="CG630" s="141"/>
      <c r="CH630" s="141"/>
      <c r="CI630" s="141"/>
      <c r="CJ630" s="141"/>
      <c r="CK630" s="141"/>
      <c r="CL630" s="141"/>
    </row>
    <row r="631" spans="74:90" ht="49.5" customHeight="1" x14ac:dyDescent="0.35">
      <c r="BV631" s="140"/>
      <c r="BY631" s="141"/>
      <c r="BZ631" s="141"/>
      <c r="CA631" s="141"/>
      <c r="CB631" s="141"/>
      <c r="CC631" s="141"/>
      <c r="CD631" s="141"/>
      <c r="CE631" s="141"/>
      <c r="CF631" s="141"/>
      <c r="CG631" s="141"/>
      <c r="CH631" s="141"/>
      <c r="CI631" s="141"/>
      <c r="CJ631" s="141"/>
      <c r="CK631" s="141"/>
      <c r="CL631" s="141"/>
    </row>
    <row r="632" spans="74:90" ht="49.5" customHeight="1" x14ac:dyDescent="0.35">
      <c r="BV632" s="140"/>
      <c r="BY632" s="141"/>
      <c r="BZ632" s="141"/>
      <c r="CA632" s="141"/>
      <c r="CB632" s="141"/>
      <c r="CC632" s="141"/>
      <c r="CD632" s="141"/>
      <c r="CE632" s="141"/>
      <c r="CF632" s="141"/>
      <c r="CG632" s="141"/>
      <c r="CH632" s="141"/>
      <c r="CI632" s="141"/>
      <c r="CJ632" s="141"/>
      <c r="CK632" s="141"/>
      <c r="CL632" s="141"/>
    </row>
    <row r="633" spans="74:90" ht="49.5" customHeight="1" x14ac:dyDescent="0.35">
      <c r="BV633" s="140"/>
      <c r="BY633" s="141"/>
      <c r="BZ633" s="141"/>
      <c r="CA633" s="141"/>
      <c r="CB633" s="141"/>
      <c r="CC633" s="141"/>
      <c r="CD633" s="141"/>
      <c r="CE633" s="141"/>
      <c r="CF633" s="141"/>
      <c r="CG633" s="141"/>
      <c r="CH633" s="141"/>
      <c r="CI633" s="141"/>
      <c r="CJ633" s="141"/>
      <c r="CK633" s="141"/>
      <c r="CL633" s="141"/>
    </row>
    <row r="634" spans="74:90" ht="49.5" customHeight="1" x14ac:dyDescent="0.35">
      <c r="BV634" s="140"/>
      <c r="BY634" s="141"/>
      <c r="BZ634" s="141"/>
      <c r="CA634" s="141"/>
      <c r="CB634" s="141"/>
      <c r="CC634" s="141"/>
      <c r="CD634" s="141"/>
      <c r="CE634" s="141"/>
      <c r="CF634" s="141"/>
      <c r="CG634" s="141"/>
      <c r="CH634" s="141"/>
      <c r="CI634" s="141"/>
      <c r="CJ634" s="141"/>
      <c r="CK634" s="141"/>
      <c r="CL634" s="141"/>
    </row>
    <row r="635" spans="74:90" ht="49.5" customHeight="1" x14ac:dyDescent="0.35">
      <c r="BV635" s="140"/>
      <c r="BY635" s="141"/>
      <c r="BZ635" s="141"/>
      <c r="CA635" s="141"/>
      <c r="CB635" s="141"/>
      <c r="CC635" s="141"/>
      <c r="CD635" s="141"/>
      <c r="CE635" s="141"/>
      <c r="CF635" s="141"/>
      <c r="CG635" s="141"/>
      <c r="CH635" s="141"/>
      <c r="CI635" s="141"/>
      <c r="CJ635" s="141"/>
      <c r="CK635" s="141"/>
      <c r="CL635" s="141"/>
    </row>
    <row r="636" spans="74:90" ht="49.5" customHeight="1" x14ac:dyDescent="0.35">
      <c r="BV636" s="140"/>
      <c r="BY636" s="141"/>
      <c r="BZ636" s="141"/>
      <c r="CA636" s="141"/>
      <c r="CB636" s="141"/>
      <c r="CC636" s="141"/>
      <c r="CD636" s="141"/>
      <c r="CE636" s="141"/>
      <c r="CF636" s="141"/>
      <c r="CG636" s="141"/>
      <c r="CH636" s="141"/>
      <c r="CI636" s="141"/>
      <c r="CJ636" s="141"/>
      <c r="CK636" s="141"/>
      <c r="CL636" s="141"/>
    </row>
    <row r="637" spans="74:90" ht="49.5" customHeight="1" x14ac:dyDescent="0.35">
      <c r="BV637" s="140"/>
      <c r="BY637" s="141"/>
      <c r="BZ637" s="141"/>
      <c r="CA637" s="141"/>
      <c r="CB637" s="141"/>
      <c r="CC637" s="141"/>
      <c r="CD637" s="141"/>
      <c r="CE637" s="141"/>
      <c r="CF637" s="141"/>
      <c r="CG637" s="141"/>
      <c r="CH637" s="141"/>
      <c r="CI637" s="141"/>
      <c r="CJ637" s="141"/>
      <c r="CK637" s="141"/>
      <c r="CL637" s="141"/>
    </row>
    <row r="638" spans="74:90" ht="49.5" customHeight="1" x14ac:dyDescent="0.35">
      <c r="BV638" s="140"/>
      <c r="BY638" s="141"/>
      <c r="BZ638" s="141"/>
      <c r="CA638" s="141"/>
      <c r="CB638" s="141"/>
      <c r="CC638" s="141"/>
      <c r="CD638" s="141"/>
      <c r="CE638" s="141"/>
      <c r="CF638" s="141"/>
      <c r="CG638" s="141"/>
      <c r="CH638" s="141"/>
      <c r="CI638" s="141"/>
      <c r="CJ638" s="141"/>
      <c r="CK638" s="141"/>
      <c r="CL638" s="141"/>
    </row>
    <row r="639" spans="74:90" ht="49.5" customHeight="1" x14ac:dyDescent="0.35">
      <c r="BV639" s="140"/>
      <c r="BY639" s="141"/>
      <c r="BZ639" s="141"/>
      <c r="CA639" s="141"/>
      <c r="CB639" s="141"/>
      <c r="CC639" s="141"/>
      <c r="CD639" s="141"/>
      <c r="CE639" s="141"/>
      <c r="CF639" s="141"/>
      <c r="CG639" s="141"/>
      <c r="CH639" s="141"/>
      <c r="CI639" s="141"/>
      <c r="CJ639" s="141"/>
      <c r="CK639" s="141"/>
      <c r="CL639" s="141"/>
    </row>
    <row r="640" spans="74:90" ht="49.5" customHeight="1" x14ac:dyDescent="0.35">
      <c r="BV640" s="140"/>
      <c r="BY640" s="141"/>
      <c r="BZ640" s="141"/>
      <c r="CA640" s="141"/>
      <c r="CB640" s="141"/>
      <c r="CC640" s="141"/>
      <c r="CD640" s="141"/>
      <c r="CE640" s="141"/>
      <c r="CF640" s="141"/>
      <c r="CG640" s="141"/>
      <c r="CH640" s="141"/>
      <c r="CI640" s="141"/>
      <c r="CJ640" s="141"/>
      <c r="CK640" s="141"/>
      <c r="CL640" s="141"/>
    </row>
    <row r="641" spans="74:90" ht="49.5" customHeight="1" x14ac:dyDescent="0.35">
      <c r="BV641" s="140"/>
      <c r="BY641" s="141"/>
      <c r="BZ641" s="141"/>
      <c r="CA641" s="141"/>
      <c r="CB641" s="141"/>
      <c r="CC641" s="141"/>
      <c r="CD641" s="141"/>
      <c r="CE641" s="141"/>
      <c r="CF641" s="141"/>
      <c r="CG641" s="141"/>
      <c r="CH641" s="141"/>
      <c r="CI641" s="141"/>
      <c r="CJ641" s="141"/>
      <c r="CK641" s="141"/>
      <c r="CL641" s="141"/>
    </row>
    <row r="642" spans="74:90" ht="49.5" customHeight="1" x14ac:dyDescent="0.35">
      <c r="BV642" s="140"/>
      <c r="BY642" s="141"/>
      <c r="BZ642" s="141"/>
      <c r="CA642" s="141"/>
      <c r="CB642" s="141"/>
      <c r="CC642" s="141"/>
      <c r="CD642" s="141"/>
      <c r="CE642" s="141"/>
      <c r="CF642" s="141"/>
      <c r="CG642" s="141"/>
      <c r="CH642" s="141"/>
      <c r="CI642" s="141"/>
      <c r="CJ642" s="141"/>
      <c r="CK642" s="141"/>
      <c r="CL642" s="141"/>
    </row>
    <row r="643" spans="74:90" ht="49.5" customHeight="1" x14ac:dyDescent="0.35">
      <c r="BV643" s="140"/>
      <c r="BY643" s="141"/>
      <c r="BZ643" s="141"/>
      <c r="CA643" s="141"/>
      <c r="CB643" s="141"/>
      <c r="CC643" s="141"/>
      <c r="CD643" s="141"/>
      <c r="CE643" s="141"/>
      <c r="CF643" s="141"/>
      <c r="CG643" s="141"/>
      <c r="CH643" s="141"/>
      <c r="CI643" s="141"/>
      <c r="CJ643" s="141"/>
      <c r="CK643" s="141"/>
      <c r="CL643" s="141"/>
    </row>
    <row r="644" spans="74:90" ht="49.5" customHeight="1" x14ac:dyDescent="0.35">
      <c r="BV644" s="140"/>
      <c r="BY644" s="141"/>
      <c r="BZ644" s="141"/>
      <c r="CA644" s="141"/>
      <c r="CB644" s="141"/>
      <c r="CC644" s="141"/>
      <c r="CD644" s="141"/>
      <c r="CE644" s="141"/>
      <c r="CF644" s="141"/>
      <c r="CG644" s="141"/>
      <c r="CH644" s="141"/>
      <c r="CI644" s="141"/>
      <c r="CJ644" s="141"/>
      <c r="CK644" s="141"/>
      <c r="CL644" s="141"/>
    </row>
    <row r="645" spans="74:90" ht="49.5" customHeight="1" x14ac:dyDescent="0.35">
      <c r="BV645" s="140"/>
      <c r="BY645" s="141"/>
      <c r="BZ645" s="141"/>
      <c r="CA645" s="141"/>
      <c r="CB645" s="141"/>
      <c r="CC645" s="141"/>
      <c r="CD645" s="141"/>
      <c r="CE645" s="141"/>
      <c r="CF645" s="141"/>
      <c r="CG645" s="141"/>
      <c r="CH645" s="141"/>
      <c r="CI645" s="141"/>
      <c r="CJ645" s="141"/>
      <c r="CK645" s="141"/>
      <c r="CL645" s="141"/>
    </row>
    <row r="646" spans="74:90" ht="49.5" customHeight="1" x14ac:dyDescent="0.35">
      <c r="BV646" s="140"/>
      <c r="BY646" s="141"/>
      <c r="BZ646" s="141"/>
      <c r="CA646" s="141"/>
      <c r="CB646" s="141"/>
      <c r="CC646" s="141"/>
      <c r="CD646" s="141"/>
      <c r="CE646" s="141"/>
      <c r="CF646" s="141"/>
      <c r="CG646" s="141"/>
      <c r="CH646" s="141"/>
      <c r="CI646" s="141"/>
      <c r="CJ646" s="141"/>
      <c r="CK646" s="141"/>
      <c r="CL646" s="141"/>
    </row>
    <row r="647" spans="74:90" ht="49.5" customHeight="1" x14ac:dyDescent="0.35">
      <c r="BV647" s="140"/>
      <c r="BY647" s="141"/>
      <c r="BZ647" s="141"/>
      <c r="CA647" s="141"/>
      <c r="CB647" s="141"/>
      <c r="CC647" s="141"/>
      <c r="CD647" s="141"/>
      <c r="CE647" s="141"/>
      <c r="CF647" s="141"/>
      <c r="CG647" s="141"/>
      <c r="CH647" s="141"/>
      <c r="CI647" s="141"/>
      <c r="CJ647" s="141"/>
      <c r="CK647" s="141"/>
      <c r="CL647" s="141"/>
    </row>
    <row r="648" spans="74:90" ht="49.5" customHeight="1" x14ac:dyDescent="0.35">
      <c r="BV648" s="140"/>
      <c r="BY648" s="141"/>
      <c r="BZ648" s="141"/>
      <c r="CA648" s="141"/>
      <c r="CB648" s="141"/>
      <c r="CC648" s="141"/>
      <c r="CD648" s="141"/>
      <c r="CE648" s="141"/>
      <c r="CF648" s="141"/>
      <c r="CG648" s="141"/>
      <c r="CH648" s="141"/>
      <c r="CI648" s="141"/>
      <c r="CJ648" s="141"/>
      <c r="CK648" s="141"/>
      <c r="CL648" s="141"/>
    </row>
    <row r="649" spans="74:90" ht="49.5" customHeight="1" x14ac:dyDescent="0.35">
      <c r="BV649" s="140"/>
      <c r="BY649" s="141"/>
      <c r="BZ649" s="141"/>
      <c r="CA649" s="141"/>
      <c r="CB649" s="141"/>
      <c r="CC649" s="141"/>
      <c r="CD649" s="141"/>
      <c r="CE649" s="141"/>
      <c r="CF649" s="141"/>
      <c r="CG649" s="141"/>
      <c r="CH649" s="141"/>
      <c r="CI649" s="141"/>
      <c r="CJ649" s="141"/>
      <c r="CK649" s="141"/>
      <c r="CL649" s="141"/>
    </row>
    <row r="650" spans="74:90" ht="49.5" customHeight="1" x14ac:dyDescent="0.35">
      <c r="BV650" s="140"/>
      <c r="BY650" s="141"/>
      <c r="BZ650" s="141"/>
      <c r="CA650" s="141"/>
      <c r="CB650" s="141"/>
      <c r="CC650" s="141"/>
      <c r="CD650" s="141"/>
      <c r="CE650" s="141"/>
      <c r="CF650" s="141"/>
      <c r="CG650" s="141"/>
      <c r="CH650" s="141"/>
      <c r="CI650" s="141"/>
      <c r="CJ650" s="141"/>
      <c r="CK650" s="141"/>
      <c r="CL650" s="141"/>
    </row>
    <row r="651" spans="74:90" ht="49.5" customHeight="1" x14ac:dyDescent="0.35">
      <c r="BV651" s="140"/>
      <c r="BY651" s="141"/>
      <c r="BZ651" s="141"/>
      <c r="CA651" s="141"/>
      <c r="CB651" s="141"/>
      <c r="CC651" s="141"/>
      <c r="CD651" s="141"/>
      <c r="CE651" s="141"/>
      <c r="CF651" s="141"/>
      <c r="CG651" s="141"/>
      <c r="CH651" s="141"/>
      <c r="CI651" s="141"/>
      <c r="CJ651" s="141"/>
      <c r="CK651" s="141"/>
      <c r="CL651" s="141"/>
    </row>
    <row r="652" spans="74:90" ht="49.5" customHeight="1" x14ac:dyDescent="0.35">
      <c r="BV652" s="140"/>
      <c r="BY652" s="141"/>
      <c r="BZ652" s="141"/>
      <c r="CA652" s="141"/>
      <c r="CB652" s="141"/>
      <c r="CC652" s="141"/>
      <c r="CD652" s="141"/>
      <c r="CE652" s="141"/>
      <c r="CF652" s="141"/>
      <c r="CG652" s="141"/>
      <c r="CH652" s="141"/>
      <c r="CI652" s="141"/>
      <c r="CJ652" s="141"/>
      <c r="CK652" s="141"/>
      <c r="CL652" s="141"/>
    </row>
    <row r="653" spans="74:90" ht="49.5" customHeight="1" x14ac:dyDescent="0.35">
      <c r="BV653" s="140"/>
      <c r="BY653" s="141"/>
      <c r="BZ653" s="141"/>
      <c r="CA653" s="141"/>
      <c r="CB653" s="141"/>
      <c r="CC653" s="141"/>
      <c r="CD653" s="141"/>
      <c r="CE653" s="141"/>
      <c r="CF653" s="141"/>
      <c r="CG653" s="141"/>
      <c r="CH653" s="141"/>
      <c r="CI653" s="141"/>
      <c r="CJ653" s="141"/>
      <c r="CK653" s="141"/>
      <c r="CL653" s="141"/>
    </row>
    <row r="654" spans="74:90" ht="49.5" customHeight="1" x14ac:dyDescent="0.35">
      <c r="BV654" s="140"/>
      <c r="BY654" s="141"/>
      <c r="BZ654" s="141"/>
      <c r="CA654" s="141"/>
      <c r="CB654" s="141"/>
      <c r="CC654" s="141"/>
      <c r="CD654" s="141"/>
      <c r="CE654" s="141"/>
      <c r="CF654" s="141"/>
      <c r="CG654" s="141"/>
      <c r="CH654" s="141"/>
      <c r="CI654" s="141"/>
      <c r="CJ654" s="141"/>
      <c r="CK654" s="141"/>
      <c r="CL654" s="141"/>
    </row>
    <row r="655" spans="74:90" ht="49.5" customHeight="1" x14ac:dyDescent="0.35">
      <c r="BV655" s="140"/>
      <c r="BY655" s="141"/>
      <c r="BZ655" s="141"/>
      <c r="CA655" s="141"/>
      <c r="CB655" s="141"/>
      <c r="CC655" s="141"/>
      <c r="CD655" s="141"/>
      <c r="CE655" s="141"/>
      <c r="CF655" s="141"/>
      <c r="CG655" s="141"/>
      <c r="CH655" s="141"/>
      <c r="CI655" s="141"/>
      <c r="CJ655" s="141"/>
      <c r="CK655" s="141"/>
      <c r="CL655" s="141"/>
    </row>
    <row r="656" spans="74:90" ht="49.5" customHeight="1" x14ac:dyDescent="0.35">
      <c r="BV656" s="140"/>
      <c r="BY656" s="141"/>
      <c r="BZ656" s="141"/>
      <c r="CA656" s="141"/>
      <c r="CB656" s="141"/>
      <c r="CC656" s="141"/>
      <c r="CD656" s="141"/>
      <c r="CE656" s="141"/>
      <c r="CF656" s="141"/>
      <c r="CG656" s="141"/>
      <c r="CH656" s="141"/>
      <c r="CI656" s="141"/>
      <c r="CJ656" s="141"/>
      <c r="CK656" s="141"/>
      <c r="CL656" s="141"/>
    </row>
    <row r="657" spans="74:90" ht="49.5" customHeight="1" x14ac:dyDescent="0.35">
      <c r="BV657" s="140"/>
      <c r="BY657" s="141"/>
      <c r="BZ657" s="141"/>
      <c r="CA657" s="141"/>
      <c r="CB657" s="141"/>
      <c r="CC657" s="141"/>
      <c r="CD657" s="141"/>
      <c r="CE657" s="141"/>
      <c r="CF657" s="141"/>
      <c r="CG657" s="141"/>
      <c r="CH657" s="141"/>
      <c r="CI657" s="141"/>
      <c r="CJ657" s="141"/>
      <c r="CK657" s="141"/>
      <c r="CL657" s="141"/>
    </row>
    <row r="658" spans="74:90" ht="49.5" customHeight="1" x14ac:dyDescent="0.35">
      <c r="BV658" s="140"/>
      <c r="BY658" s="141"/>
      <c r="BZ658" s="141"/>
      <c r="CA658" s="141"/>
      <c r="CB658" s="141"/>
      <c r="CC658" s="141"/>
      <c r="CD658" s="141"/>
      <c r="CE658" s="141"/>
      <c r="CF658" s="141"/>
      <c r="CG658" s="141"/>
      <c r="CH658" s="141"/>
      <c r="CI658" s="141"/>
      <c r="CJ658" s="141"/>
      <c r="CK658" s="141"/>
      <c r="CL658" s="141"/>
    </row>
    <row r="659" spans="74:90" ht="49.5" customHeight="1" x14ac:dyDescent="0.35">
      <c r="BV659" s="140"/>
      <c r="BY659" s="141"/>
      <c r="BZ659" s="141"/>
      <c r="CA659" s="141"/>
      <c r="CB659" s="141"/>
      <c r="CC659" s="141"/>
      <c r="CD659" s="141"/>
      <c r="CE659" s="141"/>
      <c r="CF659" s="141"/>
      <c r="CG659" s="141"/>
      <c r="CH659" s="141"/>
      <c r="CI659" s="141"/>
      <c r="CJ659" s="141"/>
      <c r="CK659" s="141"/>
      <c r="CL659" s="141"/>
    </row>
    <row r="660" spans="74:90" ht="49.5" customHeight="1" x14ac:dyDescent="0.35">
      <c r="BV660" s="140"/>
      <c r="BY660" s="141"/>
      <c r="BZ660" s="141"/>
      <c r="CA660" s="141"/>
      <c r="CB660" s="141"/>
      <c r="CC660" s="141"/>
      <c r="CD660" s="141"/>
      <c r="CE660" s="141"/>
      <c r="CF660" s="141"/>
      <c r="CG660" s="141"/>
      <c r="CH660" s="141"/>
      <c r="CI660" s="141"/>
      <c r="CJ660" s="141"/>
      <c r="CK660" s="141"/>
      <c r="CL660" s="141"/>
    </row>
    <row r="661" spans="74:90" ht="49.5" customHeight="1" x14ac:dyDescent="0.35">
      <c r="BV661" s="140"/>
      <c r="BY661" s="141"/>
      <c r="BZ661" s="141"/>
      <c r="CA661" s="141"/>
      <c r="CB661" s="141"/>
      <c r="CC661" s="141"/>
      <c r="CD661" s="141"/>
      <c r="CE661" s="141"/>
      <c r="CF661" s="141"/>
      <c r="CG661" s="141"/>
      <c r="CH661" s="141"/>
      <c r="CI661" s="141"/>
      <c r="CJ661" s="141"/>
      <c r="CK661" s="141"/>
      <c r="CL661" s="141"/>
    </row>
    <row r="662" spans="74:90" ht="49.5" customHeight="1" x14ac:dyDescent="0.35">
      <c r="BV662" s="140"/>
      <c r="BY662" s="141"/>
      <c r="BZ662" s="141"/>
      <c r="CA662" s="141"/>
      <c r="CB662" s="141"/>
      <c r="CC662" s="141"/>
      <c r="CD662" s="141"/>
      <c r="CE662" s="141"/>
      <c r="CF662" s="141"/>
      <c r="CG662" s="141"/>
      <c r="CH662" s="141"/>
      <c r="CI662" s="141"/>
      <c r="CJ662" s="141"/>
      <c r="CK662" s="141"/>
      <c r="CL662" s="141"/>
    </row>
    <row r="663" spans="74:90" ht="49.5" customHeight="1" x14ac:dyDescent="0.35">
      <c r="BV663" s="140"/>
      <c r="BY663" s="141"/>
      <c r="BZ663" s="141"/>
      <c r="CA663" s="141"/>
      <c r="CB663" s="141"/>
      <c r="CC663" s="141"/>
      <c r="CD663" s="141"/>
      <c r="CE663" s="141"/>
      <c r="CF663" s="141"/>
      <c r="CG663" s="141"/>
      <c r="CH663" s="141"/>
      <c r="CI663" s="141"/>
      <c r="CJ663" s="141"/>
      <c r="CK663" s="141"/>
      <c r="CL663" s="141"/>
    </row>
    <row r="664" spans="74:90" ht="49.5" customHeight="1" x14ac:dyDescent="0.35">
      <c r="BV664" s="140"/>
      <c r="BY664" s="141"/>
      <c r="BZ664" s="141"/>
      <c r="CA664" s="141"/>
      <c r="CB664" s="141"/>
      <c r="CC664" s="141"/>
      <c r="CD664" s="141"/>
      <c r="CE664" s="141"/>
      <c r="CF664" s="141"/>
      <c r="CG664" s="141"/>
      <c r="CH664" s="141"/>
      <c r="CI664" s="141"/>
      <c r="CJ664" s="141"/>
      <c r="CK664" s="141"/>
      <c r="CL664" s="141"/>
    </row>
    <row r="665" spans="74:90" ht="49.5" customHeight="1" x14ac:dyDescent="0.35">
      <c r="BV665" s="140"/>
      <c r="BY665" s="141"/>
      <c r="BZ665" s="141"/>
      <c r="CA665" s="141"/>
      <c r="CB665" s="141"/>
      <c r="CC665" s="141"/>
      <c r="CD665" s="141"/>
      <c r="CE665" s="141"/>
      <c r="CF665" s="141"/>
      <c r="CG665" s="141"/>
      <c r="CH665" s="141"/>
      <c r="CI665" s="141"/>
      <c r="CJ665" s="141"/>
      <c r="CK665" s="141"/>
      <c r="CL665" s="141"/>
    </row>
    <row r="666" spans="74:90" ht="49.5" customHeight="1" x14ac:dyDescent="0.35">
      <c r="BV666" s="140"/>
      <c r="BY666" s="141"/>
      <c r="BZ666" s="141"/>
      <c r="CA666" s="141"/>
      <c r="CB666" s="141"/>
      <c r="CC666" s="141"/>
      <c r="CD666" s="141"/>
      <c r="CE666" s="141"/>
      <c r="CF666" s="141"/>
      <c r="CG666" s="141"/>
      <c r="CH666" s="141"/>
      <c r="CI666" s="141"/>
      <c r="CJ666" s="141"/>
      <c r="CK666" s="141"/>
      <c r="CL666" s="141"/>
    </row>
    <row r="667" spans="74:90" ht="49.5" customHeight="1" x14ac:dyDescent="0.35">
      <c r="BV667" s="140"/>
      <c r="BY667" s="141"/>
      <c r="BZ667" s="141"/>
      <c r="CA667" s="141"/>
      <c r="CB667" s="141"/>
      <c r="CC667" s="141"/>
      <c r="CD667" s="141"/>
      <c r="CE667" s="141"/>
      <c r="CF667" s="141"/>
      <c r="CG667" s="141"/>
      <c r="CH667" s="141"/>
      <c r="CI667" s="141"/>
      <c r="CJ667" s="141"/>
      <c r="CK667" s="141"/>
      <c r="CL667" s="141"/>
    </row>
    <row r="668" spans="74:90" ht="49.5" customHeight="1" x14ac:dyDescent="0.35">
      <c r="BV668" s="140"/>
      <c r="BY668" s="141"/>
      <c r="BZ668" s="141"/>
      <c r="CA668" s="141"/>
      <c r="CB668" s="141"/>
      <c r="CC668" s="141"/>
      <c r="CD668" s="141"/>
      <c r="CE668" s="141"/>
      <c r="CF668" s="141"/>
      <c r="CG668" s="141"/>
      <c r="CH668" s="141"/>
      <c r="CI668" s="141"/>
      <c r="CJ668" s="141"/>
      <c r="CK668" s="141"/>
      <c r="CL668" s="141"/>
    </row>
    <row r="669" spans="74:90" ht="49.5" customHeight="1" x14ac:dyDescent="0.35">
      <c r="BV669" s="140"/>
      <c r="BY669" s="141"/>
      <c r="BZ669" s="141"/>
      <c r="CA669" s="141"/>
      <c r="CB669" s="141"/>
      <c r="CC669" s="141"/>
      <c r="CD669" s="141"/>
      <c r="CE669" s="141"/>
      <c r="CF669" s="141"/>
      <c r="CG669" s="141"/>
      <c r="CH669" s="141"/>
      <c r="CI669" s="141"/>
      <c r="CJ669" s="141"/>
      <c r="CK669" s="141"/>
      <c r="CL669" s="141"/>
    </row>
    <row r="670" spans="74:90" ht="49.5" customHeight="1" x14ac:dyDescent="0.35">
      <c r="BV670" s="140"/>
      <c r="BY670" s="141"/>
      <c r="BZ670" s="141"/>
      <c r="CA670" s="141"/>
      <c r="CB670" s="141"/>
      <c r="CC670" s="141"/>
      <c r="CD670" s="141"/>
      <c r="CE670" s="141"/>
      <c r="CF670" s="141"/>
      <c r="CG670" s="141"/>
      <c r="CH670" s="141"/>
      <c r="CI670" s="141"/>
      <c r="CJ670" s="141"/>
      <c r="CK670" s="141"/>
      <c r="CL670" s="141"/>
    </row>
    <row r="671" spans="74:90" ht="49.5" customHeight="1" x14ac:dyDescent="0.35">
      <c r="BV671" s="140"/>
      <c r="BY671" s="141"/>
      <c r="BZ671" s="141"/>
      <c r="CA671" s="141"/>
      <c r="CB671" s="141"/>
      <c r="CC671" s="141"/>
      <c r="CD671" s="141"/>
      <c r="CE671" s="141"/>
      <c r="CF671" s="141"/>
      <c r="CG671" s="141"/>
      <c r="CH671" s="141"/>
      <c r="CI671" s="141"/>
      <c r="CJ671" s="141"/>
      <c r="CK671" s="141"/>
      <c r="CL671" s="141"/>
    </row>
    <row r="672" spans="74:90" ht="49.5" customHeight="1" x14ac:dyDescent="0.35">
      <c r="BV672" s="140"/>
      <c r="BY672" s="141"/>
      <c r="BZ672" s="141"/>
      <c r="CA672" s="141"/>
      <c r="CB672" s="141"/>
      <c r="CC672" s="141"/>
      <c r="CD672" s="141"/>
      <c r="CE672" s="141"/>
      <c r="CF672" s="141"/>
      <c r="CG672" s="141"/>
      <c r="CH672" s="141"/>
      <c r="CI672" s="141"/>
      <c r="CJ672" s="141"/>
      <c r="CK672" s="141"/>
      <c r="CL672" s="141"/>
    </row>
    <row r="673" spans="74:90" ht="49.5" customHeight="1" x14ac:dyDescent="0.35">
      <c r="BV673" s="140"/>
      <c r="BY673" s="141"/>
      <c r="BZ673" s="141"/>
      <c r="CA673" s="141"/>
      <c r="CB673" s="141"/>
      <c r="CC673" s="141"/>
      <c r="CD673" s="141"/>
      <c r="CE673" s="141"/>
      <c r="CF673" s="141"/>
      <c r="CG673" s="141"/>
      <c r="CH673" s="141"/>
      <c r="CI673" s="141"/>
      <c r="CJ673" s="141"/>
      <c r="CK673" s="141"/>
      <c r="CL673" s="141"/>
    </row>
    <row r="674" spans="74:90" ht="49.5" customHeight="1" x14ac:dyDescent="0.35">
      <c r="BV674" s="140"/>
      <c r="BY674" s="141"/>
      <c r="BZ674" s="141"/>
      <c r="CA674" s="141"/>
      <c r="CB674" s="141"/>
      <c r="CC674" s="141"/>
      <c r="CD674" s="141"/>
      <c r="CE674" s="141"/>
      <c r="CF674" s="141"/>
      <c r="CG674" s="141"/>
      <c r="CH674" s="141"/>
      <c r="CI674" s="141"/>
      <c r="CJ674" s="141"/>
      <c r="CK674" s="141"/>
      <c r="CL674" s="141"/>
    </row>
    <row r="675" spans="74:90" ht="49.5" customHeight="1" x14ac:dyDescent="0.35">
      <c r="BV675" s="140"/>
      <c r="BY675" s="141"/>
      <c r="BZ675" s="141"/>
      <c r="CA675" s="141"/>
      <c r="CB675" s="141"/>
      <c r="CC675" s="141"/>
      <c r="CD675" s="141"/>
      <c r="CE675" s="141"/>
      <c r="CF675" s="141"/>
      <c r="CG675" s="141"/>
      <c r="CH675" s="141"/>
      <c r="CI675" s="141"/>
      <c r="CJ675" s="141"/>
      <c r="CK675" s="141"/>
      <c r="CL675" s="141"/>
    </row>
    <row r="676" spans="74:90" ht="49.5" customHeight="1" x14ac:dyDescent="0.35">
      <c r="BV676" s="140"/>
      <c r="BY676" s="141"/>
      <c r="BZ676" s="141"/>
      <c r="CA676" s="141"/>
      <c r="CB676" s="141"/>
      <c r="CC676" s="141"/>
      <c r="CD676" s="141"/>
      <c r="CE676" s="141"/>
      <c r="CF676" s="141"/>
      <c r="CG676" s="141"/>
      <c r="CH676" s="141"/>
      <c r="CI676" s="141"/>
      <c r="CJ676" s="141"/>
      <c r="CK676" s="141"/>
      <c r="CL676" s="141"/>
    </row>
    <row r="677" spans="74:90" ht="49.5" customHeight="1" x14ac:dyDescent="0.35">
      <c r="BV677" s="140"/>
      <c r="BY677" s="141"/>
      <c r="BZ677" s="141"/>
      <c r="CA677" s="141"/>
      <c r="CB677" s="141"/>
      <c r="CC677" s="141"/>
      <c r="CD677" s="141"/>
      <c r="CE677" s="141"/>
      <c r="CF677" s="141"/>
      <c r="CG677" s="141"/>
      <c r="CH677" s="141"/>
      <c r="CI677" s="141"/>
      <c r="CJ677" s="141"/>
      <c r="CK677" s="141"/>
      <c r="CL677" s="141"/>
    </row>
    <row r="678" spans="74:90" ht="49.5" customHeight="1" x14ac:dyDescent="0.35">
      <c r="BV678" s="140"/>
      <c r="BY678" s="141"/>
      <c r="BZ678" s="141"/>
      <c r="CA678" s="141"/>
      <c r="CB678" s="141"/>
      <c r="CC678" s="141"/>
      <c r="CD678" s="141"/>
      <c r="CE678" s="141"/>
      <c r="CF678" s="141"/>
      <c r="CG678" s="141"/>
      <c r="CH678" s="141"/>
      <c r="CI678" s="141"/>
      <c r="CJ678" s="141"/>
      <c r="CK678" s="141"/>
      <c r="CL678" s="141"/>
    </row>
    <row r="679" spans="74:90" ht="49.5" customHeight="1" x14ac:dyDescent="0.35">
      <c r="BV679" s="140"/>
      <c r="BY679" s="141"/>
      <c r="BZ679" s="141"/>
      <c r="CA679" s="141"/>
      <c r="CB679" s="141"/>
      <c r="CC679" s="141"/>
      <c r="CD679" s="141"/>
      <c r="CE679" s="141"/>
      <c r="CF679" s="141"/>
      <c r="CG679" s="141"/>
      <c r="CH679" s="141"/>
      <c r="CI679" s="141"/>
      <c r="CJ679" s="141"/>
      <c r="CK679" s="141"/>
      <c r="CL679" s="141"/>
    </row>
    <row r="680" spans="74:90" ht="49.5" customHeight="1" x14ac:dyDescent="0.35">
      <c r="BV680" s="140"/>
      <c r="BY680" s="141"/>
      <c r="BZ680" s="141"/>
      <c r="CA680" s="141"/>
      <c r="CB680" s="141"/>
      <c r="CC680" s="141"/>
      <c r="CD680" s="141"/>
      <c r="CE680" s="141"/>
      <c r="CF680" s="141"/>
      <c r="CG680" s="141"/>
      <c r="CH680" s="141"/>
      <c r="CI680" s="141"/>
      <c r="CJ680" s="141"/>
      <c r="CK680" s="141"/>
      <c r="CL680" s="141"/>
    </row>
    <row r="681" spans="74:90" ht="49.5" customHeight="1" x14ac:dyDescent="0.35">
      <c r="BV681" s="140"/>
      <c r="BY681" s="141"/>
      <c r="BZ681" s="141"/>
      <c r="CA681" s="141"/>
      <c r="CB681" s="141"/>
      <c r="CC681" s="141"/>
      <c r="CD681" s="141"/>
      <c r="CE681" s="141"/>
      <c r="CF681" s="141"/>
      <c r="CG681" s="141"/>
      <c r="CH681" s="141"/>
      <c r="CI681" s="141"/>
      <c r="CJ681" s="141"/>
      <c r="CK681" s="141"/>
      <c r="CL681" s="141"/>
    </row>
    <row r="682" spans="74:90" ht="49.5" customHeight="1" x14ac:dyDescent="0.35">
      <c r="BV682" s="140"/>
      <c r="BY682" s="141"/>
      <c r="BZ682" s="141"/>
      <c r="CA682" s="141"/>
      <c r="CB682" s="141"/>
      <c r="CC682" s="141"/>
      <c r="CD682" s="141"/>
      <c r="CE682" s="141"/>
      <c r="CF682" s="141"/>
      <c r="CG682" s="141"/>
      <c r="CH682" s="141"/>
      <c r="CI682" s="141"/>
      <c r="CJ682" s="141"/>
      <c r="CK682" s="141"/>
      <c r="CL682" s="141"/>
    </row>
    <row r="683" spans="74:90" ht="49.5" customHeight="1" x14ac:dyDescent="0.35">
      <c r="BV683" s="140"/>
      <c r="BY683" s="141"/>
      <c r="BZ683" s="141"/>
      <c r="CA683" s="141"/>
      <c r="CB683" s="141"/>
      <c r="CC683" s="141"/>
      <c r="CD683" s="141"/>
      <c r="CE683" s="141"/>
      <c r="CF683" s="141"/>
      <c r="CG683" s="141"/>
      <c r="CH683" s="141"/>
      <c r="CI683" s="141"/>
      <c r="CJ683" s="141"/>
      <c r="CK683" s="141"/>
      <c r="CL683" s="141"/>
    </row>
    <row r="684" spans="74:90" ht="49.5" customHeight="1" x14ac:dyDescent="0.35">
      <c r="BV684" s="140"/>
      <c r="BY684" s="141"/>
      <c r="BZ684" s="141"/>
      <c r="CA684" s="141"/>
      <c r="CB684" s="141"/>
      <c r="CC684" s="141"/>
      <c r="CD684" s="141"/>
      <c r="CE684" s="141"/>
      <c r="CF684" s="141"/>
      <c r="CG684" s="141"/>
      <c r="CH684" s="141"/>
      <c r="CI684" s="141"/>
      <c r="CJ684" s="141"/>
      <c r="CK684" s="141"/>
      <c r="CL684" s="141"/>
    </row>
    <row r="685" spans="74:90" ht="49.5" customHeight="1" x14ac:dyDescent="0.35">
      <c r="BV685" s="140"/>
      <c r="BY685" s="141"/>
      <c r="BZ685" s="141"/>
      <c r="CA685" s="141"/>
      <c r="CB685" s="141"/>
      <c r="CC685" s="141"/>
      <c r="CD685" s="141"/>
      <c r="CE685" s="141"/>
      <c r="CF685" s="141"/>
      <c r="CG685" s="141"/>
      <c r="CH685" s="141"/>
      <c r="CI685" s="141"/>
      <c r="CJ685" s="141"/>
      <c r="CK685" s="141"/>
      <c r="CL685" s="141"/>
    </row>
    <row r="686" spans="74:90" ht="49.5" customHeight="1" x14ac:dyDescent="0.35">
      <c r="BV686" s="140"/>
      <c r="BY686" s="141"/>
      <c r="BZ686" s="141"/>
      <c r="CA686" s="141"/>
      <c r="CB686" s="141"/>
      <c r="CC686" s="141"/>
      <c r="CD686" s="141"/>
      <c r="CE686" s="141"/>
      <c r="CF686" s="141"/>
      <c r="CG686" s="141"/>
      <c r="CH686" s="141"/>
      <c r="CI686" s="141"/>
      <c r="CJ686" s="141"/>
      <c r="CK686" s="141"/>
      <c r="CL686" s="141"/>
    </row>
    <row r="687" spans="74:90" ht="49.5" customHeight="1" x14ac:dyDescent="0.35">
      <c r="BV687" s="140"/>
      <c r="BY687" s="141"/>
      <c r="BZ687" s="141"/>
      <c r="CA687" s="141"/>
      <c r="CB687" s="141"/>
      <c r="CC687" s="141"/>
      <c r="CD687" s="141"/>
      <c r="CE687" s="141"/>
      <c r="CF687" s="141"/>
      <c r="CG687" s="141"/>
      <c r="CH687" s="141"/>
      <c r="CI687" s="141"/>
      <c r="CJ687" s="141"/>
      <c r="CK687" s="141"/>
      <c r="CL687" s="141"/>
    </row>
    <row r="688" spans="74:90" ht="49.5" customHeight="1" x14ac:dyDescent="0.35">
      <c r="BV688" s="140"/>
      <c r="BY688" s="141"/>
      <c r="BZ688" s="141"/>
      <c r="CA688" s="141"/>
      <c r="CB688" s="141"/>
      <c r="CC688" s="141"/>
      <c r="CD688" s="141"/>
      <c r="CE688" s="141"/>
      <c r="CF688" s="141"/>
      <c r="CG688" s="141"/>
      <c r="CH688" s="141"/>
      <c r="CI688" s="141"/>
      <c r="CJ688" s="141"/>
      <c r="CK688" s="141"/>
      <c r="CL688" s="141"/>
    </row>
    <row r="689" spans="74:90" ht="49.5" customHeight="1" x14ac:dyDescent="0.35">
      <c r="BV689" s="140"/>
      <c r="BY689" s="141"/>
      <c r="BZ689" s="141"/>
      <c r="CA689" s="141"/>
      <c r="CB689" s="141"/>
      <c r="CC689" s="141"/>
      <c r="CD689" s="141"/>
      <c r="CE689" s="141"/>
      <c r="CF689" s="141"/>
      <c r="CG689" s="141"/>
      <c r="CH689" s="141"/>
      <c r="CI689" s="141"/>
      <c r="CJ689" s="141"/>
      <c r="CK689" s="141"/>
      <c r="CL689" s="141"/>
    </row>
    <row r="690" spans="74:90" ht="49.5" customHeight="1" x14ac:dyDescent="0.35">
      <c r="BV690" s="140"/>
      <c r="BY690" s="141"/>
      <c r="BZ690" s="141"/>
      <c r="CA690" s="141"/>
      <c r="CB690" s="141"/>
      <c r="CC690" s="141"/>
      <c r="CD690" s="141"/>
      <c r="CE690" s="141"/>
      <c r="CF690" s="141"/>
      <c r="CG690" s="141"/>
      <c r="CH690" s="141"/>
      <c r="CI690" s="141"/>
      <c r="CJ690" s="141"/>
      <c r="CK690" s="141"/>
      <c r="CL690" s="141"/>
    </row>
    <row r="691" spans="74:90" ht="49.5" customHeight="1" x14ac:dyDescent="0.35">
      <c r="BV691" s="140"/>
      <c r="BY691" s="141"/>
      <c r="BZ691" s="141"/>
      <c r="CA691" s="141"/>
      <c r="CB691" s="141"/>
      <c r="CC691" s="141"/>
      <c r="CD691" s="141"/>
      <c r="CE691" s="141"/>
      <c r="CF691" s="141"/>
      <c r="CG691" s="141"/>
      <c r="CH691" s="141"/>
      <c r="CI691" s="141"/>
      <c r="CJ691" s="141"/>
      <c r="CK691" s="141"/>
      <c r="CL691" s="141"/>
    </row>
    <row r="692" spans="74:90" ht="49.5" customHeight="1" x14ac:dyDescent="0.35">
      <c r="BV692" s="140"/>
      <c r="BY692" s="141"/>
      <c r="BZ692" s="141"/>
      <c r="CA692" s="141"/>
      <c r="CB692" s="141"/>
      <c r="CC692" s="141"/>
      <c r="CD692" s="141"/>
      <c r="CE692" s="141"/>
      <c r="CF692" s="141"/>
      <c r="CG692" s="141"/>
      <c r="CH692" s="141"/>
      <c r="CI692" s="141"/>
      <c r="CJ692" s="141"/>
      <c r="CK692" s="141"/>
      <c r="CL692" s="141"/>
    </row>
    <row r="693" spans="74:90" ht="49.5" customHeight="1" x14ac:dyDescent="0.35">
      <c r="BV693" s="140"/>
      <c r="BY693" s="141"/>
      <c r="BZ693" s="141"/>
      <c r="CA693" s="141"/>
      <c r="CB693" s="141"/>
      <c r="CC693" s="141"/>
      <c r="CD693" s="141"/>
      <c r="CE693" s="141"/>
      <c r="CF693" s="141"/>
      <c r="CG693" s="141"/>
      <c r="CH693" s="141"/>
      <c r="CI693" s="141"/>
      <c r="CJ693" s="141"/>
      <c r="CK693" s="141"/>
      <c r="CL693" s="141"/>
    </row>
    <row r="694" spans="74:90" ht="49.5" customHeight="1" x14ac:dyDescent="0.35">
      <c r="BV694" s="140"/>
      <c r="BY694" s="141"/>
      <c r="BZ694" s="141"/>
      <c r="CA694" s="141"/>
      <c r="CB694" s="141"/>
      <c r="CC694" s="141"/>
      <c r="CD694" s="141"/>
      <c r="CE694" s="141"/>
      <c r="CF694" s="141"/>
      <c r="CG694" s="141"/>
      <c r="CH694" s="141"/>
      <c r="CI694" s="141"/>
      <c r="CJ694" s="141"/>
      <c r="CK694" s="141"/>
      <c r="CL694" s="141"/>
    </row>
    <row r="695" spans="74:90" ht="49.5" customHeight="1" x14ac:dyDescent="0.35">
      <c r="BV695" s="140"/>
      <c r="BY695" s="141"/>
      <c r="BZ695" s="141"/>
      <c r="CA695" s="141"/>
      <c r="CB695" s="141"/>
      <c r="CC695" s="141"/>
      <c r="CD695" s="141"/>
      <c r="CE695" s="141"/>
      <c r="CF695" s="141"/>
      <c r="CG695" s="141"/>
      <c r="CH695" s="141"/>
      <c r="CI695" s="141"/>
      <c r="CJ695" s="141"/>
      <c r="CK695" s="141"/>
      <c r="CL695" s="141"/>
    </row>
    <row r="696" spans="74:90" ht="49.5" customHeight="1" x14ac:dyDescent="0.35">
      <c r="BV696" s="140"/>
      <c r="BY696" s="141"/>
      <c r="BZ696" s="141"/>
      <c r="CA696" s="141"/>
      <c r="CB696" s="141"/>
      <c r="CC696" s="141"/>
      <c r="CD696" s="141"/>
      <c r="CE696" s="141"/>
      <c r="CF696" s="141"/>
      <c r="CG696" s="141"/>
      <c r="CH696" s="141"/>
      <c r="CI696" s="141"/>
      <c r="CJ696" s="141"/>
      <c r="CK696" s="141"/>
      <c r="CL696" s="141"/>
    </row>
    <row r="697" spans="74:90" ht="49.5" customHeight="1" x14ac:dyDescent="0.35">
      <c r="BV697" s="140"/>
      <c r="BY697" s="141"/>
      <c r="BZ697" s="141"/>
      <c r="CA697" s="141"/>
      <c r="CB697" s="141"/>
      <c r="CC697" s="141"/>
      <c r="CD697" s="141"/>
      <c r="CE697" s="141"/>
      <c r="CF697" s="141"/>
      <c r="CG697" s="141"/>
      <c r="CH697" s="141"/>
      <c r="CI697" s="141"/>
      <c r="CJ697" s="141"/>
      <c r="CK697" s="141"/>
      <c r="CL697" s="141"/>
    </row>
    <row r="698" spans="74:90" ht="49.5" customHeight="1" x14ac:dyDescent="0.35">
      <c r="BV698" s="140"/>
      <c r="BY698" s="141"/>
      <c r="BZ698" s="141"/>
      <c r="CA698" s="141"/>
      <c r="CB698" s="141"/>
      <c r="CC698" s="141"/>
      <c r="CD698" s="141"/>
      <c r="CE698" s="141"/>
      <c r="CF698" s="141"/>
      <c r="CG698" s="141"/>
      <c r="CH698" s="141"/>
      <c r="CI698" s="141"/>
      <c r="CJ698" s="141"/>
      <c r="CK698" s="141"/>
      <c r="CL698" s="141"/>
    </row>
    <row r="699" spans="74:90" ht="49.5" customHeight="1" x14ac:dyDescent="0.35">
      <c r="BV699" s="140"/>
      <c r="BY699" s="141"/>
      <c r="BZ699" s="141"/>
      <c r="CA699" s="141"/>
      <c r="CB699" s="141"/>
      <c r="CC699" s="141"/>
      <c r="CD699" s="141"/>
      <c r="CE699" s="141"/>
      <c r="CF699" s="141"/>
      <c r="CG699" s="141"/>
      <c r="CH699" s="141"/>
      <c r="CI699" s="141"/>
      <c r="CJ699" s="141"/>
      <c r="CK699" s="141"/>
      <c r="CL699" s="141"/>
    </row>
    <row r="700" spans="74:90" ht="49.5" customHeight="1" x14ac:dyDescent="0.35">
      <c r="BV700" s="140"/>
      <c r="BY700" s="141"/>
      <c r="BZ700" s="141"/>
      <c r="CA700" s="141"/>
      <c r="CB700" s="141"/>
      <c r="CC700" s="141"/>
      <c r="CD700" s="141"/>
      <c r="CE700" s="141"/>
      <c r="CF700" s="141"/>
      <c r="CG700" s="141"/>
      <c r="CH700" s="141"/>
      <c r="CI700" s="141"/>
      <c r="CJ700" s="141"/>
      <c r="CK700" s="141"/>
      <c r="CL700" s="141"/>
    </row>
    <row r="701" spans="74:90" ht="49.5" customHeight="1" x14ac:dyDescent="0.35">
      <c r="BV701" s="140"/>
      <c r="BY701" s="141"/>
      <c r="BZ701" s="141"/>
      <c r="CA701" s="141"/>
      <c r="CB701" s="141"/>
      <c r="CC701" s="141"/>
      <c r="CD701" s="141"/>
      <c r="CE701" s="141"/>
      <c r="CF701" s="141"/>
      <c r="CG701" s="141"/>
      <c r="CH701" s="141"/>
      <c r="CI701" s="141"/>
      <c r="CJ701" s="141"/>
      <c r="CK701" s="141"/>
      <c r="CL701" s="141"/>
    </row>
    <row r="702" spans="74:90" ht="49.5" customHeight="1" x14ac:dyDescent="0.35">
      <c r="BV702" s="140"/>
      <c r="BY702" s="141"/>
      <c r="BZ702" s="141"/>
      <c r="CA702" s="141"/>
      <c r="CB702" s="141"/>
      <c r="CC702" s="141"/>
      <c r="CD702" s="141"/>
      <c r="CE702" s="141"/>
      <c r="CF702" s="141"/>
      <c r="CG702" s="141"/>
      <c r="CH702" s="141"/>
      <c r="CI702" s="141"/>
      <c r="CJ702" s="141"/>
      <c r="CK702" s="141"/>
      <c r="CL702" s="141"/>
    </row>
    <row r="703" spans="74:90" ht="49.5" customHeight="1" x14ac:dyDescent="0.35">
      <c r="BV703" s="140"/>
      <c r="BY703" s="141"/>
      <c r="BZ703" s="141"/>
      <c r="CA703" s="141"/>
      <c r="CB703" s="141"/>
      <c r="CC703" s="141"/>
      <c r="CD703" s="141"/>
      <c r="CE703" s="141"/>
      <c r="CF703" s="141"/>
      <c r="CG703" s="141"/>
      <c r="CH703" s="141"/>
      <c r="CI703" s="141"/>
      <c r="CJ703" s="141"/>
      <c r="CK703" s="141"/>
      <c r="CL703" s="141"/>
    </row>
    <row r="704" spans="74:90" ht="49.5" customHeight="1" x14ac:dyDescent="0.35">
      <c r="BV704" s="140"/>
      <c r="BY704" s="141"/>
      <c r="BZ704" s="141"/>
      <c r="CA704" s="141"/>
      <c r="CB704" s="141"/>
      <c r="CC704" s="141"/>
      <c r="CD704" s="141"/>
      <c r="CE704" s="141"/>
      <c r="CF704" s="141"/>
      <c r="CG704" s="141"/>
      <c r="CH704" s="141"/>
      <c r="CI704" s="141"/>
      <c r="CJ704" s="141"/>
      <c r="CK704" s="141"/>
      <c r="CL704" s="141"/>
    </row>
    <row r="705" spans="74:90" ht="49.5" customHeight="1" x14ac:dyDescent="0.35">
      <c r="BV705" s="140"/>
      <c r="BY705" s="141"/>
      <c r="BZ705" s="141"/>
      <c r="CA705" s="141"/>
      <c r="CB705" s="141"/>
      <c r="CC705" s="141"/>
      <c r="CD705" s="141"/>
      <c r="CE705" s="141"/>
      <c r="CF705" s="141"/>
      <c r="CG705" s="141"/>
      <c r="CH705" s="141"/>
      <c r="CI705" s="141"/>
      <c r="CJ705" s="141"/>
      <c r="CK705" s="141"/>
      <c r="CL705" s="141"/>
    </row>
    <row r="706" spans="74:90" ht="49.5" customHeight="1" x14ac:dyDescent="0.35">
      <c r="BV706" s="140"/>
      <c r="BY706" s="141"/>
      <c r="BZ706" s="141"/>
      <c r="CA706" s="141"/>
      <c r="CB706" s="141"/>
      <c r="CC706" s="141"/>
      <c r="CD706" s="141"/>
      <c r="CE706" s="141"/>
      <c r="CF706" s="141"/>
      <c r="CG706" s="141"/>
      <c r="CH706" s="141"/>
      <c r="CI706" s="141"/>
      <c r="CJ706" s="141"/>
      <c r="CK706" s="141"/>
      <c r="CL706" s="141"/>
    </row>
    <row r="707" spans="74:90" ht="49.5" customHeight="1" x14ac:dyDescent="0.35">
      <c r="BV707" s="140"/>
      <c r="BY707" s="141"/>
      <c r="BZ707" s="141"/>
      <c r="CA707" s="141"/>
      <c r="CB707" s="141"/>
      <c r="CC707" s="141"/>
      <c r="CD707" s="141"/>
      <c r="CE707" s="141"/>
      <c r="CF707" s="141"/>
      <c r="CG707" s="141"/>
      <c r="CH707" s="141"/>
      <c r="CI707" s="141"/>
      <c r="CJ707" s="141"/>
      <c r="CK707" s="141"/>
      <c r="CL707" s="141"/>
    </row>
    <row r="708" spans="74:90" ht="49.5" customHeight="1" x14ac:dyDescent="0.35">
      <c r="BV708" s="140"/>
      <c r="BY708" s="141"/>
      <c r="BZ708" s="141"/>
      <c r="CA708" s="141"/>
      <c r="CB708" s="141"/>
      <c r="CC708" s="141"/>
      <c r="CD708" s="141"/>
      <c r="CE708" s="141"/>
      <c r="CF708" s="141"/>
      <c r="CG708" s="141"/>
      <c r="CH708" s="141"/>
      <c r="CI708" s="141"/>
      <c r="CJ708" s="141"/>
      <c r="CK708" s="141"/>
      <c r="CL708" s="141"/>
    </row>
    <row r="709" spans="74:90" ht="49.5" customHeight="1" x14ac:dyDescent="0.35">
      <c r="BV709" s="140"/>
      <c r="BY709" s="141"/>
      <c r="BZ709" s="141"/>
      <c r="CA709" s="141"/>
      <c r="CB709" s="141"/>
      <c r="CC709" s="141"/>
      <c r="CD709" s="141"/>
      <c r="CE709" s="141"/>
      <c r="CF709" s="141"/>
      <c r="CG709" s="141"/>
      <c r="CH709" s="141"/>
      <c r="CI709" s="141"/>
      <c r="CJ709" s="141"/>
      <c r="CK709" s="141"/>
      <c r="CL709" s="141"/>
    </row>
    <row r="710" spans="74:90" ht="49.5" customHeight="1" x14ac:dyDescent="0.35">
      <c r="BV710" s="140"/>
      <c r="BY710" s="141"/>
      <c r="BZ710" s="141"/>
      <c r="CA710" s="141"/>
      <c r="CB710" s="141"/>
      <c r="CC710" s="141"/>
      <c r="CD710" s="141"/>
      <c r="CE710" s="141"/>
      <c r="CF710" s="141"/>
      <c r="CG710" s="141"/>
      <c r="CH710" s="141"/>
      <c r="CI710" s="141"/>
      <c r="CJ710" s="141"/>
      <c r="CK710" s="141"/>
      <c r="CL710" s="141"/>
    </row>
    <row r="711" spans="74:90" ht="49.5" customHeight="1" x14ac:dyDescent="0.35">
      <c r="BV711" s="140"/>
      <c r="BY711" s="141"/>
      <c r="BZ711" s="141"/>
      <c r="CA711" s="141"/>
      <c r="CB711" s="141"/>
      <c r="CC711" s="141"/>
      <c r="CD711" s="141"/>
      <c r="CE711" s="141"/>
      <c r="CF711" s="141"/>
      <c r="CG711" s="141"/>
      <c r="CH711" s="141"/>
      <c r="CI711" s="141"/>
      <c r="CJ711" s="141"/>
      <c r="CK711" s="141"/>
      <c r="CL711" s="141"/>
    </row>
    <row r="712" spans="74:90" ht="49.5" customHeight="1" x14ac:dyDescent="0.35">
      <c r="BV712" s="140"/>
      <c r="BY712" s="141"/>
      <c r="BZ712" s="141"/>
      <c r="CA712" s="141"/>
      <c r="CB712" s="141"/>
      <c r="CC712" s="141"/>
      <c r="CD712" s="141"/>
      <c r="CE712" s="141"/>
      <c r="CF712" s="141"/>
      <c r="CG712" s="141"/>
      <c r="CH712" s="141"/>
      <c r="CI712" s="141"/>
      <c r="CJ712" s="141"/>
      <c r="CK712" s="141"/>
      <c r="CL712" s="141"/>
    </row>
    <row r="713" spans="74:90" ht="49.5" customHeight="1" x14ac:dyDescent="0.35">
      <c r="BV713" s="140"/>
      <c r="BY713" s="141"/>
      <c r="BZ713" s="141"/>
      <c r="CA713" s="141"/>
      <c r="CB713" s="141"/>
      <c r="CC713" s="141"/>
      <c r="CD713" s="141"/>
      <c r="CE713" s="141"/>
      <c r="CF713" s="141"/>
      <c r="CG713" s="141"/>
      <c r="CH713" s="141"/>
      <c r="CI713" s="141"/>
      <c r="CJ713" s="141"/>
      <c r="CK713" s="141"/>
      <c r="CL713" s="141"/>
    </row>
    <row r="714" spans="74:90" ht="49.5" customHeight="1" x14ac:dyDescent="0.35">
      <c r="BV714" s="140"/>
      <c r="BY714" s="141"/>
      <c r="BZ714" s="141"/>
      <c r="CA714" s="141"/>
      <c r="CB714" s="141"/>
      <c r="CC714" s="141"/>
      <c r="CD714" s="141"/>
      <c r="CE714" s="141"/>
      <c r="CF714" s="141"/>
      <c r="CG714" s="141"/>
      <c r="CH714" s="141"/>
      <c r="CI714" s="141"/>
      <c r="CJ714" s="141"/>
      <c r="CK714" s="141"/>
      <c r="CL714" s="141"/>
    </row>
    <row r="715" spans="74:90" ht="49.5" customHeight="1" x14ac:dyDescent="0.35">
      <c r="BV715" s="140"/>
      <c r="BY715" s="141"/>
      <c r="BZ715" s="141"/>
      <c r="CA715" s="141"/>
      <c r="CB715" s="141"/>
      <c r="CC715" s="141"/>
      <c r="CD715" s="141"/>
      <c r="CE715" s="141"/>
      <c r="CF715" s="141"/>
      <c r="CG715" s="141"/>
      <c r="CH715" s="141"/>
      <c r="CI715" s="141"/>
      <c r="CJ715" s="141"/>
      <c r="CK715" s="141"/>
      <c r="CL715" s="141"/>
    </row>
    <row r="716" spans="74:90" ht="49.5" customHeight="1" x14ac:dyDescent="0.35">
      <c r="BV716" s="140"/>
      <c r="BY716" s="141"/>
      <c r="BZ716" s="141"/>
      <c r="CA716" s="141"/>
      <c r="CB716" s="141"/>
      <c r="CC716" s="141"/>
      <c r="CD716" s="141"/>
      <c r="CE716" s="141"/>
      <c r="CF716" s="141"/>
      <c r="CG716" s="141"/>
      <c r="CH716" s="141"/>
      <c r="CI716" s="141"/>
      <c r="CJ716" s="141"/>
      <c r="CK716" s="141"/>
      <c r="CL716" s="141"/>
    </row>
    <row r="717" spans="74:90" ht="49.5" customHeight="1" x14ac:dyDescent="0.35">
      <c r="BV717" s="140"/>
      <c r="BY717" s="141"/>
      <c r="BZ717" s="141"/>
      <c r="CA717" s="141"/>
      <c r="CB717" s="141"/>
      <c r="CC717" s="141"/>
      <c r="CD717" s="141"/>
      <c r="CE717" s="141"/>
      <c r="CF717" s="141"/>
      <c r="CG717" s="141"/>
      <c r="CH717" s="141"/>
      <c r="CI717" s="141"/>
      <c r="CJ717" s="141"/>
      <c r="CK717" s="141"/>
      <c r="CL717" s="141"/>
    </row>
    <row r="718" spans="74:90" ht="49.5" customHeight="1" x14ac:dyDescent="0.35">
      <c r="BV718" s="140"/>
      <c r="BY718" s="141"/>
      <c r="BZ718" s="141"/>
      <c r="CA718" s="141"/>
      <c r="CB718" s="141"/>
      <c r="CC718" s="141"/>
      <c r="CD718" s="141"/>
      <c r="CE718" s="141"/>
      <c r="CF718" s="141"/>
      <c r="CG718" s="141"/>
      <c r="CH718" s="141"/>
      <c r="CI718" s="141"/>
      <c r="CJ718" s="141"/>
      <c r="CK718" s="141"/>
      <c r="CL718" s="141"/>
    </row>
    <row r="719" spans="74:90" ht="49.5" customHeight="1" x14ac:dyDescent="0.35">
      <c r="BV719" s="140"/>
      <c r="BY719" s="141"/>
      <c r="BZ719" s="141"/>
      <c r="CA719" s="141"/>
      <c r="CB719" s="141"/>
      <c r="CC719" s="141"/>
      <c r="CD719" s="141"/>
      <c r="CE719" s="141"/>
      <c r="CF719" s="141"/>
      <c r="CG719" s="141"/>
      <c r="CH719" s="141"/>
      <c r="CI719" s="141"/>
      <c r="CJ719" s="141"/>
      <c r="CK719" s="141"/>
      <c r="CL719" s="141"/>
    </row>
    <row r="720" spans="74:90" ht="49.5" customHeight="1" x14ac:dyDescent="0.35">
      <c r="BV720" s="140"/>
      <c r="BY720" s="141"/>
      <c r="BZ720" s="141"/>
      <c r="CA720" s="141"/>
      <c r="CB720" s="141"/>
      <c r="CC720" s="141"/>
      <c r="CD720" s="141"/>
      <c r="CE720" s="141"/>
      <c r="CF720" s="141"/>
      <c r="CG720" s="141"/>
      <c r="CH720" s="141"/>
      <c r="CI720" s="141"/>
      <c r="CJ720" s="141"/>
      <c r="CK720" s="141"/>
      <c r="CL720" s="141"/>
    </row>
    <row r="721" spans="74:90" ht="49.5" customHeight="1" x14ac:dyDescent="0.35">
      <c r="BV721" s="140"/>
      <c r="BY721" s="141"/>
      <c r="BZ721" s="141"/>
      <c r="CA721" s="141"/>
      <c r="CB721" s="141"/>
      <c r="CC721" s="141"/>
      <c r="CD721" s="141"/>
      <c r="CE721" s="141"/>
      <c r="CF721" s="141"/>
      <c r="CG721" s="141"/>
      <c r="CH721" s="141"/>
      <c r="CI721" s="141"/>
      <c r="CJ721" s="141"/>
      <c r="CK721" s="141"/>
      <c r="CL721" s="141"/>
    </row>
    <row r="722" spans="74:90" ht="49.5" customHeight="1" x14ac:dyDescent="0.35">
      <c r="BV722" s="140"/>
      <c r="BY722" s="141"/>
      <c r="BZ722" s="141"/>
      <c r="CA722" s="141"/>
      <c r="CB722" s="141"/>
      <c r="CC722" s="141"/>
      <c r="CD722" s="141"/>
      <c r="CE722" s="141"/>
      <c r="CF722" s="141"/>
      <c r="CG722" s="141"/>
      <c r="CH722" s="141"/>
      <c r="CI722" s="141"/>
      <c r="CJ722" s="141"/>
      <c r="CK722" s="141"/>
      <c r="CL722" s="141"/>
    </row>
    <row r="723" spans="74:90" ht="49.5" customHeight="1" x14ac:dyDescent="0.35">
      <c r="BV723" s="140"/>
      <c r="BY723" s="141"/>
      <c r="BZ723" s="141"/>
      <c r="CA723" s="141"/>
      <c r="CB723" s="141"/>
      <c r="CC723" s="141"/>
      <c r="CD723" s="141"/>
      <c r="CE723" s="141"/>
      <c r="CF723" s="141"/>
      <c r="CG723" s="141"/>
      <c r="CH723" s="141"/>
      <c r="CI723" s="141"/>
      <c r="CJ723" s="141"/>
      <c r="CK723" s="141"/>
      <c r="CL723" s="141"/>
    </row>
    <row r="724" spans="74:90" ht="49.5" customHeight="1" x14ac:dyDescent="0.35">
      <c r="BV724" s="140"/>
      <c r="BY724" s="141"/>
      <c r="BZ724" s="141"/>
      <c r="CA724" s="141"/>
      <c r="CB724" s="141"/>
      <c r="CC724" s="141"/>
      <c r="CD724" s="141"/>
      <c r="CE724" s="141"/>
      <c r="CF724" s="141"/>
      <c r="CG724" s="141"/>
      <c r="CH724" s="141"/>
      <c r="CI724" s="141"/>
      <c r="CJ724" s="141"/>
      <c r="CK724" s="141"/>
      <c r="CL724" s="141"/>
    </row>
    <row r="725" spans="74:90" ht="49.5" customHeight="1" x14ac:dyDescent="0.35">
      <c r="BV725" s="140"/>
      <c r="BY725" s="141"/>
      <c r="BZ725" s="141"/>
      <c r="CA725" s="141"/>
      <c r="CB725" s="141"/>
      <c r="CC725" s="141"/>
      <c r="CD725" s="141"/>
      <c r="CE725" s="141"/>
      <c r="CF725" s="141"/>
      <c r="CG725" s="141"/>
      <c r="CH725" s="141"/>
      <c r="CI725" s="141"/>
      <c r="CJ725" s="141"/>
      <c r="CK725" s="141"/>
      <c r="CL725" s="141"/>
    </row>
    <row r="726" spans="74:90" ht="49.5" customHeight="1" x14ac:dyDescent="0.35">
      <c r="BV726" s="140"/>
      <c r="BY726" s="141"/>
      <c r="BZ726" s="141"/>
      <c r="CA726" s="141"/>
      <c r="CB726" s="141"/>
      <c r="CC726" s="141"/>
      <c r="CD726" s="141"/>
      <c r="CE726" s="141"/>
      <c r="CF726" s="141"/>
      <c r="CG726" s="141"/>
      <c r="CH726" s="141"/>
      <c r="CI726" s="141"/>
      <c r="CJ726" s="141"/>
      <c r="CK726" s="141"/>
      <c r="CL726" s="141"/>
    </row>
    <row r="727" spans="74:90" ht="49.5" customHeight="1" x14ac:dyDescent="0.35">
      <c r="BV727" s="140"/>
      <c r="BY727" s="141"/>
      <c r="BZ727" s="141"/>
      <c r="CA727" s="141"/>
      <c r="CB727" s="141"/>
      <c r="CC727" s="141"/>
      <c r="CD727" s="141"/>
      <c r="CE727" s="141"/>
      <c r="CF727" s="141"/>
      <c r="CG727" s="141"/>
      <c r="CH727" s="141"/>
      <c r="CI727" s="141"/>
      <c r="CJ727" s="141"/>
      <c r="CK727" s="141"/>
      <c r="CL727" s="141"/>
    </row>
    <row r="728" spans="74:90" ht="49.5" customHeight="1" x14ac:dyDescent="0.35">
      <c r="BV728" s="140"/>
      <c r="BY728" s="141"/>
      <c r="BZ728" s="141"/>
      <c r="CA728" s="141"/>
      <c r="CB728" s="141"/>
      <c r="CC728" s="141"/>
      <c r="CD728" s="141"/>
      <c r="CE728" s="141"/>
      <c r="CF728" s="141"/>
      <c r="CG728" s="141"/>
      <c r="CH728" s="141"/>
      <c r="CI728" s="141"/>
      <c r="CJ728" s="141"/>
      <c r="CK728" s="141"/>
      <c r="CL728" s="141"/>
    </row>
    <row r="729" spans="74:90" ht="49.5" customHeight="1" x14ac:dyDescent="0.35">
      <c r="BV729" s="140"/>
      <c r="BY729" s="141"/>
      <c r="BZ729" s="141"/>
      <c r="CA729" s="141"/>
      <c r="CB729" s="141"/>
      <c r="CC729" s="141"/>
      <c r="CD729" s="141"/>
      <c r="CE729" s="141"/>
      <c r="CF729" s="141"/>
      <c r="CG729" s="141"/>
      <c r="CH729" s="141"/>
      <c r="CI729" s="141"/>
      <c r="CJ729" s="141"/>
      <c r="CK729" s="141"/>
      <c r="CL729" s="141"/>
    </row>
    <row r="730" spans="74:90" ht="49.5" customHeight="1" x14ac:dyDescent="0.35">
      <c r="BV730" s="140"/>
      <c r="BY730" s="141"/>
      <c r="BZ730" s="141"/>
      <c r="CA730" s="141"/>
      <c r="CB730" s="141"/>
      <c r="CC730" s="141"/>
      <c r="CD730" s="141"/>
      <c r="CE730" s="141"/>
      <c r="CF730" s="141"/>
      <c r="CG730" s="141"/>
      <c r="CH730" s="141"/>
      <c r="CI730" s="141"/>
      <c r="CJ730" s="141"/>
      <c r="CK730" s="141"/>
      <c r="CL730" s="141"/>
    </row>
    <row r="731" spans="74:90" ht="49.5" customHeight="1" x14ac:dyDescent="0.35">
      <c r="BV731" s="140"/>
      <c r="BY731" s="141"/>
      <c r="BZ731" s="141"/>
      <c r="CA731" s="141"/>
      <c r="CB731" s="141"/>
      <c r="CC731" s="141"/>
      <c r="CD731" s="141"/>
      <c r="CE731" s="141"/>
      <c r="CF731" s="141"/>
      <c r="CG731" s="141"/>
      <c r="CH731" s="141"/>
      <c r="CI731" s="141"/>
      <c r="CJ731" s="141"/>
      <c r="CK731" s="141"/>
      <c r="CL731" s="141"/>
    </row>
    <row r="732" spans="74:90" ht="49.5" customHeight="1" x14ac:dyDescent="0.35">
      <c r="BV732" s="140"/>
      <c r="BY732" s="141"/>
      <c r="BZ732" s="141"/>
      <c r="CA732" s="141"/>
      <c r="CB732" s="141"/>
      <c r="CC732" s="141"/>
      <c r="CD732" s="141"/>
      <c r="CE732" s="141"/>
      <c r="CF732" s="141"/>
      <c r="CG732" s="141"/>
      <c r="CH732" s="141"/>
      <c r="CI732" s="141"/>
      <c r="CJ732" s="141"/>
      <c r="CK732" s="141"/>
      <c r="CL732" s="141"/>
    </row>
    <row r="733" spans="74:90" ht="49.5" customHeight="1" x14ac:dyDescent="0.35">
      <c r="BV733" s="140"/>
      <c r="BY733" s="141"/>
      <c r="BZ733" s="141"/>
      <c r="CA733" s="141"/>
      <c r="CB733" s="141"/>
      <c r="CC733" s="141"/>
      <c r="CD733" s="141"/>
      <c r="CE733" s="141"/>
      <c r="CF733" s="141"/>
      <c r="CG733" s="141"/>
      <c r="CH733" s="141"/>
      <c r="CI733" s="141"/>
      <c r="CJ733" s="141"/>
      <c r="CK733" s="141"/>
      <c r="CL733" s="141"/>
    </row>
    <row r="734" spans="74:90" ht="49.5" customHeight="1" x14ac:dyDescent="0.35">
      <c r="BV734" s="140"/>
      <c r="BY734" s="141"/>
      <c r="BZ734" s="141"/>
      <c r="CA734" s="141"/>
      <c r="CB734" s="141"/>
      <c r="CC734" s="141"/>
      <c r="CD734" s="141"/>
      <c r="CE734" s="141"/>
      <c r="CF734" s="141"/>
      <c r="CG734" s="141"/>
      <c r="CH734" s="141"/>
      <c r="CI734" s="141"/>
      <c r="CJ734" s="141"/>
      <c r="CK734" s="141"/>
      <c r="CL734" s="141"/>
    </row>
    <row r="735" spans="74:90" ht="49.5" customHeight="1" x14ac:dyDescent="0.35">
      <c r="BV735" s="140"/>
      <c r="BY735" s="141"/>
      <c r="BZ735" s="141"/>
      <c r="CA735" s="141"/>
      <c r="CB735" s="141"/>
      <c r="CC735" s="141"/>
      <c r="CD735" s="141"/>
      <c r="CE735" s="141"/>
      <c r="CF735" s="141"/>
      <c r="CG735" s="141"/>
      <c r="CH735" s="141"/>
      <c r="CI735" s="141"/>
      <c r="CJ735" s="141"/>
      <c r="CK735" s="141"/>
      <c r="CL735" s="141"/>
    </row>
    <row r="736" spans="74:90" ht="49.5" customHeight="1" x14ac:dyDescent="0.35">
      <c r="BV736" s="140"/>
      <c r="BY736" s="141"/>
      <c r="BZ736" s="141"/>
      <c r="CA736" s="141"/>
      <c r="CB736" s="141"/>
      <c r="CC736" s="141"/>
      <c r="CD736" s="141"/>
      <c r="CE736" s="141"/>
      <c r="CF736" s="141"/>
      <c r="CG736" s="141"/>
      <c r="CH736" s="141"/>
      <c r="CI736" s="141"/>
      <c r="CJ736" s="141"/>
      <c r="CK736" s="141"/>
      <c r="CL736" s="141"/>
    </row>
    <row r="737" spans="74:90" ht="49.5" customHeight="1" x14ac:dyDescent="0.35">
      <c r="BV737" s="140"/>
      <c r="BY737" s="141"/>
      <c r="BZ737" s="141"/>
      <c r="CA737" s="141"/>
      <c r="CB737" s="141"/>
      <c r="CC737" s="141"/>
      <c r="CD737" s="141"/>
      <c r="CE737" s="141"/>
      <c r="CF737" s="141"/>
      <c r="CG737" s="141"/>
      <c r="CH737" s="141"/>
      <c r="CI737" s="141"/>
      <c r="CJ737" s="141"/>
      <c r="CK737" s="141"/>
      <c r="CL737" s="141"/>
    </row>
    <row r="738" spans="74:90" ht="49.5" customHeight="1" x14ac:dyDescent="0.35">
      <c r="BV738" s="140"/>
      <c r="BY738" s="141"/>
      <c r="BZ738" s="141"/>
      <c r="CA738" s="141"/>
      <c r="CB738" s="141"/>
      <c r="CC738" s="141"/>
      <c r="CD738" s="141"/>
      <c r="CE738" s="141"/>
      <c r="CF738" s="141"/>
      <c r="CG738" s="141"/>
      <c r="CH738" s="141"/>
      <c r="CI738" s="141"/>
      <c r="CJ738" s="141"/>
      <c r="CK738" s="141"/>
      <c r="CL738" s="141"/>
    </row>
    <row r="739" spans="74:90" ht="49.5" customHeight="1" x14ac:dyDescent="0.35">
      <c r="BV739" s="140"/>
      <c r="BY739" s="141"/>
      <c r="BZ739" s="141"/>
      <c r="CA739" s="141"/>
      <c r="CB739" s="141"/>
      <c r="CC739" s="141"/>
      <c r="CD739" s="141"/>
      <c r="CE739" s="141"/>
      <c r="CF739" s="141"/>
      <c r="CG739" s="141"/>
      <c r="CH739" s="141"/>
      <c r="CI739" s="141"/>
      <c r="CJ739" s="141"/>
      <c r="CK739" s="141"/>
      <c r="CL739" s="141"/>
    </row>
    <row r="740" spans="74:90" ht="49.5" customHeight="1" x14ac:dyDescent="0.35">
      <c r="BV740" s="140"/>
      <c r="BY740" s="141"/>
      <c r="BZ740" s="141"/>
      <c r="CA740" s="141"/>
      <c r="CB740" s="141"/>
      <c r="CC740" s="141"/>
      <c r="CD740" s="141"/>
      <c r="CE740" s="141"/>
      <c r="CF740" s="141"/>
      <c r="CG740" s="141"/>
      <c r="CH740" s="141"/>
      <c r="CI740" s="141"/>
      <c r="CJ740" s="141"/>
      <c r="CK740" s="141"/>
      <c r="CL740" s="141"/>
    </row>
    <row r="741" spans="74:90" ht="49.5" customHeight="1" x14ac:dyDescent="0.35">
      <c r="BV741" s="140"/>
      <c r="BY741" s="141"/>
      <c r="BZ741" s="141"/>
      <c r="CA741" s="141"/>
      <c r="CB741" s="141"/>
      <c r="CC741" s="141"/>
      <c r="CD741" s="141"/>
      <c r="CE741" s="141"/>
      <c r="CF741" s="141"/>
      <c r="CG741" s="141"/>
      <c r="CH741" s="141"/>
      <c r="CI741" s="141"/>
      <c r="CJ741" s="141"/>
      <c r="CK741" s="141"/>
      <c r="CL741" s="141"/>
    </row>
    <row r="742" spans="74:90" ht="49.5" customHeight="1" x14ac:dyDescent="0.35">
      <c r="BV742" s="140"/>
      <c r="BY742" s="141"/>
      <c r="BZ742" s="141"/>
      <c r="CA742" s="141"/>
      <c r="CB742" s="141"/>
      <c r="CC742" s="141"/>
      <c r="CD742" s="141"/>
      <c r="CE742" s="141"/>
      <c r="CF742" s="141"/>
      <c r="CG742" s="141"/>
      <c r="CH742" s="141"/>
      <c r="CI742" s="141"/>
      <c r="CJ742" s="141"/>
      <c r="CK742" s="141"/>
      <c r="CL742" s="141"/>
    </row>
    <row r="743" spans="74:90" ht="49.5" customHeight="1" x14ac:dyDescent="0.35">
      <c r="BV743" s="140"/>
      <c r="BY743" s="141"/>
      <c r="BZ743" s="141"/>
      <c r="CA743" s="141"/>
      <c r="CB743" s="141"/>
      <c r="CC743" s="141"/>
      <c r="CD743" s="141"/>
      <c r="CE743" s="141"/>
      <c r="CF743" s="141"/>
      <c r="CG743" s="141"/>
      <c r="CH743" s="141"/>
      <c r="CI743" s="141"/>
      <c r="CJ743" s="141"/>
      <c r="CK743" s="141"/>
      <c r="CL743" s="141"/>
    </row>
    <row r="744" spans="74:90" ht="49.5" customHeight="1" x14ac:dyDescent="0.35">
      <c r="BV744" s="140"/>
      <c r="BY744" s="141"/>
      <c r="BZ744" s="141"/>
      <c r="CA744" s="141"/>
      <c r="CB744" s="141"/>
      <c r="CC744" s="141"/>
      <c r="CD744" s="141"/>
      <c r="CE744" s="141"/>
      <c r="CF744" s="141"/>
      <c r="CG744" s="141"/>
      <c r="CH744" s="141"/>
      <c r="CI744" s="141"/>
      <c r="CJ744" s="141"/>
      <c r="CK744" s="141"/>
      <c r="CL744" s="141"/>
    </row>
    <row r="745" spans="74:90" ht="49.5" customHeight="1" x14ac:dyDescent="0.35">
      <c r="BV745" s="140"/>
      <c r="BY745" s="141"/>
      <c r="BZ745" s="141"/>
      <c r="CA745" s="141"/>
      <c r="CB745" s="141"/>
      <c r="CC745" s="141"/>
      <c r="CD745" s="141"/>
      <c r="CE745" s="141"/>
      <c r="CF745" s="141"/>
      <c r="CG745" s="141"/>
      <c r="CH745" s="141"/>
      <c r="CI745" s="141"/>
      <c r="CJ745" s="141"/>
      <c r="CK745" s="141"/>
      <c r="CL745" s="141"/>
    </row>
    <row r="746" spans="74:90" ht="49.5" customHeight="1" x14ac:dyDescent="0.35">
      <c r="BV746" s="140"/>
      <c r="BY746" s="141"/>
      <c r="BZ746" s="141"/>
      <c r="CA746" s="141"/>
      <c r="CB746" s="141"/>
      <c r="CC746" s="141"/>
      <c r="CD746" s="141"/>
      <c r="CE746" s="141"/>
      <c r="CF746" s="141"/>
      <c r="CG746" s="141"/>
      <c r="CH746" s="141"/>
      <c r="CI746" s="141"/>
      <c r="CJ746" s="141"/>
      <c r="CK746" s="141"/>
      <c r="CL746" s="141"/>
    </row>
    <row r="747" spans="74:90" ht="49.5" customHeight="1" x14ac:dyDescent="0.35">
      <c r="BV747" s="140"/>
      <c r="BY747" s="141"/>
      <c r="BZ747" s="141"/>
      <c r="CA747" s="141"/>
      <c r="CB747" s="141"/>
      <c r="CC747" s="141"/>
      <c r="CD747" s="141"/>
      <c r="CE747" s="141"/>
      <c r="CF747" s="141"/>
      <c r="CG747" s="141"/>
      <c r="CH747" s="141"/>
      <c r="CI747" s="141"/>
      <c r="CJ747" s="141"/>
      <c r="CK747" s="141"/>
      <c r="CL747" s="141"/>
    </row>
    <row r="748" spans="74:90" ht="49.5" customHeight="1" x14ac:dyDescent="0.35">
      <c r="BV748" s="140"/>
      <c r="BY748" s="141"/>
      <c r="BZ748" s="141"/>
      <c r="CA748" s="141"/>
      <c r="CB748" s="141"/>
      <c r="CC748" s="141"/>
      <c r="CD748" s="141"/>
      <c r="CE748" s="141"/>
      <c r="CF748" s="141"/>
      <c r="CG748" s="141"/>
      <c r="CH748" s="141"/>
      <c r="CI748" s="141"/>
      <c r="CJ748" s="141"/>
      <c r="CK748" s="141"/>
      <c r="CL748" s="141"/>
    </row>
    <row r="749" spans="74:90" ht="49.5" customHeight="1" x14ac:dyDescent="0.35">
      <c r="BV749" s="140"/>
      <c r="BY749" s="141"/>
      <c r="BZ749" s="141"/>
      <c r="CA749" s="141"/>
      <c r="CB749" s="141"/>
      <c r="CC749" s="141"/>
      <c r="CD749" s="141"/>
      <c r="CE749" s="141"/>
      <c r="CF749" s="141"/>
      <c r="CG749" s="141"/>
      <c r="CH749" s="141"/>
      <c r="CI749" s="141"/>
      <c r="CJ749" s="141"/>
      <c r="CK749" s="141"/>
      <c r="CL749" s="141"/>
    </row>
    <row r="750" spans="74:90" ht="49.5" customHeight="1" x14ac:dyDescent="0.35">
      <c r="BV750" s="140"/>
      <c r="BY750" s="141"/>
      <c r="BZ750" s="141"/>
      <c r="CA750" s="141"/>
      <c r="CB750" s="141"/>
      <c r="CC750" s="141"/>
      <c r="CD750" s="141"/>
      <c r="CE750" s="141"/>
      <c r="CF750" s="141"/>
      <c r="CG750" s="141"/>
      <c r="CH750" s="141"/>
      <c r="CI750" s="141"/>
      <c r="CJ750" s="141"/>
      <c r="CK750" s="141"/>
      <c r="CL750" s="141"/>
    </row>
    <row r="751" spans="74:90" ht="49.5" customHeight="1" x14ac:dyDescent="0.35">
      <c r="BV751" s="140"/>
      <c r="BY751" s="141"/>
      <c r="BZ751" s="141"/>
      <c r="CA751" s="141"/>
      <c r="CB751" s="141"/>
      <c r="CC751" s="141"/>
      <c r="CD751" s="141"/>
      <c r="CE751" s="141"/>
      <c r="CF751" s="141"/>
      <c r="CG751" s="141"/>
      <c r="CH751" s="141"/>
      <c r="CI751" s="141"/>
      <c r="CJ751" s="141"/>
      <c r="CK751" s="141"/>
      <c r="CL751" s="141"/>
    </row>
    <row r="752" spans="74:90" ht="49.5" customHeight="1" x14ac:dyDescent="0.35">
      <c r="BV752" s="140"/>
      <c r="BY752" s="141"/>
      <c r="BZ752" s="141"/>
      <c r="CA752" s="141"/>
      <c r="CB752" s="141"/>
      <c r="CC752" s="141"/>
      <c r="CD752" s="141"/>
      <c r="CE752" s="141"/>
      <c r="CF752" s="141"/>
      <c r="CG752" s="141"/>
      <c r="CH752" s="141"/>
      <c r="CI752" s="141"/>
      <c r="CJ752" s="141"/>
      <c r="CK752" s="141"/>
      <c r="CL752" s="141"/>
    </row>
    <row r="753" spans="74:90" ht="49.5" customHeight="1" x14ac:dyDescent="0.35">
      <c r="BV753" s="140"/>
      <c r="BY753" s="141"/>
      <c r="BZ753" s="141"/>
      <c r="CA753" s="141"/>
      <c r="CB753" s="141"/>
      <c r="CC753" s="141"/>
      <c r="CD753" s="141"/>
      <c r="CE753" s="141"/>
      <c r="CF753" s="141"/>
      <c r="CG753" s="141"/>
      <c r="CH753" s="141"/>
      <c r="CI753" s="141"/>
      <c r="CJ753" s="141"/>
      <c r="CK753" s="141"/>
      <c r="CL753" s="141"/>
    </row>
    <row r="754" spans="74:90" ht="49.5" customHeight="1" x14ac:dyDescent="0.35">
      <c r="BV754" s="140"/>
      <c r="BY754" s="141"/>
      <c r="BZ754" s="141"/>
      <c r="CA754" s="141"/>
      <c r="CB754" s="141"/>
      <c r="CC754" s="141"/>
      <c r="CD754" s="141"/>
      <c r="CE754" s="141"/>
      <c r="CF754" s="141"/>
      <c r="CG754" s="141"/>
      <c r="CH754" s="141"/>
      <c r="CI754" s="141"/>
      <c r="CJ754" s="141"/>
      <c r="CK754" s="141"/>
      <c r="CL754" s="141"/>
    </row>
    <row r="755" spans="74:90" ht="49.5" customHeight="1" x14ac:dyDescent="0.35">
      <c r="BV755" s="140"/>
      <c r="BY755" s="141"/>
      <c r="BZ755" s="141"/>
      <c r="CA755" s="141"/>
      <c r="CB755" s="141"/>
      <c r="CC755" s="141"/>
      <c r="CD755" s="141"/>
      <c r="CE755" s="141"/>
      <c r="CF755" s="141"/>
      <c r="CG755" s="141"/>
      <c r="CH755" s="141"/>
      <c r="CI755" s="141"/>
      <c r="CJ755" s="141"/>
      <c r="CK755" s="141"/>
      <c r="CL755" s="141"/>
    </row>
    <row r="756" spans="74:90" ht="49.5" customHeight="1" x14ac:dyDescent="0.35">
      <c r="BV756" s="140"/>
      <c r="BY756" s="141"/>
      <c r="BZ756" s="141"/>
      <c r="CA756" s="141"/>
      <c r="CB756" s="141"/>
      <c r="CC756" s="141"/>
      <c r="CD756" s="141"/>
      <c r="CE756" s="141"/>
      <c r="CF756" s="141"/>
      <c r="CG756" s="141"/>
      <c r="CH756" s="141"/>
      <c r="CI756" s="141"/>
      <c r="CJ756" s="141"/>
      <c r="CK756" s="141"/>
      <c r="CL756" s="141"/>
    </row>
    <row r="757" spans="74:90" ht="49.5" customHeight="1" x14ac:dyDescent="0.35">
      <c r="BV757" s="140"/>
      <c r="BY757" s="141"/>
      <c r="BZ757" s="141"/>
      <c r="CA757" s="141"/>
      <c r="CB757" s="141"/>
      <c r="CC757" s="141"/>
      <c r="CD757" s="141"/>
      <c r="CE757" s="141"/>
      <c r="CF757" s="141"/>
      <c r="CG757" s="141"/>
      <c r="CH757" s="141"/>
      <c r="CI757" s="141"/>
      <c r="CJ757" s="141"/>
      <c r="CK757" s="141"/>
      <c r="CL757" s="141"/>
    </row>
    <row r="758" spans="74:90" ht="49.5" customHeight="1" x14ac:dyDescent="0.35">
      <c r="BV758" s="140"/>
      <c r="BY758" s="141"/>
      <c r="BZ758" s="141"/>
      <c r="CA758" s="141"/>
      <c r="CB758" s="141"/>
      <c r="CC758" s="141"/>
      <c r="CD758" s="141"/>
      <c r="CE758" s="141"/>
      <c r="CF758" s="141"/>
      <c r="CG758" s="141"/>
      <c r="CH758" s="141"/>
      <c r="CI758" s="141"/>
      <c r="CJ758" s="141"/>
      <c r="CK758" s="141"/>
      <c r="CL758" s="141"/>
    </row>
    <row r="759" spans="74:90" ht="49.5" customHeight="1" x14ac:dyDescent="0.35">
      <c r="BV759" s="140"/>
      <c r="BY759" s="141"/>
      <c r="BZ759" s="141"/>
      <c r="CA759" s="141"/>
      <c r="CB759" s="141"/>
      <c r="CC759" s="141"/>
      <c r="CD759" s="141"/>
      <c r="CE759" s="141"/>
      <c r="CF759" s="141"/>
      <c r="CG759" s="141"/>
      <c r="CH759" s="141"/>
      <c r="CI759" s="141"/>
      <c r="CJ759" s="141"/>
      <c r="CK759" s="141"/>
      <c r="CL759" s="141"/>
    </row>
    <row r="760" spans="74:90" ht="49.5" customHeight="1" x14ac:dyDescent="0.35">
      <c r="BV760" s="140"/>
      <c r="BY760" s="141"/>
      <c r="BZ760" s="141"/>
      <c r="CA760" s="141"/>
      <c r="CB760" s="141"/>
      <c r="CC760" s="141"/>
      <c r="CD760" s="141"/>
      <c r="CE760" s="141"/>
      <c r="CF760" s="141"/>
      <c r="CG760" s="141"/>
      <c r="CH760" s="141"/>
      <c r="CI760" s="141"/>
      <c r="CJ760" s="141"/>
      <c r="CK760" s="141"/>
      <c r="CL760" s="141"/>
    </row>
    <row r="761" spans="74:90" ht="49.5" customHeight="1" x14ac:dyDescent="0.35">
      <c r="BV761" s="140"/>
      <c r="BY761" s="141"/>
      <c r="BZ761" s="141"/>
      <c r="CA761" s="141"/>
      <c r="CB761" s="141"/>
      <c r="CC761" s="141"/>
      <c r="CD761" s="141"/>
      <c r="CE761" s="141"/>
      <c r="CF761" s="141"/>
      <c r="CG761" s="141"/>
      <c r="CH761" s="141"/>
      <c r="CI761" s="141"/>
      <c r="CJ761" s="141"/>
      <c r="CK761" s="141"/>
      <c r="CL761" s="141"/>
    </row>
    <row r="762" spans="74:90" ht="49.5" customHeight="1" x14ac:dyDescent="0.35">
      <c r="BV762" s="140"/>
      <c r="BY762" s="141"/>
      <c r="BZ762" s="141"/>
      <c r="CA762" s="141"/>
      <c r="CB762" s="141"/>
      <c r="CC762" s="141"/>
      <c r="CD762" s="141"/>
      <c r="CE762" s="141"/>
      <c r="CF762" s="141"/>
      <c r="CG762" s="141"/>
      <c r="CH762" s="141"/>
      <c r="CI762" s="141"/>
      <c r="CJ762" s="141"/>
      <c r="CK762" s="141"/>
      <c r="CL762" s="141"/>
    </row>
    <row r="763" spans="74:90" ht="49.5" customHeight="1" x14ac:dyDescent="0.35">
      <c r="BV763" s="140"/>
      <c r="BY763" s="141"/>
      <c r="BZ763" s="141"/>
      <c r="CA763" s="141"/>
      <c r="CB763" s="141"/>
      <c r="CC763" s="141"/>
      <c r="CD763" s="141"/>
      <c r="CE763" s="141"/>
      <c r="CF763" s="141"/>
      <c r="CG763" s="141"/>
      <c r="CH763" s="141"/>
      <c r="CI763" s="141"/>
      <c r="CJ763" s="141"/>
      <c r="CK763" s="141"/>
      <c r="CL763" s="141"/>
    </row>
    <row r="764" spans="74:90" ht="49.5" customHeight="1" x14ac:dyDescent="0.35">
      <c r="BV764" s="140"/>
      <c r="BY764" s="141"/>
      <c r="BZ764" s="141"/>
      <c r="CA764" s="141"/>
      <c r="CB764" s="141"/>
      <c r="CC764" s="141"/>
      <c r="CD764" s="141"/>
      <c r="CE764" s="141"/>
      <c r="CF764" s="141"/>
      <c r="CG764" s="141"/>
      <c r="CH764" s="141"/>
      <c r="CI764" s="141"/>
      <c r="CJ764" s="141"/>
      <c r="CK764" s="141"/>
      <c r="CL764" s="141"/>
    </row>
    <row r="765" spans="74:90" ht="49.5" customHeight="1" x14ac:dyDescent="0.35">
      <c r="BV765" s="140"/>
      <c r="BY765" s="141"/>
      <c r="BZ765" s="141"/>
      <c r="CA765" s="141"/>
      <c r="CB765" s="141"/>
      <c r="CC765" s="141"/>
      <c r="CD765" s="141"/>
      <c r="CE765" s="141"/>
      <c r="CF765" s="141"/>
      <c r="CG765" s="141"/>
      <c r="CH765" s="141"/>
      <c r="CI765" s="141"/>
      <c r="CJ765" s="141"/>
      <c r="CK765" s="141"/>
      <c r="CL765" s="141"/>
    </row>
    <row r="766" spans="74:90" ht="49.5" customHeight="1" x14ac:dyDescent="0.35">
      <c r="BV766" s="140"/>
      <c r="BY766" s="141"/>
      <c r="BZ766" s="141"/>
      <c r="CA766" s="141"/>
      <c r="CB766" s="141"/>
      <c r="CC766" s="141"/>
      <c r="CD766" s="141"/>
      <c r="CE766" s="141"/>
      <c r="CF766" s="141"/>
      <c r="CG766" s="141"/>
      <c r="CH766" s="141"/>
      <c r="CI766" s="141"/>
      <c r="CJ766" s="141"/>
      <c r="CK766" s="141"/>
      <c r="CL766" s="141"/>
    </row>
    <row r="767" spans="74:90" ht="49.5" customHeight="1" x14ac:dyDescent="0.35">
      <c r="BV767" s="140"/>
      <c r="BY767" s="141"/>
      <c r="BZ767" s="141"/>
      <c r="CA767" s="141"/>
      <c r="CB767" s="141"/>
      <c r="CC767" s="141"/>
      <c r="CD767" s="141"/>
      <c r="CE767" s="141"/>
      <c r="CF767" s="141"/>
      <c r="CG767" s="141"/>
      <c r="CH767" s="141"/>
      <c r="CI767" s="141"/>
      <c r="CJ767" s="141"/>
      <c r="CK767" s="141"/>
      <c r="CL767" s="141"/>
    </row>
    <row r="768" spans="74:90" ht="49.5" customHeight="1" x14ac:dyDescent="0.35">
      <c r="BV768" s="140"/>
      <c r="BY768" s="141"/>
      <c r="BZ768" s="141"/>
      <c r="CA768" s="141"/>
      <c r="CB768" s="141"/>
      <c r="CC768" s="141"/>
      <c r="CD768" s="141"/>
      <c r="CE768" s="141"/>
      <c r="CF768" s="141"/>
      <c r="CG768" s="141"/>
      <c r="CH768" s="141"/>
      <c r="CI768" s="141"/>
      <c r="CJ768" s="141"/>
      <c r="CK768" s="141"/>
      <c r="CL768" s="141"/>
    </row>
    <row r="769" spans="74:90" ht="49.5" customHeight="1" x14ac:dyDescent="0.35">
      <c r="BV769" s="140"/>
      <c r="BY769" s="141"/>
      <c r="BZ769" s="141"/>
      <c r="CA769" s="141"/>
      <c r="CB769" s="141"/>
      <c r="CC769" s="141"/>
      <c r="CD769" s="141"/>
      <c r="CE769" s="141"/>
      <c r="CF769" s="141"/>
      <c r="CG769" s="141"/>
      <c r="CH769" s="141"/>
      <c r="CI769" s="141"/>
      <c r="CJ769" s="141"/>
      <c r="CK769" s="141"/>
      <c r="CL769" s="141"/>
    </row>
    <row r="770" spans="74:90" ht="49.5" customHeight="1" x14ac:dyDescent="0.35">
      <c r="BV770" s="140"/>
      <c r="BY770" s="141"/>
      <c r="BZ770" s="141"/>
      <c r="CA770" s="141"/>
      <c r="CB770" s="141"/>
      <c r="CC770" s="141"/>
      <c r="CD770" s="141"/>
      <c r="CE770" s="141"/>
      <c r="CF770" s="141"/>
      <c r="CG770" s="141"/>
      <c r="CH770" s="141"/>
      <c r="CI770" s="141"/>
      <c r="CJ770" s="141"/>
      <c r="CK770" s="141"/>
      <c r="CL770" s="141"/>
    </row>
    <row r="771" spans="74:90" ht="49.5" customHeight="1" x14ac:dyDescent="0.35">
      <c r="BV771" s="140"/>
      <c r="BY771" s="141"/>
      <c r="BZ771" s="141"/>
      <c r="CA771" s="141"/>
      <c r="CB771" s="141"/>
      <c r="CC771" s="141"/>
      <c r="CD771" s="141"/>
      <c r="CE771" s="141"/>
      <c r="CF771" s="141"/>
      <c r="CG771" s="141"/>
      <c r="CH771" s="141"/>
      <c r="CI771" s="141"/>
      <c r="CJ771" s="141"/>
      <c r="CK771" s="141"/>
      <c r="CL771" s="141"/>
    </row>
    <row r="772" spans="74:90" ht="49.5" customHeight="1" x14ac:dyDescent="0.35">
      <c r="BV772" s="140"/>
      <c r="BY772" s="141"/>
      <c r="BZ772" s="141"/>
      <c r="CA772" s="141"/>
      <c r="CB772" s="141"/>
      <c r="CC772" s="141"/>
      <c r="CD772" s="141"/>
      <c r="CE772" s="141"/>
      <c r="CF772" s="141"/>
      <c r="CG772" s="141"/>
      <c r="CH772" s="141"/>
      <c r="CI772" s="141"/>
      <c r="CJ772" s="141"/>
      <c r="CK772" s="141"/>
      <c r="CL772" s="141"/>
    </row>
    <row r="773" spans="74:90" ht="49.5" customHeight="1" x14ac:dyDescent="0.35">
      <c r="BV773" s="140"/>
      <c r="BY773" s="141"/>
      <c r="BZ773" s="141"/>
      <c r="CA773" s="141"/>
      <c r="CB773" s="141"/>
      <c r="CC773" s="141"/>
      <c r="CD773" s="141"/>
      <c r="CE773" s="141"/>
      <c r="CF773" s="141"/>
      <c r="CG773" s="141"/>
      <c r="CH773" s="141"/>
      <c r="CI773" s="141"/>
      <c r="CJ773" s="141"/>
      <c r="CK773" s="141"/>
      <c r="CL773" s="141"/>
    </row>
    <row r="774" spans="74:90" ht="49.5" customHeight="1" x14ac:dyDescent="0.35">
      <c r="BV774" s="140"/>
      <c r="BY774" s="141"/>
      <c r="BZ774" s="141"/>
      <c r="CA774" s="141"/>
      <c r="CB774" s="141"/>
      <c r="CC774" s="141"/>
      <c r="CD774" s="141"/>
      <c r="CE774" s="141"/>
      <c r="CF774" s="141"/>
      <c r="CG774" s="141"/>
      <c r="CH774" s="141"/>
      <c r="CI774" s="141"/>
      <c r="CJ774" s="141"/>
      <c r="CK774" s="141"/>
      <c r="CL774" s="141"/>
    </row>
    <row r="775" spans="74:90" ht="49.5" customHeight="1" x14ac:dyDescent="0.35">
      <c r="BV775" s="140"/>
      <c r="BY775" s="141"/>
      <c r="BZ775" s="141"/>
      <c r="CA775" s="141"/>
      <c r="CB775" s="141"/>
      <c r="CC775" s="141"/>
      <c r="CD775" s="141"/>
      <c r="CE775" s="141"/>
      <c r="CF775" s="141"/>
      <c r="CG775" s="141"/>
      <c r="CH775" s="141"/>
      <c r="CI775" s="141"/>
      <c r="CJ775" s="141"/>
      <c r="CK775" s="141"/>
      <c r="CL775" s="141"/>
    </row>
    <row r="776" spans="74:90" ht="49.5" customHeight="1" x14ac:dyDescent="0.35">
      <c r="BV776" s="140"/>
      <c r="BY776" s="141"/>
      <c r="BZ776" s="141"/>
      <c r="CA776" s="141"/>
      <c r="CB776" s="141"/>
      <c r="CC776" s="141"/>
      <c r="CD776" s="141"/>
      <c r="CE776" s="141"/>
      <c r="CF776" s="141"/>
      <c r="CG776" s="141"/>
      <c r="CH776" s="141"/>
      <c r="CI776" s="141"/>
      <c r="CJ776" s="141"/>
      <c r="CK776" s="141"/>
      <c r="CL776" s="141"/>
    </row>
    <row r="777" spans="74:90" ht="49.5" customHeight="1" x14ac:dyDescent="0.35">
      <c r="BV777" s="140"/>
      <c r="BY777" s="141"/>
      <c r="BZ777" s="141"/>
      <c r="CA777" s="141"/>
      <c r="CB777" s="141"/>
      <c r="CC777" s="141"/>
      <c r="CD777" s="141"/>
      <c r="CE777" s="141"/>
      <c r="CF777" s="141"/>
      <c r="CG777" s="141"/>
      <c r="CH777" s="141"/>
      <c r="CI777" s="141"/>
      <c r="CJ777" s="141"/>
      <c r="CK777" s="141"/>
      <c r="CL777" s="141"/>
    </row>
    <row r="778" spans="74:90" ht="49.5" customHeight="1" x14ac:dyDescent="0.35">
      <c r="BV778" s="140"/>
      <c r="BY778" s="141"/>
      <c r="BZ778" s="141"/>
      <c r="CA778" s="141"/>
      <c r="CB778" s="141"/>
      <c r="CC778" s="141"/>
      <c r="CD778" s="141"/>
      <c r="CE778" s="141"/>
      <c r="CF778" s="141"/>
      <c r="CG778" s="141"/>
      <c r="CH778" s="141"/>
      <c r="CI778" s="141"/>
      <c r="CJ778" s="141"/>
      <c r="CK778" s="141"/>
      <c r="CL778" s="141"/>
    </row>
    <row r="779" spans="74:90" ht="49.5" customHeight="1" x14ac:dyDescent="0.35">
      <c r="BV779" s="140"/>
      <c r="BY779" s="141"/>
      <c r="BZ779" s="141"/>
      <c r="CA779" s="141"/>
      <c r="CB779" s="141"/>
      <c r="CC779" s="141"/>
      <c r="CD779" s="141"/>
      <c r="CE779" s="141"/>
      <c r="CF779" s="141"/>
      <c r="CG779" s="141"/>
      <c r="CH779" s="141"/>
      <c r="CI779" s="141"/>
      <c r="CJ779" s="141"/>
      <c r="CK779" s="141"/>
      <c r="CL779" s="141"/>
    </row>
    <row r="780" spans="74:90" ht="49.5" customHeight="1" x14ac:dyDescent="0.35">
      <c r="BV780" s="140"/>
      <c r="BY780" s="141"/>
      <c r="BZ780" s="141"/>
      <c r="CA780" s="141"/>
      <c r="CB780" s="141"/>
      <c r="CC780" s="141"/>
      <c r="CD780" s="141"/>
      <c r="CE780" s="141"/>
      <c r="CF780" s="141"/>
      <c r="CG780" s="141"/>
      <c r="CH780" s="141"/>
      <c r="CI780" s="141"/>
      <c r="CJ780" s="141"/>
      <c r="CK780" s="141"/>
      <c r="CL780" s="141"/>
    </row>
    <row r="781" spans="74:90" ht="49.5" customHeight="1" x14ac:dyDescent="0.35">
      <c r="BV781" s="140"/>
      <c r="BY781" s="141"/>
      <c r="BZ781" s="141"/>
      <c r="CA781" s="141"/>
      <c r="CB781" s="141"/>
      <c r="CC781" s="141"/>
      <c r="CD781" s="141"/>
      <c r="CE781" s="141"/>
      <c r="CF781" s="141"/>
      <c r="CG781" s="141"/>
      <c r="CH781" s="141"/>
      <c r="CI781" s="141"/>
      <c r="CJ781" s="141"/>
      <c r="CK781" s="141"/>
      <c r="CL781" s="141"/>
    </row>
    <row r="782" spans="74:90" ht="49.5" customHeight="1" x14ac:dyDescent="0.35">
      <c r="BV782" s="140"/>
      <c r="BY782" s="141"/>
      <c r="BZ782" s="141"/>
      <c r="CA782" s="141"/>
      <c r="CB782" s="141"/>
      <c r="CC782" s="141"/>
      <c r="CD782" s="141"/>
      <c r="CE782" s="141"/>
      <c r="CF782" s="141"/>
      <c r="CG782" s="141"/>
      <c r="CH782" s="141"/>
      <c r="CI782" s="141"/>
      <c r="CJ782" s="141"/>
      <c r="CK782" s="141"/>
      <c r="CL782" s="141"/>
    </row>
    <row r="783" spans="74:90" ht="49.5" customHeight="1" x14ac:dyDescent="0.35">
      <c r="BV783" s="140"/>
      <c r="BY783" s="141"/>
      <c r="BZ783" s="141"/>
      <c r="CA783" s="141"/>
      <c r="CB783" s="141"/>
      <c r="CC783" s="141"/>
      <c r="CD783" s="141"/>
      <c r="CE783" s="141"/>
      <c r="CF783" s="141"/>
      <c r="CG783" s="141"/>
      <c r="CH783" s="141"/>
      <c r="CI783" s="141"/>
      <c r="CJ783" s="141"/>
      <c r="CK783" s="141"/>
      <c r="CL783" s="141"/>
    </row>
    <row r="784" spans="74:90" ht="49.5" customHeight="1" x14ac:dyDescent="0.35">
      <c r="BV784" s="140"/>
      <c r="BY784" s="141"/>
      <c r="BZ784" s="141"/>
      <c r="CA784" s="141"/>
      <c r="CB784" s="141"/>
      <c r="CC784" s="141"/>
      <c r="CD784" s="141"/>
      <c r="CE784" s="141"/>
      <c r="CF784" s="141"/>
      <c r="CG784" s="141"/>
      <c r="CH784" s="141"/>
      <c r="CI784" s="141"/>
      <c r="CJ784" s="141"/>
      <c r="CK784" s="141"/>
      <c r="CL784" s="141"/>
    </row>
    <row r="785" spans="74:90" ht="49.5" customHeight="1" x14ac:dyDescent="0.35">
      <c r="BV785" s="140"/>
      <c r="BY785" s="141"/>
      <c r="BZ785" s="141"/>
      <c r="CA785" s="141"/>
      <c r="CB785" s="141"/>
      <c r="CC785" s="141"/>
      <c r="CD785" s="141"/>
      <c r="CE785" s="141"/>
      <c r="CF785" s="141"/>
      <c r="CG785" s="141"/>
      <c r="CH785" s="141"/>
      <c r="CI785" s="141"/>
      <c r="CJ785" s="141"/>
      <c r="CK785" s="141"/>
      <c r="CL785" s="141"/>
    </row>
    <row r="786" spans="74:90" ht="49.5" customHeight="1" x14ac:dyDescent="0.35">
      <c r="BV786" s="140"/>
      <c r="BY786" s="141"/>
      <c r="BZ786" s="141"/>
      <c r="CA786" s="141"/>
      <c r="CB786" s="141"/>
      <c r="CC786" s="141"/>
      <c r="CD786" s="141"/>
      <c r="CE786" s="141"/>
      <c r="CF786" s="141"/>
      <c r="CG786" s="141"/>
      <c r="CH786" s="141"/>
      <c r="CI786" s="141"/>
      <c r="CJ786" s="141"/>
      <c r="CK786" s="141"/>
      <c r="CL786" s="141"/>
    </row>
    <row r="787" spans="74:90" ht="49.5" customHeight="1" x14ac:dyDescent="0.35">
      <c r="BV787" s="140"/>
      <c r="BY787" s="141"/>
      <c r="BZ787" s="141"/>
      <c r="CA787" s="141"/>
      <c r="CB787" s="141"/>
      <c r="CC787" s="141"/>
      <c r="CD787" s="141"/>
      <c r="CE787" s="141"/>
      <c r="CF787" s="141"/>
      <c r="CG787" s="141"/>
      <c r="CH787" s="141"/>
      <c r="CI787" s="141"/>
      <c r="CJ787" s="141"/>
      <c r="CK787" s="141"/>
      <c r="CL787" s="141"/>
    </row>
    <row r="788" spans="74:90" ht="49.5" customHeight="1" x14ac:dyDescent="0.35">
      <c r="BV788" s="140"/>
      <c r="BY788" s="141"/>
      <c r="BZ788" s="141"/>
      <c r="CA788" s="141"/>
      <c r="CB788" s="141"/>
      <c r="CC788" s="141"/>
      <c r="CD788" s="141"/>
      <c r="CE788" s="141"/>
      <c r="CF788" s="141"/>
      <c r="CG788" s="141"/>
      <c r="CH788" s="141"/>
      <c r="CI788" s="141"/>
      <c r="CJ788" s="141"/>
      <c r="CK788" s="141"/>
      <c r="CL788" s="141"/>
    </row>
    <row r="789" spans="74:90" ht="49.5" customHeight="1" x14ac:dyDescent="0.35">
      <c r="BV789" s="140"/>
      <c r="BY789" s="141"/>
      <c r="BZ789" s="141"/>
      <c r="CA789" s="141"/>
      <c r="CB789" s="141"/>
      <c r="CC789" s="141"/>
      <c r="CD789" s="141"/>
      <c r="CE789" s="141"/>
      <c r="CF789" s="141"/>
      <c r="CG789" s="141"/>
      <c r="CH789" s="141"/>
      <c r="CI789" s="141"/>
      <c r="CJ789" s="141"/>
      <c r="CK789" s="141"/>
      <c r="CL789" s="141"/>
    </row>
    <row r="790" spans="74:90" ht="49.5" customHeight="1" x14ac:dyDescent="0.35">
      <c r="BV790" s="140"/>
      <c r="BY790" s="141"/>
      <c r="BZ790" s="141"/>
      <c r="CA790" s="141"/>
      <c r="CB790" s="141"/>
      <c r="CC790" s="141"/>
      <c r="CD790" s="141"/>
      <c r="CE790" s="141"/>
      <c r="CF790" s="141"/>
      <c r="CG790" s="141"/>
      <c r="CH790" s="141"/>
      <c r="CI790" s="141"/>
      <c r="CJ790" s="141"/>
      <c r="CK790" s="141"/>
      <c r="CL790" s="141"/>
    </row>
    <row r="791" spans="74:90" ht="49.5" customHeight="1" x14ac:dyDescent="0.35">
      <c r="BV791" s="140"/>
      <c r="BY791" s="141"/>
      <c r="BZ791" s="141"/>
      <c r="CA791" s="141"/>
      <c r="CB791" s="141"/>
      <c r="CC791" s="141"/>
      <c r="CD791" s="141"/>
      <c r="CE791" s="141"/>
      <c r="CF791" s="141"/>
      <c r="CG791" s="141"/>
      <c r="CH791" s="141"/>
      <c r="CI791" s="141"/>
      <c r="CJ791" s="141"/>
      <c r="CK791" s="141"/>
      <c r="CL791" s="141"/>
    </row>
    <row r="792" spans="74:90" ht="49.5" customHeight="1" x14ac:dyDescent="0.35">
      <c r="BV792" s="140"/>
      <c r="BY792" s="141"/>
      <c r="BZ792" s="141"/>
      <c r="CA792" s="141"/>
      <c r="CB792" s="141"/>
      <c r="CC792" s="141"/>
      <c r="CD792" s="141"/>
      <c r="CE792" s="141"/>
      <c r="CF792" s="141"/>
      <c r="CG792" s="141"/>
      <c r="CH792" s="141"/>
      <c r="CI792" s="141"/>
      <c r="CJ792" s="141"/>
      <c r="CK792" s="141"/>
      <c r="CL792" s="141"/>
    </row>
    <row r="793" spans="74:90" ht="49.5" customHeight="1" x14ac:dyDescent="0.35">
      <c r="BV793" s="140"/>
      <c r="BY793" s="141"/>
      <c r="BZ793" s="141"/>
      <c r="CA793" s="141"/>
      <c r="CB793" s="141"/>
      <c r="CC793" s="141"/>
      <c r="CD793" s="141"/>
      <c r="CE793" s="141"/>
      <c r="CF793" s="141"/>
      <c r="CG793" s="141"/>
      <c r="CH793" s="141"/>
      <c r="CI793" s="141"/>
      <c r="CJ793" s="141"/>
      <c r="CK793" s="141"/>
      <c r="CL793" s="141"/>
    </row>
    <row r="794" spans="74:90" ht="49.5" customHeight="1" x14ac:dyDescent="0.35">
      <c r="BV794" s="140"/>
      <c r="BY794" s="141"/>
      <c r="BZ794" s="141"/>
      <c r="CA794" s="141"/>
      <c r="CB794" s="141"/>
      <c r="CC794" s="141"/>
      <c r="CD794" s="141"/>
      <c r="CE794" s="141"/>
      <c r="CF794" s="141"/>
      <c r="CG794" s="141"/>
      <c r="CH794" s="141"/>
      <c r="CI794" s="141"/>
      <c r="CJ794" s="141"/>
      <c r="CK794" s="141"/>
      <c r="CL794" s="141"/>
    </row>
    <row r="795" spans="74:90" ht="49.5" customHeight="1" x14ac:dyDescent="0.35">
      <c r="BV795" s="140"/>
      <c r="BY795" s="141"/>
      <c r="BZ795" s="141"/>
      <c r="CA795" s="141"/>
      <c r="CB795" s="141"/>
      <c r="CC795" s="141"/>
      <c r="CD795" s="141"/>
      <c r="CE795" s="141"/>
      <c r="CF795" s="141"/>
      <c r="CG795" s="141"/>
      <c r="CH795" s="141"/>
      <c r="CI795" s="141"/>
      <c r="CJ795" s="141"/>
      <c r="CK795" s="141"/>
      <c r="CL795" s="141"/>
    </row>
    <row r="796" spans="74:90" ht="49.5" customHeight="1" x14ac:dyDescent="0.35">
      <c r="BV796" s="140"/>
      <c r="BY796" s="141"/>
      <c r="BZ796" s="141"/>
      <c r="CA796" s="141"/>
      <c r="CB796" s="141"/>
      <c r="CC796" s="141"/>
      <c r="CD796" s="141"/>
      <c r="CE796" s="141"/>
      <c r="CF796" s="141"/>
      <c r="CG796" s="141"/>
      <c r="CH796" s="141"/>
      <c r="CI796" s="141"/>
      <c r="CJ796" s="141"/>
      <c r="CK796" s="141"/>
      <c r="CL796" s="141"/>
    </row>
    <row r="797" spans="74:90" ht="49.5" customHeight="1" x14ac:dyDescent="0.35">
      <c r="BV797" s="140"/>
      <c r="BY797" s="141"/>
      <c r="BZ797" s="141"/>
      <c r="CA797" s="141"/>
      <c r="CB797" s="141"/>
      <c r="CC797" s="141"/>
      <c r="CD797" s="141"/>
      <c r="CE797" s="141"/>
      <c r="CF797" s="141"/>
      <c r="CG797" s="141"/>
      <c r="CH797" s="141"/>
      <c r="CI797" s="141"/>
      <c r="CJ797" s="141"/>
      <c r="CK797" s="141"/>
      <c r="CL797" s="141"/>
    </row>
    <row r="798" spans="74:90" ht="49.5" customHeight="1" x14ac:dyDescent="0.35">
      <c r="BV798" s="140"/>
      <c r="BY798" s="141"/>
      <c r="BZ798" s="141"/>
      <c r="CA798" s="141"/>
      <c r="CB798" s="141"/>
      <c r="CC798" s="141"/>
      <c r="CD798" s="141"/>
      <c r="CE798" s="141"/>
      <c r="CF798" s="141"/>
      <c r="CG798" s="141"/>
      <c r="CH798" s="141"/>
      <c r="CI798" s="141"/>
      <c r="CJ798" s="141"/>
      <c r="CK798" s="141"/>
      <c r="CL798" s="141"/>
    </row>
    <row r="799" spans="74:90" ht="49.5" customHeight="1" x14ac:dyDescent="0.35">
      <c r="BV799" s="140"/>
      <c r="BY799" s="141"/>
      <c r="BZ799" s="141"/>
      <c r="CA799" s="141"/>
      <c r="CB799" s="141"/>
      <c r="CC799" s="141"/>
      <c r="CD799" s="141"/>
      <c r="CE799" s="141"/>
      <c r="CF799" s="141"/>
      <c r="CG799" s="141"/>
      <c r="CH799" s="141"/>
      <c r="CI799" s="141"/>
      <c r="CJ799" s="141"/>
      <c r="CK799" s="141"/>
      <c r="CL799" s="141"/>
    </row>
    <row r="800" spans="74:90" ht="49.5" customHeight="1" x14ac:dyDescent="0.35">
      <c r="BV800" s="140"/>
      <c r="BY800" s="141"/>
      <c r="BZ800" s="141"/>
      <c r="CA800" s="141"/>
      <c r="CB800" s="141"/>
      <c r="CC800" s="141"/>
      <c r="CD800" s="141"/>
      <c r="CE800" s="141"/>
      <c r="CF800" s="141"/>
      <c r="CG800" s="141"/>
      <c r="CH800" s="141"/>
      <c r="CI800" s="141"/>
      <c r="CJ800" s="141"/>
      <c r="CK800" s="141"/>
      <c r="CL800" s="141"/>
    </row>
    <row r="801" spans="74:90" ht="49.5" customHeight="1" x14ac:dyDescent="0.35">
      <c r="BV801" s="140"/>
      <c r="BY801" s="141"/>
      <c r="BZ801" s="141"/>
      <c r="CA801" s="141"/>
      <c r="CB801" s="141"/>
      <c r="CC801" s="141"/>
      <c r="CD801" s="141"/>
      <c r="CE801" s="141"/>
      <c r="CF801" s="141"/>
      <c r="CG801" s="141"/>
      <c r="CH801" s="141"/>
      <c r="CI801" s="141"/>
      <c r="CJ801" s="141"/>
      <c r="CK801" s="141"/>
      <c r="CL801" s="141"/>
    </row>
    <row r="802" spans="74:90" ht="49.5" customHeight="1" x14ac:dyDescent="0.35">
      <c r="BV802" s="140"/>
      <c r="BY802" s="141"/>
      <c r="BZ802" s="141"/>
      <c r="CA802" s="141"/>
      <c r="CB802" s="141"/>
      <c r="CC802" s="141"/>
      <c r="CD802" s="141"/>
      <c r="CE802" s="141"/>
      <c r="CF802" s="141"/>
      <c r="CG802" s="141"/>
      <c r="CH802" s="141"/>
      <c r="CI802" s="141"/>
      <c r="CJ802" s="141"/>
      <c r="CK802" s="141"/>
      <c r="CL802" s="141"/>
    </row>
    <row r="803" spans="74:90" ht="49.5" customHeight="1" x14ac:dyDescent="0.35">
      <c r="BV803" s="140"/>
      <c r="BY803" s="141"/>
      <c r="BZ803" s="141"/>
      <c r="CA803" s="141"/>
      <c r="CB803" s="141"/>
      <c r="CC803" s="141"/>
      <c r="CD803" s="141"/>
      <c r="CE803" s="141"/>
      <c r="CF803" s="141"/>
      <c r="CG803" s="141"/>
      <c r="CH803" s="141"/>
      <c r="CI803" s="141"/>
      <c r="CJ803" s="141"/>
      <c r="CK803" s="141"/>
      <c r="CL803" s="141"/>
    </row>
    <row r="804" spans="74:90" ht="49.5" customHeight="1" x14ac:dyDescent="0.35">
      <c r="BV804" s="140"/>
      <c r="BY804" s="141"/>
      <c r="BZ804" s="141"/>
      <c r="CA804" s="141"/>
      <c r="CB804" s="141"/>
      <c r="CC804" s="141"/>
      <c r="CD804" s="141"/>
      <c r="CE804" s="141"/>
      <c r="CF804" s="141"/>
      <c r="CG804" s="141"/>
      <c r="CH804" s="141"/>
      <c r="CI804" s="141"/>
      <c r="CJ804" s="141"/>
      <c r="CK804" s="141"/>
      <c r="CL804" s="141"/>
    </row>
    <row r="805" spans="74:90" ht="49.5" customHeight="1" x14ac:dyDescent="0.35">
      <c r="BV805" s="140"/>
      <c r="BY805" s="141"/>
      <c r="BZ805" s="141"/>
      <c r="CA805" s="141"/>
      <c r="CB805" s="141"/>
      <c r="CC805" s="141"/>
      <c r="CD805" s="141"/>
      <c r="CE805" s="141"/>
      <c r="CF805" s="141"/>
      <c r="CG805" s="141"/>
      <c r="CH805" s="141"/>
      <c r="CI805" s="141"/>
      <c r="CJ805" s="141"/>
      <c r="CK805" s="141"/>
      <c r="CL805" s="141"/>
    </row>
    <row r="806" spans="74:90" ht="49.5" customHeight="1" x14ac:dyDescent="0.35">
      <c r="BV806" s="140"/>
      <c r="BY806" s="141"/>
      <c r="BZ806" s="141"/>
      <c r="CA806" s="141"/>
      <c r="CB806" s="141"/>
      <c r="CC806" s="141"/>
      <c r="CD806" s="141"/>
      <c r="CE806" s="141"/>
      <c r="CF806" s="141"/>
      <c r="CG806" s="141"/>
      <c r="CH806" s="141"/>
      <c r="CI806" s="141"/>
      <c r="CJ806" s="141"/>
      <c r="CK806" s="141"/>
      <c r="CL806" s="141"/>
    </row>
    <row r="807" spans="74:90" ht="49.5" customHeight="1" x14ac:dyDescent="0.35">
      <c r="BV807" s="140"/>
      <c r="BY807" s="141"/>
      <c r="BZ807" s="141"/>
      <c r="CA807" s="141"/>
      <c r="CB807" s="141"/>
      <c r="CC807" s="141"/>
      <c r="CD807" s="141"/>
      <c r="CE807" s="141"/>
      <c r="CF807" s="141"/>
      <c r="CG807" s="141"/>
      <c r="CH807" s="141"/>
      <c r="CI807" s="141"/>
      <c r="CJ807" s="141"/>
      <c r="CK807" s="141"/>
      <c r="CL807" s="141"/>
    </row>
    <row r="808" spans="74:90" ht="49.5" customHeight="1" x14ac:dyDescent="0.35">
      <c r="BV808" s="140"/>
      <c r="BY808" s="141"/>
      <c r="BZ808" s="141"/>
      <c r="CA808" s="141"/>
      <c r="CB808" s="141"/>
      <c r="CC808" s="141"/>
      <c r="CD808" s="141"/>
      <c r="CE808" s="141"/>
      <c r="CF808" s="141"/>
      <c r="CG808" s="141"/>
      <c r="CH808" s="141"/>
      <c r="CI808" s="141"/>
      <c r="CJ808" s="141"/>
      <c r="CK808" s="141"/>
      <c r="CL808" s="141"/>
    </row>
    <row r="809" spans="74:90" ht="49.5" customHeight="1" x14ac:dyDescent="0.35">
      <c r="BV809" s="140"/>
      <c r="BY809" s="141"/>
      <c r="BZ809" s="141"/>
      <c r="CA809" s="141"/>
      <c r="CB809" s="141"/>
      <c r="CC809" s="141"/>
      <c r="CD809" s="141"/>
      <c r="CE809" s="141"/>
      <c r="CF809" s="141"/>
      <c r="CG809" s="141"/>
      <c r="CH809" s="141"/>
      <c r="CI809" s="141"/>
      <c r="CJ809" s="141"/>
      <c r="CK809" s="141"/>
      <c r="CL809" s="141"/>
    </row>
    <row r="810" spans="74:90" ht="49.5" customHeight="1" x14ac:dyDescent="0.35">
      <c r="BV810" s="140"/>
      <c r="BY810" s="141"/>
      <c r="BZ810" s="141"/>
      <c r="CA810" s="141"/>
      <c r="CB810" s="141"/>
      <c r="CC810" s="141"/>
      <c r="CD810" s="141"/>
      <c r="CE810" s="141"/>
      <c r="CF810" s="141"/>
      <c r="CG810" s="141"/>
      <c r="CH810" s="141"/>
      <c r="CI810" s="141"/>
      <c r="CJ810" s="141"/>
      <c r="CK810" s="141"/>
      <c r="CL810" s="141"/>
    </row>
    <row r="811" spans="74:90" ht="49.5" customHeight="1" x14ac:dyDescent="0.35">
      <c r="BV811" s="140"/>
      <c r="BY811" s="141"/>
      <c r="BZ811" s="141"/>
      <c r="CA811" s="141"/>
      <c r="CB811" s="141"/>
      <c r="CC811" s="141"/>
      <c r="CD811" s="141"/>
      <c r="CE811" s="141"/>
      <c r="CF811" s="141"/>
      <c r="CG811" s="141"/>
      <c r="CH811" s="141"/>
      <c r="CI811" s="141"/>
      <c r="CJ811" s="141"/>
      <c r="CK811" s="141"/>
      <c r="CL811" s="141"/>
    </row>
    <row r="812" spans="74:90" ht="49.5" customHeight="1" x14ac:dyDescent="0.35">
      <c r="BV812" s="140"/>
      <c r="BY812" s="141"/>
      <c r="BZ812" s="141"/>
      <c r="CA812" s="141"/>
      <c r="CB812" s="141"/>
      <c r="CC812" s="141"/>
      <c r="CD812" s="141"/>
      <c r="CE812" s="141"/>
      <c r="CF812" s="141"/>
      <c r="CG812" s="141"/>
      <c r="CH812" s="141"/>
      <c r="CI812" s="141"/>
      <c r="CJ812" s="141"/>
      <c r="CK812" s="141"/>
      <c r="CL812" s="141"/>
    </row>
    <row r="813" spans="74:90" ht="49.5" customHeight="1" x14ac:dyDescent="0.35">
      <c r="BV813" s="140"/>
      <c r="BY813" s="141"/>
      <c r="BZ813" s="141"/>
      <c r="CA813" s="141"/>
      <c r="CB813" s="141"/>
      <c r="CC813" s="141"/>
      <c r="CD813" s="141"/>
      <c r="CE813" s="141"/>
      <c r="CF813" s="141"/>
      <c r="CG813" s="141"/>
      <c r="CH813" s="141"/>
      <c r="CI813" s="141"/>
      <c r="CJ813" s="141"/>
      <c r="CK813" s="141"/>
      <c r="CL813" s="141"/>
    </row>
    <row r="814" spans="74:90" ht="49.5" customHeight="1" x14ac:dyDescent="0.35">
      <c r="BV814" s="140"/>
      <c r="BY814" s="141"/>
      <c r="BZ814" s="141"/>
      <c r="CA814" s="141"/>
      <c r="CB814" s="141"/>
      <c r="CC814" s="141"/>
      <c r="CD814" s="141"/>
      <c r="CE814" s="141"/>
      <c r="CF814" s="141"/>
      <c r="CG814" s="141"/>
      <c r="CH814" s="141"/>
      <c r="CI814" s="141"/>
      <c r="CJ814" s="141"/>
      <c r="CK814" s="141"/>
      <c r="CL814" s="141"/>
    </row>
    <row r="815" spans="74:90" ht="49.5" customHeight="1" x14ac:dyDescent="0.35">
      <c r="BV815" s="140"/>
      <c r="BY815" s="141"/>
      <c r="BZ815" s="141"/>
      <c r="CA815" s="141"/>
      <c r="CB815" s="141"/>
      <c r="CC815" s="141"/>
      <c r="CD815" s="141"/>
      <c r="CE815" s="141"/>
      <c r="CF815" s="141"/>
      <c r="CG815" s="141"/>
      <c r="CH815" s="141"/>
      <c r="CI815" s="141"/>
      <c r="CJ815" s="141"/>
      <c r="CK815" s="141"/>
      <c r="CL815" s="141"/>
    </row>
    <row r="816" spans="74:90" ht="49.5" customHeight="1" x14ac:dyDescent="0.35">
      <c r="BV816" s="140"/>
      <c r="BY816" s="141"/>
      <c r="BZ816" s="141"/>
      <c r="CA816" s="141"/>
      <c r="CB816" s="141"/>
      <c r="CC816" s="141"/>
      <c r="CD816" s="141"/>
      <c r="CE816" s="141"/>
      <c r="CF816" s="141"/>
      <c r="CG816" s="141"/>
      <c r="CH816" s="141"/>
      <c r="CI816" s="141"/>
      <c r="CJ816" s="141"/>
      <c r="CK816" s="141"/>
      <c r="CL816" s="141"/>
    </row>
    <row r="817" spans="74:90" ht="49.5" customHeight="1" x14ac:dyDescent="0.35">
      <c r="BV817" s="140"/>
      <c r="BY817" s="141"/>
      <c r="BZ817" s="141"/>
      <c r="CA817" s="141"/>
      <c r="CB817" s="141"/>
      <c r="CC817" s="141"/>
      <c r="CD817" s="141"/>
      <c r="CE817" s="141"/>
      <c r="CF817" s="141"/>
      <c r="CG817" s="141"/>
      <c r="CH817" s="141"/>
      <c r="CI817" s="141"/>
      <c r="CJ817" s="141"/>
      <c r="CK817" s="141"/>
      <c r="CL817" s="141"/>
    </row>
    <row r="818" spans="74:90" ht="49.5" customHeight="1" x14ac:dyDescent="0.35">
      <c r="BV818" s="140"/>
      <c r="BY818" s="141"/>
      <c r="BZ818" s="141"/>
      <c r="CA818" s="141"/>
      <c r="CB818" s="141"/>
      <c r="CC818" s="141"/>
      <c r="CD818" s="141"/>
      <c r="CE818" s="141"/>
      <c r="CF818" s="141"/>
      <c r="CG818" s="141"/>
      <c r="CH818" s="141"/>
      <c r="CI818" s="141"/>
      <c r="CJ818" s="141"/>
      <c r="CK818" s="141"/>
      <c r="CL818" s="141"/>
    </row>
    <row r="819" spans="74:90" ht="49.5" customHeight="1" x14ac:dyDescent="0.35">
      <c r="BV819" s="140"/>
      <c r="BY819" s="141"/>
      <c r="BZ819" s="141"/>
      <c r="CA819" s="141"/>
      <c r="CB819" s="141"/>
      <c r="CC819" s="141"/>
      <c r="CD819" s="141"/>
      <c r="CE819" s="141"/>
      <c r="CF819" s="141"/>
      <c r="CG819" s="141"/>
      <c r="CH819" s="141"/>
      <c r="CI819" s="141"/>
      <c r="CJ819" s="141"/>
      <c r="CK819" s="141"/>
      <c r="CL819" s="141"/>
    </row>
    <row r="820" spans="74:90" ht="49.5" customHeight="1" x14ac:dyDescent="0.35">
      <c r="BV820" s="140"/>
      <c r="BY820" s="141"/>
      <c r="BZ820" s="141"/>
      <c r="CA820" s="141"/>
      <c r="CB820" s="141"/>
      <c r="CC820" s="141"/>
      <c r="CD820" s="141"/>
      <c r="CE820" s="141"/>
      <c r="CF820" s="141"/>
      <c r="CG820" s="141"/>
      <c r="CH820" s="141"/>
      <c r="CI820" s="141"/>
      <c r="CJ820" s="141"/>
      <c r="CK820" s="141"/>
      <c r="CL820" s="141"/>
    </row>
    <row r="821" spans="74:90" ht="49.5" customHeight="1" x14ac:dyDescent="0.35">
      <c r="BV821" s="140"/>
      <c r="BY821" s="141"/>
      <c r="BZ821" s="141"/>
      <c r="CA821" s="141"/>
      <c r="CB821" s="141"/>
      <c r="CC821" s="141"/>
      <c r="CD821" s="141"/>
      <c r="CE821" s="141"/>
      <c r="CF821" s="141"/>
      <c r="CG821" s="141"/>
      <c r="CH821" s="141"/>
      <c r="CI821" s="141"/>
      <c r="CJ821" s="141"/>
      <c r="CK821" s="141"/>
      <c r="CL821" s="141"/>
    </row>
    <row r="822" spans="74:90" ht="49.5" customHeight="1" x14ac:dyDescent="0.35">
      <c r="BV822" s="140"/>
      <c r="BY822" s="141"/>
      <c r="BZ822" s="141"/>
      <c r="CA822" s="141"/>
      <c r="CB822" s="141"/>
      <c r="CC822" s="141"/>
      <c r="CD822" s="141"/>
      <c r="CE822" s="141"/>
      <c r="CF822" s="141"/>
      <c r="CG822" s="141"/>
      <c r="CH822" s="141"/>
      <c r="CI822" s="141"/>
      <c r="CJ822" s="141"/>
      <c r="CK822" s="141"/>
      <c r="CL822" s="141"/>
    </row>
    <row r="823" spans="74:90" ht="49.5" customHeight="1" x14ac:dyDescent="0.35">
      <c r="BV823" s="140"/>
      <c r="BY823" s="141"/>
      <c r="BZ823" s="141"/>
      <c r="CA823" s="141"/>
      <c r="CB823" s="141"/>
      <c r="CC823" s="141"/>
      <c r="CD823" s="141"/>
      <c r="CE823" s="141"/>
      <c r="CF823" s="141"/>
      <c r="CG823" s="141"/>
      <c r="CH823" s="141"/>
      <c r="CI823" s="141"/>
      <c r="CJ823" s="141"/>
      <c r="CK823" s="141"/>
      <c r="CL823" s="141"/>
    </row>
    <row r="824" spans="74:90" ht="49.5" customHeight="1" x14ac:dyDescent="0.35">
      <c r="BV824" s="140"/>
      <c r="BY824" s="141"/>
      <c r="BZ824" s="141"/>
      <c r="CA824" s="141"/>
      <c r="CB824" s="141"/>
      <c r="CC824" s="141"/>
      <c r="CD824" s="141"/>
      <c r="CE824" s="141"/>
      <c r="CF824" s="141"/>
      <c r="CG824" s="141"/>
      <c r="CH824" s="141"/>
      <c r="CI824" s="141"/>
      <c r="CJ824" s="141"/>
      <c r="CK824" s="141"/>
      <c r="CL824" s="141"/>
    </row>
    <row r="825" spans="74:90" ht="49.5" customHeight="1" x14ac:dyDescent="0.35">
      <c r="BV825" s="140"/>
      <c r="BY825" s="141"/>
      <c r="BZ825" s="141"/>
      <c r="CA825" s="141"/>
      <c r="CB825" s="141"/>
      <c r="CC825" s="141"/>
      <c r="CD825" s="141"/>
      <c r="CE825" s="141"/>
      <c r="CF825" s="141"/>
      <c r="CG825" s="141"/>
      <c r="CH825" s="141"/>
      <c r="CI825" s="141"/>
      <c r="CJ825" s="141"/>
      <c r="CK825" s="141"/>
      <c r="CL825" s="141"/>
    </row>
    <row r="826" spans="74:90" ht="49.5" customHeight="1" x14ac:dyDescent="0.35">
      <c r="BV826" s="140"/>
      <c r="BY826" s="141"/>
      <c r="BZ826" s="141"/>
      <c r="CA826" s="141"/>
      <c r="CB826" s="141"/>
      <c r="CC826" s="141"/>
      <c r="CD826" s="141"/>
      <c r="CE826" s="141"/>
      <c r="CF826" s="141"/>
      <c r="CG826" s="141"/>
      <c r="CH826" s="141"/>
      <c r="CI826" s="141"/>
      <c r="CJ826" s="141"/>
      <c r="CK826" s="141"/>
      <c r="CL826" s="141"/>
    </row>
    <row r="827" spans="74:90" ht="49.5" customHeight="1" x14ac:dyDescent="0.35">
      <c r="BV827" s="140"/>
      <c r="BY827" s="141"/>
      <c r="BZ827" s="141"/>
      <c r="CA827" s="141"/>
      <c r="CB827" s="141"/>
      <c r="CC827" s="141"/>
      <c r="CD827" s="141"/>
      <c r="CE827" s="141"/>
      <c r="CF827" s="141"/>
      <c r="CG827" s="141"/>
      <c r="CH827" s="141"/>
      <c r="CI827" s="141"/>
      <c r="CJ827" s="141"/>
      <c r="CK827" s="141"/>
      <c r="CL827" s="141"/>
    </row>
    <row r="828" spans="74:90" ht="49.5" customHeight="1" x14ac:dyDescent="0.35">
      <c r="BV828" s="140"/>
      <c r="BY828" s="141"/>
      <c r="BZ828" s="141"/>
      <c r="CA828" s="141"/>
      <c r="CB828" s="141"/>
      <c r="CC828" s="141"/>
      <c r="CD828" s="141"/>
      <c r="CE828" s="141"/>
      <c r="CF828" s="141"/>
      <c r="CG828" s="141"/>
      <c r="CH828" s="141"/>
      <c r="CI828" s="141"/>
      <c r="CJ828" s="141"/>
      <c r="CK828" s="141"/>
      <c r="CL828" s="141"/>
    </row>
    <row r="829" spans="74:90" ht="49.5" customHeight="1" x14ac:dyDescent="0.35">
      <c r="BV829" s="140"/>
      <c r="BY829" s="141"/>
      <c r="BZ829" s="141"/>
      <c r="CA829" s="141"/>
      <c r="CB829" s="141"/>
      <c r="CC829" s="141"/>
      <c r="CD829" s="141"/>
      <c r="CE829" s="141"/>
      <c r="CF829" s="141"/>
      <c r="CG829" s="141"/>
      <c r="CH829" s="141"/>
      <c r="CI829" s="141"/>
      <c r="CJ829" s="141"/>
      <c r="CK829" s="141"/>
      <c r="CL829" s="141"/>
    </row>
    <row r="830" spans="74:90" ht="49.5" customHeight="1" x14ac:dyDescent="0.35">
      <c r="BV830" s="140"/>
      <c r="BY830" s="141"/>
      <c r="BZ830" s="141"/>
      <c r="CA830" s="141"/>
      <c r="CB830" s="141"/>
      <c r="CC830" s="141"/>
      <c r="CD830" s="141"/>
      <c r="CE830" s="141"/>
      <c r="CF830" s="141"/>
      <c r="CG830" s="141"/>
      <c r="CH830" s="141"/>
      <c r="CI830" s="141"/>
      <c r="CJ830" s="141"/>
      <c r="CK830" s="141"/>
      <c r="CL830" s="141"/>
    </row>
    <row r="831" spans="74:90" ht="49.5" customHeight="1" x14ac:dyDescent="0.35">
      <c r="BV831" s="140"/>
      <c r="BY831" s="141"/>
      <c r="BZ831" s="141"/>
      <c r="CA831" s="141"/>
      <c r="CB831" s="141"/>
      <c r="CC831" s="141"/>
      <c r="CD831" s="141"/>
      <c r="CE831" s="141"/>
      <c r="CF831" s="141"/>
      <c r="CG831" s="141"/>
      <c r="CH831" s="141"/>
      <c r="CI831" s="141"/>
      <c r="CJ831" s="141"/>
      <c r="CK831" s="141"/>
      <c r="CL831" s="141"/>
    </row>
    <row r="832" spans="74:90" ht="49.5" customHeight="1" x14ac:dyDescent="0.35">
      <c r="BV832" s="140"/>
      <c r="BY832" s="141"/>
      <c r="BZ832" s="141"/>
      <c r="CA832" s="141"/>
      <c r="CB832" s="141"/>
      <c r="CC832" s="141"/>
      <c r="CD832" s="141"/>
      <c r="CE832" s="141"/>
      <c r="CF832" s="141"/>
      <c r="CG832" s="141"/>
      <c r="CH832" s="141"/>
      <c r="CI832" s="141"/>
      <c r="CJ832" s="141"/>
      <c r="CK832" s="141"/>
      <c r="CL832" s="141"/>
    </row>
    <row r="833" spans="74:90" ht="49.5" customHeight="1" x14ac:dyDescent="0.35">
      <c r="BV833" s="140"/>
      <c r="BY833" s="141"/>
      <c r="BZ833" s="141"/>
      <c r="CA833" s="141"/>
      <c r="CB833" s="141"/>
      <c r="CC833" s="141"/>
      <c r="CD833" s="141"/>
      <c r="CE833" s="141"/>
      <c r="CF833" s="141"/>
      <c r="CG833" s="141"/>
      <c r="CH833" s="141"/>
      <c r="CI833" s="141"/>
      <c r="CJ833" s="141"/>
      <c r="CK833" s="141"/>
      <c r="CL833" s="141"/>
    </row>
    <row r="834" spans="74:90" ht="49.5" customHeight="1" x14ac:dyDescent="0.35">
      <c r="BV834" s="140"/>
      <c r="BY834" s="141"/>
      <c r="BZ834" s="141"/>
      <c r="CA834" s="141"/>
      <c r="CB834" s="141"/>
      <c r="CC834" s="141"/>
      <c r="CD834" s="141"/>
      <c r="CE834" s="141"/>
      <c r="CF834" s="141"/>
      <c r="CG834" s="141"/>
      <c r="CH834" s="141"/>
      <c r="CI834" s="141"/>
      <c r="CJ834" s="141"/>
      <c r="CK834" s="141"/>
      <c r="CL834" s="141"/>
    </row>
    <row r="835" spans="74:90" ht="49.5" customHeight="1" x14ac:dyDescent="0.35">
      <c r="BV835" s="140"/>
      <c r="BY835" s="141"/>
      <c r="BZ835" s="141"/>
      <c r="CA835" s="141"/>
      <c r="CB835" s="141"/>
      <c r="CC835" s="141"/>
      <c r="CD835" s="141"/>
      <c r="CE835" s="141"/>
      <c r="CF835" s="141"/>
      <c r="CG835" s="141"/>
      <c r="CH835" s="141"/>
      <c r="CI835" s="141"/>
      <c r="CJ835" s="141"/>
      <c r="CK835" s="141"/>
      <c r="CL835" s="141"/>
    </row>
    <row r="836" spans="74:90" ht="49.5" customHeight="1" x14ac:dyDescent="0.35">
      <c r="BV836" s="140"/>
      <c r="BY836" s="141"/>
      <c r="BZ836" s="141"/>
      <c r="CA836" s="141"/>
      <c r="CB836" s="141"/>
      <c r="CC836" s="141"/>
      <c r="CD836" s="141"/>
      <c r="CE836" s="141"/>
      <c r="CF836" s="141"/>
      <c r="CG836" s="141"/>
      <c r="CH836" s="141"/>
      <c r="CI836" s="141"/>
      <c r="CJ836" s="141"/>
      <c r="CK836" s="141"/>
      <c r="CL836" s="141"/>
    </row>
    <row r="837" spans="74:90" ht="49.5" customHeight="1" x14ac:dyDescent="0.35">
      <c r="BV837" s="140"/>
      <c r="BY837" s="141"/>
      <c r="BZ837" s="141"/>
      <c r="CA837" s="141"/>
      <c r="CB837" s="141"/>
      <c r="CC837" s="141"/>
      <c r="CD837" s="141"/>
      <c r="CE837" s="141"/>
      <c r="CF837" s="141"/>
      <c r="CG837" s="141"/>
      <c r="CH837" s="141"/>
      <c r="CI837" s="141"/>
      <c r="CJ837" s="141"/>
      <c r="CK837" s="141"/>
      <c r="CL837" s="141"/>
    </row>
    <row r="838" spans="74:90" ht="49.5" customHeight="1" x14ac:dyDescent="0.35">
      <c r="BV838" s="140"/>
      <c r="BY838" s="141"/>
      <c r="BZ838" s="141"/>
      <c r="CA838" s="141"/>
      <c r="CB838" s="141"/>
      <c r="CC838" s="141"/>
      <c r="CD838" s="141"/>
      <c r="CE838" s="141"/>
      <c r="CF838" s="141"/>
      <c r="CG838" s="141"/>
      <c r="CH838" s="141"/>
      <c r="CI838" s="141"/>
      <c r="CJ838" s="141"/>
      <c r="CK838" s="141"/>
      <c r="CL838" s="141"/>
    </row>
    <row r="839" spans="74:90" ht="49.5" customHeight="1" x14ac:dyDescent="0.35">
      <c r="BV839" s="140"/>
      <c r="BY839" s="141"/>
      <c r="BZ839" s="141"/>
      <c r="CA839" s="141"/>
      <c r="CB839" s="141"/>
      <c r="CC839" s="141"/>
      <c r="CD839" s="141"/>
      <c r="CE839" s="141"/>
      <c r="CF839" s="141"/>
      <c r="CG839" s="141"/>
      <c r="CH839" s="141"/>
      <c r="CI839" s="141"/>
      <c r="CJ839" s="141"/>
      <c r="CK839" s="141"/>
      <c r="CL839" s="141"/>
    </row>
    <row r="840" spans="74:90" ht="49.5" customHeight="1" x14ac:dyDescent="0.35">
      <c r="BV840" s="140"/>
      <c r="BY840" s="141"/>
      <c r="BZ840" s="141"/>
      <c r="CA840" s="141"/>
      <c r="CB840" s="141"/>
      <c r="CC840" s="141"/>
      <c r="CD840" s="141"/>
      <c r="CE840" s="141"/>
      <c r="CF840" s="141"/>
      <c r="CG840" s="141"/>
      <c r="CH840" s="141"/>
      <c r="CI840" s="141"/>
      <c r="CJ840" s="141"/>
      <c r="CK840" s="141"/>
      <c r="CL840" s="141"/>
    </row>
    <row r="841" spans="74:90" ht="49.5" customHeight="1" x14ac:dyDescent="0.35">
      <c r="BV841" s="140"/>
      <c r="BY841" s="141"/>
      <c r="BZ841" s="141"/>
      <c r="CA841" s="141"/>
      <c r="CB841" s="141"/>
      <c r="CC841" s="141"/>
      <c r="CD841" s="141"/>
      <c r="CE841" s="141"/>
      <c r="CF841" s="141"/>
      <c r="CG841" s="141"/>
      <c r="CH841" s="141"/>
      <c r="CI841" s="141"/>
      <c r="CJ841" s="141"/>
      <c r="CK841" s="141"/>
      <c r="CL841" s="141"/>
    </row>
    <row r="842" spans="74:90" ht="49.5" customHeight="1" x14ac:dyDescent="0.35">
      <c r="BV842" s="140"/>
      <c r="BY842" s="141"/>
      <c r="BZ842" s="141"/>
      <c r="CA842" s="141"/>
      <c r="CB842" s="141"/>
      <c r="CC842" s="141"/>
      <c r="CD842" s="141"/>
      <c r="CE842" s="141"/>
      <c r="CF842" s="141"/>
      <c r="CG842" s="141"/>
      <c r="CH842" s="141"/>
      <c r="CI842" s="141"/>
      <c r="CJ842" s="141"/>
      <c r="CK842" s="141"/>
      <c r="CL842" s="141"/>
    </row>
    <row r="843" spans="74:90" ht="49.5" customHeight="1" x14ac:dyDescent="0.35">
      <c r="BV843" s="140"/>
      <c r="BY843" s="141"/>
      <c r="BZ843" s="141"/>
      <c r="CA843" s="141"/>
      <c r="CB843" s="141"/>
      <c r="CC843" s="141"/>
      <c r="CD843" s="141"/>
      <c r="CE843" s="141"/>
      <c r="CF843" s="141"/>
      <c r="CG843" s="141"/>
      <c r="CH843" s="141"/>
      <c r="CI843" s="141"/>
      <c r="CJ843" s="141"/>
      <c r="CK843" s="141"/>
      <c r="CL843" s="141"/>
    </row>
    <row r="844" spans="74:90" ht="49.5" customHeight="1" x14ac:dyDescent="0.35">
      <c r="BV844" s="140"/>
      <c r="BY844" s="141"/>
      <c r="BZ844" s="141"/>
      <c r="CA844" s="141"/>
      <c r="CB844" s="141"/>
      <c r="CC844" s="141"/>
      <c r="CD844" s="141"/>
      <c r="CE844" s="141"/>
      <c r="CF844" s="141"/>
      <c r="CG844" s="141"/>
      <c r="CH844" s="141"/>
      <c r="CI844" s="141"/>
      <c r="CJ844" s="141"/>
      <c r="CK844" s="141"/>
      <c r="CL844" s="141"/>
    </row>
    <row r="845" spans="74:90" ht="49.5" customHeight="1" x14ac:dyDescent="0.35">
      <c r="BV845" s="140"/>
      <c r="BY845" s="141"/>
      <c r="BZ845" s="141"/>
      <c r="CA845" s="141"/>
      <c r="CB845" s="141"/>
      <c r="CC845" s="141"/>
      <c r="CD845" s="141"/>
      <c r="CE845" s="141"/>
      <c r="CF845" s="141"/>
      <c r="CG845" s="141"/>
      <c r="CH845" s="141"/>
      <c r="CI845" s="141"/>
      <c r="CJ845" s="141"/>
      <c r="CK845" s="141"/>
      <c r="CL845" s="141"/>
    </row>
    <row r="846" spans="74:90" ht="49.5" customHeight="1" x14ac:dyDescent="0.35">
      <c r="BV846" s="140"/>
      <c r="BY846" s="141"/>
      <c r="BZ846" s="141"/>
      <c r="CA846" s="141"/>
      <c r="CB846" s="141"/>
      <c r="CC846" s="141"/>
      <c r="CD846" s="141"/>
      <c r="CE846" s="141"/>
      <c r="CF846" s="141"/>
      <c r="CG846" s="141"/>
      <c r="CH846" s="141"/>
      <c r="CI846" s="141"/>
      <c r="CJ846" s="141"/>
      <c r="CK846" s="141"/>
      <c r="CL846" s="141"/>
    </row>
    <row r="847" spans="74:90" ht="49.5" customHeight="1" x14ac:dyDescent="0.35">
      <c r="BV847" s="140"/>
      <c r="BY847" s="141"/>
      <c r="BZ847" s="141"/>
      <c r="CA847" s="141"/>
      <c r="CB847" s="141"/>
      <c r="CC847" s="141"/>
      <c r="CD847" s="141"/>
      <c r="CE847" s="141"/>
      <c r="CF847" s="141"/>
      <c r="CG847" s="141"/>
      <c r="CH847" s="141"/>
      <c r="CI847" s="141"/>
      <c r="CJ847" s="141"/>
      <c r="CK847" s="141"/>
      <c r="CL847" s="141"/>
    </row>
    <row r="848" spans="74:90" ht="49.5" customHeight="1" x14ac:dyDescent="0.35">
      <c r="BV848" s="140"/>
      <c r="BY848" s="141"/>
      <c r="BZ848" s="141"/>
      <c r="CA848" s="141"/>
      <c r="CB848" s="141"/>
      <c r="CC848" s="141"/>
      <c r="CD848" s="141"/>
      <c r="CE848" s="141"/>
      <c r="CF848" s="141"/>
      <c r="CG848" s="141"/>
      <c r="CH848" s="141"/>
      <c r="CI848" s="141"/>
      <c r="CJ848" s="141"/>
      <c r="CK848" s="141"/>
      <c r="CL848" s="141"/>
    </row>
    <row r="849" spans="74:90" ht="49.5" customHeight="1" x14ac:dyDescent="0.35">
      <c r="BV849" s="140"/>
      <c r="BY849" s="141"/>
      <c r="BZ849" s="141"/>
      <c r="CA849" s="141"/>
      <c r="CB849" s="141"/>
      <c r="CC849" s="141"/>
      <c r="CD849" s="141"/>
      <c r="CE849" s="141"/>
      <c r="CF849" s="141"/>
      <c r="CG849" s="141"/>
      <c r="CH849" s="141"/>
      <c r="CI849" s="141"/>
      <c r="CJ849" s="141"/>
      <c r="CK849" s="141"/>
      <c r="CL849" s="141"/>
    </row>
    <row r="850" spans="74:90" ht="49.5" customHeight="1" x14ac:dyDescent="0.35">
      <c r="BV850" s="140"/>
      <c r="BY850" s="141"/>
      <c r="BZ850" s="141"/>
      <c r="CA850" s="141"/>
      <c r="CB850" s="141"/>
      <c r="CC850" s="141"/>
      <c r="CD850" s="141"/>
      <c r="CE850" s="141"/>
      <c r="CF850" s="141"/>
      <c r="CG850" s="141"/>
      <c r="CH850" s="141"/>
      <c r="CI850" s="141"/>
      <c r="CJ850" s="141"/>
      <c r="CK850" s="141"/>
      <c r="CL850" s="141"/>
    </row>
    <row r="851" spans="74:90" ht="49.5" customHeight="1" x14ac:dyDescent="0.35">
      <c r="BV851" s="140"/>
      <c r="BY851" s="141"/>
      <c r="BZ851" s="141"/>
      <c r="CA851" s="141"/>
      <c r="CB851" s="141"/>
      <c r="CC851" s="141"/>
      <c r="CD851" s="141"/>
      <c r="CE851" s="141"/>
      <c r="CF851" s="141"/>
      <c r="CG851" s="141"/>
      <c r="CH851" s="141"/>
      <c r="CI851" s="141"/>
      <c r="CJ851" s="141"/>
      <c r="CK851" s="141"/>
      <c r="CL851" s="141"/>
    </row>
    <row r="852" spans="74:90" ht="49.5" customHeight="1" x14ac:dyDescent="0.35">
      <c r="BV852" s="140"/>
      <c r="BY852" s="141"/>
      <c r="BZ852" s="141"/>
      <c r="CA852" s="141"/>
      <c r="CB852" s="141"/>
      <c r="CC852" s="141"/>
      <c r="CD852" s="141"/>
      <c r="CE852" s="141"/>
      <c r="CF852" s="141"/>
      <c r="CG852" s="141"/>
      <c r="CH852" s="141"/>
      <c r="CI852" s="141"/>
      <c r="CJ852" s="141"/>
      <c r="CK852" s="141"/>
      <c r="CL852" s="141"/>
    </row>
    <row r="853" spans="74:90" ht="49.5" customHeight="1" x14ac:dyDescent="0.35">
      <c r="BV853" s="140"/>
      <c r="BY853" s="141"/>
      <c r="BZ853" s="141"/>
      <c r="CA853" s="141"/>
      <c r="CB853" s="141"/>
      <c r="CC853" s="141"/>
      <c r="CD853" s="141"/>
      <c r="CE853" s="141"/>
      <c r="CF853" s="141"/>
      <c r="CG853" s="141"/>
      <c r="CH853" s="141"/>
      <c r="CI853" s="141"/>
      <c r="CJ853" s="141"/>
      <c r="CK853" s="141"/>
      <c r="CL853" s="141"/>
    </row>
    <row r="854" spans="74:90" ht="49.5" customHeight="1" x14ac:dyDescent="0.35">
      <c r="BV854" s="140"/>
      <c r="BY854" s="141"/>
      <c r="BZ854" s="141"/>
      <c r="CA854" s="141"/>
      <c r="CB854" s="141"/>
      <c r="CC854" s="141"/>
      <c r="CD854" s="141"/>
      <c r="CE854" s="141"/>
      <c r="CF854" s="141"/>
      <c r="CG854" s="141"/>
      <c r="CH854" s="141"/>
      <c r="CI854" s="141"/>
      <c r="CJ854" s="141"/>
      <c r="CK854" s="141"/>
      <c r="CL854" s="141"/>
    </row>
    <row r="855" spans="74:90" ht="49.5" customHeight="1" x14ac:dyDescent="0.35">
      <c r="BV855" s="140"/>
      <c r="BY855" s="141"/>
      <c r="BZ855" s="141"/>
      <c r="CA855" s="141"/>
      <c r="CB855" s="141"/>
      <c r="CC855" s="141"/>
      <c r="CD855" s="141"/>
      <c r="CE855" s="141"/>
      <c r="CF855" s="141"/>
      <c r="CG855" s="141"/>
      <c r="CH855" s="141"/>
      <c r="CI855" s="141"/>
      <c r="CJ855" s="141"/>
      <c r="CK855" s="141"/>
      <c r="CL855" s="141"/>
    </row>
    <row r="856" spans="74:90" ht="49.5" customHeight="1" x14ac:dyDescent="0.35">
      <c r="BV856" s="140"/>
      <c r="BY856" s="141"/>
      <c r="BZ856" s="141"/>
      <c r="CA856" s="141"/>
      <c r="CB856" s="141"/>
      <c r="CC856" s="141"/>
      <c r="CD856" s="141"/>
      <c r="CE856" s="141"/>
      <c r="CF856" s="141"/>
      <c r="CG856" s="141"/>
      <c r="CH856" s="141"/>
      <c r="CI856" s="141"/>
      <c r="CJ856" s="141"/>
      <c r="CK856" s="141"/>
      <c r="CL856" s="141"/>
    </row>
    <row r="857" spans="74:90" ht="49.5" customHeight="1" x14ac:dyDescent="0.35">
      <c r="BV857" s="140"/>
      <c r="BY857" s="141"/>
      <c r="BZ857" s="141"/>
      <c r="CA857" s="141"/>
      <c r="CB857" s="141"/>
      <c r="CC857" s="141"/>
      <c r="CD857" s="141"/>
      <c r="CE857" s="141"/>
      <c r="CF857" s="141"/>
      <c r="CG857" s="141"/>
      <c r="CH857" s="141"/>
      <c r="CI857" s="141"/>
      <c r="CJ857" s="141"/>
      <c r="CK857" s="141"/>
      <c r="CL857" s="141"/>
    </row>
    <row r="858" spans="74:90" ht="49.5" customHeight="1" x14ac:dyDescent="0.35">
      <c r="BV858" s="140"/>
      <c r="BY858" s="141"/>
      <c r="BZ858" s="141"/>
      <c r="CA858" s="141"/>
      <c r="CB858" s="141"/>
      <c r="CC858" s="141"/>
      <c r="CD858" s="141"/>
      <c r="CE858" s="141"/>
      <c r="CF858" s="141"/>
      <c r="CG858" s="141"/>
      <c r="CH858" s="141"/>
      <c r="CI858" s="141"/>
      <c r="CJ858" s="141"/>
      <c r="CK858" s="141"/>
      <c r="CL858" s="141"/>
    </row>
    <row r="859" spans="74:90" ht="49.5" customHeight="1" x14ac:dyDescent="0.35">
      <c r="BV859" s="140"/>
      <c r="BY859" s="141"/>
      <c r="BZ859" s="141"/>
      <c r="CA859" s="141"/>
      <c r="CB859" s="141"/>
      <c r="CC859" s="141"/>
      <c r="CD859" s="141"/>
      <c r="CE859" s="141"/>
      <c r="CF859" s="141"/>
      <c r="CG859" s="141"/>
      <c r="CH859" s="141"/>
      <c r="CI859" s="141"/>
      <c r="CJ859" s="141"/>
      <c r="CK859" s="141"/>
      <c r="CL859" s="141"/>
    </row>
    <row r="860" spans="74:90" ht="49.5" customHeight="1" x14ac:dyDescent="0.35">
      <c r="BV860" s="140"/>
      <c r="BY860" s="141"/>
      <c r="BZ860" s="141"/>
      <c r="CA860" s="141"/>
      <c r="CB860" s="141"/>
      <c r="CC860" s="141"/>
      <c r="CD860" s="141"/>
      <c r="CE860" s="141"/>
      <c r="CF860" s="141"/>
      <c r="CG860" s="141"/>
      <c r="CH860" s="141"/>
      <c r="CI860" s="141"/>
      <c r="CJ860" s="141"/>
      <c r="CK860" s="141"/>
      <c r="CL860" s="141"/>
    </row>
    <row r="861" spans="74:90" ht="49.5" customHeight="1" x14ac:dyDescent="0.35">
      <c r="BV861" s="140"/>
      <c r="BY861" s="141"/>
      <c r="BZ861" s="141"/>
      <c r="CA861" s="141"/>
      <c r="CB861" s="141"/>
      <c r="CC861" s="141"/>
      <c r="CD861" s="141"/>
      <c r="CE861" s="141"/>
      <c r="CF861" s="141"/>
      <c r="CG861" s="141"/>
      <c r="CH861" s="141"/>
      <c r="CI861" s="141"/>
      <c r="CJ861" s="141"/>
      <c r="CK861" s="141"/>
      <c r="CL861" s="141"/>
    </row>
    <row r="862" spans="74:90" ht="49.5" customHeight="1" x14ac:dyDescent="0.35">
      <c r="BV862" s="140"/>
      <c r="BY862" s="141"/>
      <c r="BZ862" s="141"/>
      <c r="CA862" s="141"/>
      <c r="CB862" s="141"/>
      <c r="CC862" s="141"/>
      <c r="CD862" s="141"/>
      <c r="CE862" s="141"/>
      <c r="CF862" s="141"/>
      <c r="CG862" s="141"/>
      <c r="CH862" s="141"/>
      <c r="CI862" s="141"/>
      <c r="CJ862" s="141"/>
      <c r="CK862" s="141"/>
      <c r="CL862" s="141"/>
    </row>
    <row r="863" spans="74:90" ht="49.5" customHeight="1" x14ac:dyDescent="0.35">
      <c r="BV863" s="140"/>
      <c r="BY863" s="141"/>
      <c r="BZ863" s="141"/>
      <c r="CA863" s="141"/>
      <c r="CB863" s="141"/>
      <c r="CC863" s="141"/>
      <c r="CD863" s="141"/>
      <c r="CE863" s="141"/>
      <c r="CF863" s="141"/>
      <c r="CG863" s="141"/>
      <c r="CH863" s="141"/>
      <c r="CI863" s="141"/>
      <c r="CJ863" s="141"/>
      <c r="CK863" s="141"/>
      <c r="CL863" s="141"/>
    </row>
    <row r="864" spans="74:90" ht="49.5" customHeight="1" x14ac:dyDescent="0.35">
      <c r="BV864" s="140"/>
      <c r="BY864" s="141"/>
      <c r="BZ864" s="141"/>
      <c r="CA864" s="141"/>
      <c r="CB864" s="141"/>
      <c r="CC864" s="141"/>
      <c r="CD864" s="141"/>
      <c r="CE864" s="141"/>
      <c r="CF864" s="141"/>
      <c r="CG864" s="141"/>
      <c r="CH864" s="141"/>
      <c r="CI864" s="141"/>
      <c r="CJ864" s="141"/>
      <c r="CK864" s="141"/>
      <c r="CL864" s="141"/>
    </row>
    <row r="865" spans="74:90" ht="49.5" customHeight="1" x14ac:dyDescent="0.35">
      <c r="BV865" s="140"/>
      <c r="BY865" s="141"/>
      <c r="BZ865" s="141"/>
      <c r="CA865" s="141"/>
      <c r="CB865" s="141"/>
      <c r="CC865" s="141"/>
      <c r="CD865" s="141"/>
      <c r="CE865" s="141"/>
      <c r="CF865" s="141"/>
      <c r="CG865" s="141"/>
      <c r="CH865" s="141"/>
      <c r="CI865" s="141"/>
      <c r="CJ865" s="141"/>
      <c r="CK865" s="141"/>
      <c r="CL865" s="141"/>
    </row>
    <row r="866" spans="74:90" ht="49.5" customHeight="1" x14ac:dyDescent="0.35">
      <c r="BV866" s="140"/>
      <c r="BY866" s="141"/>
      <c r="BZ866" s="141"/>
      <c r="CA866" s="141"/>
      <c r="CB866" s="141"/>
      <c r="CC866" s="141"/>
      <c r="CD866" s="141"/>
      <c r="CE866" s="141"/>
      <c r="CF866" s="141"/>
      <c r="CG866" s="141"/>
      <c r="CH866" s="141"/>
      <c r="CI866" s="141"/>
      <c r="CJ866" s="141"/>
      <c r="CK866" s="141"/>
      <c r="CL866" s="141"/>
    </row>
    <row r="867" spans="74:90" ht="49.5" customHeight="1" x14ac:dyDescent="0.35">
      <c r="BV867" s="140"/>
      <c r="BY867" s="141"/>
      <c r="BZ867" s="141"/>
      <c r="CA867" s="141"/>
      <c r="CB867" s="141"/>
      <c r="CC867" s="141"/>
      <c r="CD867" s="141"/>
      <c r="CE867" s="141"/>
      <c r="CF867" s="141"/>
      <c r="CG867" s="141"/>
      <c r="CH867" s="141"/>
      <c r="CI867" s="141"/>
      <c r="CJ867" s="141"/>
      <c r="CK867" s="141"/>
      <c r="CL867" s="141"/>
    </row>
    <row r="868" spans="74:90" ht="49.5" customHeight="1" x14ac:dyDescent="0.35">
      <c r="BV868" s="140"/>
      <c r="BY868" s="141"/>
      <c r="BZ868" s="141"/>
      <c r="CA868" s="141"/>
      <c r="CB868" s="141"/>
      <c r="CC868" s="141"/>
      <c r="CD868" s="141"/>
      <c r="CE868" s="141"/>
      <c r="CF868" s="141"/>
      <c r="CG868" s="141"/>
      <c r="CH868" s="141"/>
      <c r="CI868" s="141"/>
      <c r="CJ868" s="141"/>
      <c r="CK868" s="141"/>
      <c r="CL868" s="141"/>
    </row>
    <row r="869" spans="74:90" ht="49.5" customHeight="1" x14ac:dyDescent="0.35">
      <c r="BV869" s="140"/>
      <c r="BY869" s="141"/>
      <c r="BZ869" s="141"/>
      <c r="CA869" s="141"/>
      <c r="CB869" s="141"/>
      <c r="CC869" s="141"/>
      <c r="CD869" s="141"/>
      <c r="CE869" s="141"/>
      <c r="CF869" s="141"/>
      <c r="CG869" s="141"/>
      <c r="CH869" s="141"/>
      <c r="CI869" s="141"/>
      <c r="CJ869" s="141"/>
      <c r="CK869" s="141"/>
      <c r="CL869" s="141"/>
    </row>
    <row r="870" spans="74:90" ht="49.5" customHeight="1" x14ac:dyDescent="0.35">
      <c r="BV870" s="140"/>
      <c r="BY870" s="141"/>
      <c r="BZ870" s="141"/>
      <c r="CA870" s="141"/>
      <c r="CB870" s="141"/>
      <c r="CC870" s="141"/>
      <c r="CD870" s="141"/>
      <c r="CE870" s="141"/>
      <c r="CF870" s="141"/>
      <c r="CG870" s="141"/>
      <c r="CH870" s="141"/>
      <c r="CI870" s="141"/>
      <c r="CJ870" s="141"/>
      <c r="CK870" s="141"/>
      <c r="CL870" s="141"/>
    </row>
    <row r="871" spans="74:90" ht="49.5" customHeight="1" x14ac:dyDescent="0.35">
      <c r="BV871" s="140"/>
      <c r="BY871" s="141"/>
      <c r="BZ871" s="141"/>
      <c r="CA871" s="141"/>
      <c r="CB871" s="141"/>
      <c r="CC871" s="141"/>
      <c r="CD871" s="141"/>
      <c r="CE871" s="141"/>
      <c r="CF871" s="141"/>
      <c r="CG871" s="141"/>
      <c r="CH871" s="141"/>
      <c r="CI871" s="141"/>
      <c r="CJ871" s="141"/>
      <c r="CK871" s="141"/>
      <c r="CL871" s="141"/>
    </row>
    <row r="872" spans="74:90" ht="49.5" customHeight="1" x14ac:dyDescent="0.35">
      <c r="BV872" s="140"/>
      <c r="BY872" s="141"/>
      <c r="BZ872" s="141"/>
      <c r="CA872" s="141"/>
      <c r="CB872" s="141"/>
      <c r="CC872" s="141"/>
      <c r="CD872" s="141"/>
      <c r="CE872" s="141"/>
      <c r="CF872" s="141"/>
      <c r="CG872" s="141"/>
      <c r="CH872" s="141"/>
      <c r="CI872" s="141"/>
      <c r="CJ872" s="141"/>
      <c r="CK872" s="141"/>
      <c r="CL872" s="141"/>
    </row>
    <row r="873" spans="74:90" ht="49.5" customHeight="1" x14ac:dyDescent="0.35">
      <c r="BV873" s="140"/>
      <c r="BY873" s="141"/>
      <c r="BZ873" s="141"/>
      <c r="CA873" s="141"/>
      <c r="CB873" s="141"/>
      <c r="CC873" s="141"/>
      <c r="CD873" s="141"/>
      <c r="CE873" s="141"/>
      <c r="CF873" s="141"/>
      <c r="CG873" s="141"/>
      <c r="CH873" s="141"/>
      <c r="CI873" s="141"/>
      <c r="CJ873" s="141"/>
      <c r="CK873" s="141"/>
      <c r="CL873" s="141"/>
    </row>
    <row r="874" spans="74:90" ht="49.5" customHeight="1" x14ac:dyDescent="0.35">
      <c r="BV874" s="140"/>
      <c r="BY874" s="141"/>
      <c r="BZ874" s="141"/>
      <c r="CA874" s="141"/>
      <c r="CB874" s="141"/>
      <c r="CC874" s="141"/>
      <c r="CD874" s="141"/>
      <c r="CE874" s="141"/>
      <c r="CF874" s="141"/>
      <c r="CG874" s="141"/>
      <c r="CH874" s="141"/>
      <c r="CI874" s="141"/>
      <c r="CJ874" s="141"/>
      <c r="CK874" s="141"/>
      <c r="CL874" s="141"/>
    </row>
    <row r="875" spans="74:90" ht="49.5" customHeight="1" x14ac:dyDescent="0.35">
      <c r="BV875" s="140"/>
      <c r="BY875" s="141"/>
      <c r="BZ875" s="141"/>
      <c r="CA875" s="141"/>
      <c r="CB875" s="141"/>
      <c r="CC875" s="141"/>
      <c r="CD875" s="141"/>
      <c r="CE875" s="141"/>
      <c r="CF875" s="141"/>
      <c r="CG875" s="141"/>
      <c r="CH875" s="141"/>
      <c r="CI875" s="141"/>
      <c r="CJ875" s="141"/>
      <c r="CK875" s="141"/>
      <c r="CL875" s="141"/>
    </row>
    <row r="876" spans="74:90" ht="49.5" customHeight="1" x14ac:dyDescent="0.35">
      <c r="BV876" s="140"/>
      <c r="BY876" s="141"/>
      <c r="BZ876" s="141"/>
      <c r="CA876" s="141"/>
      <c r="CB876" s="141"/>
      <c r="CC876" s="141"/>
      <c r="CD876" s="141"/>
      <c r="CE876" s="141"/>
      <c r="CF876" s="141"/>
      <c r="CG876" s="141"/>
      <c r="CH876" s="141"/>
      <c r="CI876" s="141"/>
      <c r="CJ876" s="141"/>
      <c r="CK876" s="141"/>
      <c r="CL876" s="141"/>
    </row>
    <row r="877" spans="74:90" ht="49.5" customHeight="1" x14ac:dyDescent="0.35">
      <c r="BV877" s="140"/>
      <c r="BY877" s="141"/>
      <c r="BZ877" s="141"/>
      <c r="CA877" s="141"/>
      <c r="CB877" s="141"/>
      <c r="CC877" s="141"/>
      <c r="CD877" s="141"/>
      <c r="CE877" s="141"/>
      <c r="CF877" s="141"/>
      <c r="CG877" s="141"/>
      <c r="CH877" s="141"/>
      <c r="CI877" s="141"/>
      <c r="CJ877" s="141"/>
      <c r="CK877" s="141"/>
      <c r="CL877" s="141"/>
    </row>
    <row r="878" spans="74:90" ht="49.5" customHeight="1" x14ac:dyDescent="0.35">
      <c r="BV878" s="140"/>
      <c r="BY878" s="141"/>
      <c r="BZ878" s="141"/>
      <c r="CA878" s="141"/>
      <c r="CB878" s="141"/>
      <c r="CC878" s="141"/>
      <c r="CD878" s="141"/>
      <c r="CE878" s="141"/>
      <c r="CF878" s="141"/>
      <c r="CG878" s="141"/>
      <c r="CH878" s="141"/>
      <c r="CI878" s="141"/>
      <c r="CJ878" s="141"/>
      <c r="CK878" s="141"/>
      <c r="CL878" s="141"/>
    </row>
    <row r="879" spans="74:90" ht="49.5" customHeight="1" x14ac:dyDescent="0.35">
      <c r="BV879" s="140"/>
      <c r="BY879" s="141"/>
      <c r="BZ879" s="141"/>
      <c r="CA879" s="141"/>
      <c r="CB879" s="141"/>
      <c r="CC879" s="141"/>
      <c r="CD879" s="141"/>
      <c r="CE879" s="141"/>
      <c r="CF879" s="141"/>
      <c r="CG879" s="141"/>
      <c r="CH879" s="141"/>
      <c r="CI879" s="141"/>
      <c r="CJ879" s="141"/>
      <c r="CK879" s="141"/>
      <c r="CL879" s="141"/>
    </row>
    <row r="880" spans="74:90" ht="49.5" customHeight="1" x14ac:dyDescent="0.35">
      <c r="BV880" s="140"/>
      <c r="BY880" s="141"/>
      <c r="BZ880" s="141"/>
      <c r="CA880" s="141"/>
      <c r="CB880" s="141"/>
      <c r="CC880" s="141"/>
      <c r="CD880" s="141"/>
      <c r="CE880" s="141"/>
      <c r="CF880" s="141"/>
      <c r="CG880" s="141"/>
      <c r="CH880" s="141"/>
      <c r="CI880" s="141"/>
      <c r="CJ880" s="141"/>
      <c r="CK880" s="141"/>
      <c r="CL880" s="141"/>
    </row>
    <row r="881" spans="74:90" ht="49.5" customHeight="1" x14ac:dyDescent="0.35">
      <c r="BV881" s="140"/>
      <c r="BY881" s="141"/>
      <c r="BZ881" s="141"/>
      <c r="CA881" s="141"/>
      <c r="CB881" s="141"/>
      <c r="CC881" s="141"/>
      <c r="CD881" s="141"/>
      <c r="CE881" s="141"/>
      <c r="CF881" s="141"/>
      <c r="CG881" s="141"/>
      <c r="CH881" s="141"/>
      <c r="CI881" s="141"/>
      <c r="CJ881" s="141"/>
      <c r="CK881" s="141"/>
      <c r="CL881" s="141"/>
    </row>
    <row r="882" spans="74:90" ht="49.5" customHeight="1" x14ac:dyDescent="0.35">
      <c r="BV882" s="140"/>
      <c r="BY882" s="141"/>
      <c r="BZ882" s="141"/>
      <c r="CA882" s="141"/>
      <c r="CB882" s="141"/>
      <c r="CC882" s="141"/>
      <c r="CD882" s="141"/>
      <c r="CE882" s="141"/>
      <c r="CF882" s="141"/>
      <c r="CG882" s="141"/>
      <c r="CH882" s="141"/>
      <c r="CI882" s="141"/>
      <c r="CJ882" s="141"/>
      <c r="CK882" s="141"/>
      <c r="CL882" s="141"/>
    </row>
    <row r="883" spans="74:90" ht="49.5" customHeight="1" x14ac:dyDescent="0.35">
      <c r="BV883" s="140"/>
      <c r="BY883" s="141"/>
      <c r="BZ883" s="141"/>
      <c r="CA883" s="141"/>
      <c r="CB883" s="141"/>
      <c r="CC883" s="141"/>
      <c r="CD883" s="141"/>
      <c r="CE883" s="141"/>
      <c r="CF883" s="141"/>
      <c r="CG883" s="141"/>
      <c r="CH883" s="141"/>
      <c r="CI883" s="141"/>
      <c r="CJ883" s="141"/>
      <c r="CK883" s="141"/>
      <c r="CL883" s="141"/>
    </row>
    <row r="884" spans="74:90" ht="49.5" customHeight="1" x14ac:dyDescent="0.35">
      <c r="BV884" s="140"/>
      <c r="BY884" s="141"/>
      <c r="BZ884" s="141"/>
      <c r="CA884" s="141"/>
      <c r="CB884" s="141"/>
      <c r="CC884" s="141"/>
      <c r="CD884" s="141"/>
      <c r="CE884" s="141"/>
      <c r="CF884" s="141"/>
      <c r="CG884" s="141"/>
      <c r="CH884" s="141"/>
      <c r="CI884" s="141"/>
      <c r="CJ884" s="141"/>
      <c r="CK884" s="141"/>
      <c r="CL884" s="141"/>
    </row>
    <row r="885" spans="74:90" ht="49.5" customHeight="1" x14ac:dyDescent="0.35">
      <c r="BV885" s="140"/>
      <c r="BY885" s="141"/>
      <c r="BZ885" s="141"/>
      <c r="CA885" s="141"/>
      <c r="CB885" s="141"/>
      <c r="CC885" s="141"/>
      <c r="CD885" s="141"/>
      <c r="CE885" s="141"/>
      <c r="CF885" s="141"/>
      <c r="CG885" s="141"/>
      <c r="CH885" s="141"/>
      <c r="CI885" s="141"/>
      <c r="CJ885" s="141"/>
      <c r="CK885" s="141"/>
      <c r="CL885" s="141"/>
    </row>
    <row r="886" spans="74:90" ht="49.5" customHeight="1" x14ac:dyDescent="0.35">
      <c r="BV886" s="140"/>
      <c r="BY886" s="141"/>
      <c r="BZ886" s="141"/>
      <c r="CA886" s="141"/>
      <c r="CB886" s="141"/>
      <c r="CC886" s="141"/>
      <c r="CD886" s="141"/>
      <c r="CE886" s="141"/>
      <c r="CF886" s="141"/>
      <c r="CG886" s="141"/>
      <c r="CH886" s="141"/>
      <c r="CI886" s="141"/>
      <c r="CJ886" s="141"/>
      <c r="CK886" s="141"/>
      <c r="CL886" s="141"/>
    </row>
    <row r="887" spans="74:90" ht="49.5" customHeight="1" x14ac:dyDescent="0.35">
      <c r="BV887" s="140"/>
      <c r="BY887" s="141"/>
      <c r="BZ887" s="141"/>
      <c r="CA887" s="141"/>
      <c r="CB887" s="141"/>
      <c r="CC887" s="141"/>
      <c r="CD887" s="141"/>
      <c r="CE887" s="141"/>
      <c r="CF887" s="141"/>
      <c r="CG887" s="141"/>
      <c r="CH887" s="141"/>
      <c r="CI887" s="141"/>
      <c r="CJ887" s="141"/>
      <c r="CK887" s="141"/>
      <c r="CL887" s="141"/>
    </row>
    <row r="888" spans="74:90" ht="49.5" customHeight="1" x14ac:dyDescent="0.35">
      <c r="BV888" s="140"/>
      <c r="BY888" s="141"/>
      <c r="BZ888" s="141"/>
      <c r="CA888" s="141"/>
      <c r="CB888" s="141"/>
      <c r="CC888" s="141"/>
      <c r="CD888" s="141"/>
      <c r="CE888" s="141"/>
      <c r="CF888" s="141"/>
      <c r="CG888" s="141"/>
      <c r="CH888" s="141"/>
      <c r="CI888" s="141"/>
      <c r="CJ888" s="141"/>
      <c r="CK888" s="141"/>
      <c r="CL888" s="141"/>
    </row>
    <row r="889" spans="74:90" ht="49.5" customHeight="1" x14ac:dyDescent="0.35">
      <c r="BV889" s="140"/>
      <c r="BY889" s="141"/>
      <c r="BZ889" s="141"/>
      <c r="CA889" s="141"/>
      <c r="CB889" s="141"/>
      <c r="CC889" s="141"/>
      <c r="CD889" s="141"/>
      <c r="CE889" s="141"/>
      <c r="CF889" s="141"/>
      <c r="CG889" s="141"/>
      <c r="CH889" s="141"/>
      <c r="CI889" s="141"/>
      <c r="CJ889" s="141"/>
      <c r="CK889" s="141"/>
      <c r="CL889" s="141"/>
    </row>
    <row r="890" spans="74:90" ht="49.5" customHeight="1" x14ac:dyDescent="0.35">
      <c r="BV890" s="140"/>
      <c r="BY890" s="141"/>
      <c r="BZ890" s="141"/>
      <c r="CA890" s="141"/>
      <c r="CB890" s="141"/>
      <c r="CC890" s="141"/>
      <c r="CD890" s="141"/>
      <c r="CE890" s="141"/>
      <c r="CF890" s="141"/>
      <c r="CG890" s="141"/>
      <c r="CH890" s="141"/>
      <c r="CI890" s="141"/>
      <c r="CJ890" s="141"/>
      <c r="CK890" s="141"/>
      <c r="CL890" s="141"/>
    </row>
    <row r="891" spans="74:90" ht="49.5" customHeight="1" x14ac:dyDescent="0.35">
      <c r="BV891" s="140"/>
      <c r="BY891" s="141"/>
      <c r="BZ891" s="141"/>
      <c r="CA891" s="141"/>
      <c r="CB891" s="141"/>
      <c r="CC891" s="141"/>
      <c r="CD891" s="141"/>
      <c r="CE891" s="141"/>
      <c r="CF891" s="141"/>
      <c r="CG891" s="141"/>
      <c r="CH891" s="141"/>
      <c r="CI891" s="141"/>
      <c r="CJ891" s="141"/>
      <c r="CK891" s="141"/>
      <c r="CL891" s="141"/>
    </row>
    <row r="892" spans="74:90" ht="49.5" customHeight="1" x14ac:dyDescent="0.35">
      <c r="BV892" s="140"/>
      <c r="BY892" s="141"/>
      <c r="BZ892" s="141"/>
      <c r="CA892" s="141"/>
      <c r="CB892" s="141"/>
      <c r="CC892" s="141"/>
      <c r="CD892" s="141"/>
      <c r="CE892" s="141"/>
      <c r="CF892" s="141"/>
      <c r="CG892" s="141"/>
      <c r="CH892" s="141"/>
      <c r="CI892" s="141"/>
      <c r="CJ892" s="141"/>
      <c r="CK892" s="141"/>
      <c r="CL892" s="141"/>
    </row>
    <row r="893" spans="74:90" ht="49.5" customHeight="1" x14ac:dyDescent="0.35">
      <c r="BV893" s="140"/>
      <c r="BY893" s="141"/>
      <c r="BZ893" s="141"/>
      <c r="CA893" s="141"/>
      <c r="CB893" s="141"/>
      <c r="CC893" s="141"/>
      <c r="CD893" s="141"/>
      <c r="CE893" s="141"/>
      <c r="CF893" s="141"/>
      <c r="CG893" s="141"/>
      <c r="CH893" s="141"/>
      <c r="CI893" s="141"/>
      <c r="CJ893" s="141"/>
      <c r="CK893" s="141"/>
      <c r="CL893" s="141"/>
    </row>
    <row r="894" spans="74:90" ht="49.5" customHeight="1" x14ac:dyDescent="0.35">
      <c r="BV894" s="140"/>
      <c r="BY894" s="141"/>
      <c r="BZ894" s="141"/>
      <c r="CA894" s="141"/>
      <c r="CB894" s="141"/>
      <c r="CC894" s="141"/>
      <c r="CD894" s="141"/>
      <c r="CE894" s="141"/>
      <c r="CF894" s="141"/>
      <c r="CG894" s="141"/>
      <c r="CH894" s="141"/>
      <c r="CI894" s="141"/>
      <c r="CJ894" s="141"/>
      <c r="CK894" s="141"/>
      <c r="CL894" s="141"/>
    </row>
    <row r="895" spans="74:90" ht="49.5" customHeight="1" x14ac:dyDescent="0.35">
      <c r="BV895" s="140"/>
      <c r="BY895" s="141"/>
      <c r="BZ895" s="141"/>
      <c r="CA895" s="141"/>
      <c r="CB895" s="141"/>
      <c r="CC895" s="141"/>
      <c r="CD895" s="141"/>
      <c r="CE895" s="141"/>
      <c r="CF895" s="141"/>
      <c r="CG895" s="141"/>
      <c r="CH895" s="141"/>
      <c r="CI895" s="141"/>
      <c r="CJ895" s="141"/>
      <c r="CK895" s="141"/>
      <c r="CL895" s="141"/>
    </row>
    <row r="896" spans="74:90" ht="49.5" customHeight="1" x14ac:dyDescent="0.35">
      <c r="BV896" s="140"/>
      <c r="BY896" s="141"/>
      <c r="BZ896" s="141"/>
      <c r="CA896" s="141"/>
      <c r="CB896" s="141"/>
      <c r="CC896" s="141"/>
      <c r="CD896" s="141"/>
      <c r="CE896" s="141"/>
      <c r="CF896" s="141"/>
      <c r="CG896" s="141"/>
      <c r="CH896" s="141"/>
      <c r="CI896" s="141"/>
      <c r="CJ896" s="141"/>
      <c r="CK896" s="141"/>
      <c r="CL896" s="141"/>
    </row>
    <row r="897" spans="74:90" ht="49.5" customHeight="1" x14ac:dyDescent="0.35">
      <c r="BV897" s="140"/>
      <c r="BY897" s="141"/>
      <c r="BZ897" s="141"/>
      <c r="CA897" s="141"/>
      <c r="CB897" s="141"/>
      <c r="CC897" s="141"/>
      <c r="CD897" s="141"/>
      <c r="CE897" s="141"/>
      <c r="CF897" s="141"/>
      <c r="CG897" s="141"/>
      <c r="CH897" s="141"/>
      <c r="CI897" s="141"/>
      <c r="CJ897" s="141"/>
      <c r="CK897" s="141"/>
      <c r="CL897" s="141"/>
    </row>
    <row r="898" spans="74:90" ht="49.5" customHeight="1" x14ac:dyDescent="0.35">
      <c r="BV898" s="140"/>
      <c r="BY898" s="141"/>
      <c r="BZ898" s="141"/>
      <c r="CA898" s="141"/>
      <c r="CB898" s="141"/>
      <c r="CC898" s="141"/>
      <c r="CD898" s="141"/>
      <c r="CE898" s="141"/>
      <c r="CF898" s="141"/>
      <c r="CG898" s="141"/>
      <c r="CH898" s="141"/>
      <c r="CI898" s="141"/>
      <c r="CJ898" s="141"/>
      <c r="CK898" s="141"/>
      <c r="CL898" s="141"/>
    </row>
    <row r="899" spans="74:90" ht="49.5" customHeight="1" x14ac:dyDescent="0.35">
      <c r="BV899" s="140"/>
      <c r="BY899" s="141"/>
      <c r="BZ899" s="141"/>
      <c r="CA899" s="141"/>
      <c r="CB899" s="141"/>
      <c r="CC899" s="141"/>
      <c r="CD899" s="141"/>
      <c r="CE899" s="141"/>
      <c r="CF899" s="141"/>
      <c r="CG899" s="141"/>
      <c r="CH899" s="141"/>
      <c r="CI899" s="141"/>
      <c r="CJ899" s="141"/>
      <c r="CK899" s="141"/>
      <c r="CL899" s="141"/>
    </row>
    <row r="900" spans="74:90" ht="49.5" customHeight="1" x14ac:dyDescent="0.35">
      <c r="BV900" s="140"/>
      <c r="BY900" s="141"/>
      <c r="BZ900" s="141"/>
      <c r="CA900" s="141"/>
      <c r="CB900" s="141"/>
      <c r="CC900" s="141"/>
      <c r="CD900" s="141"/>
      <c r="CE900" s="141"/>
      <c r="CF900" s="141"/>
      <c r="CG900" s="141"/>
      <c r="CH900" s="141"/>
      <c r="CI900" s="141"/>
      <c r="CJ900" s="141"/>
      <c r="CK900" s="141"/>
      <c r="CL900" s="141"/>
    </row>
    <row r="901" spans="74:90" ht="49.5" customHeight="1" x14ac:dyDescent="0.35">
      <c r="BV901" s="140"/>
      <c r="BY901" s="141"/>
      <c r="BZ901" s="141"/>
      <c r="CA901" s="141"/>
      <c r="CB901" s="141"/>
      <c r="CC901" s="141"/>
      <c r="CD901" s="141"/>
      <c r="CE901" s="141"/>
      <c r="CF901" s="141"/>
      <c r="CG901" s="141"/>
      <c r="CH901" s="141"/>
      <c r="CI901" s="141"/>
      <c r="CJ901" s="141"/>
      <c r="CK901" s="141"/>
      <c r="CL901" s="141"/>
    </row>
    <row r="902" spans="74:90" ht="49.5" customHeight="1" x14ac:dyDescent="0.35">
      <c r="BV902" s="140"/>
      <c r="BY902" s="141"/>
      <c r="BZ902" s="141"/>
      <c r="CA902" s="141"/>
      <c r="CB902" s="141"/>
      <c r="CC902" s="141"/>
      <c r="CD902" s="141"/>
      <c r="CE902" s="141"/>
      <c r="CF902" s="141"/>
      <c r="CG902" s="141"/>
      <c r="CH902" s="141"/>
      <c r="CI902" s="141"/>
      <c r="CJ902" s="141"/>
      <c r="CK902" s="141"/>
      <c r="CL902" s="141"/>
    </row>
    <row r="903" spans="74:90" ht="49.5" customHeight="1" x14ac:dyDescent="0.35">
      <c r="BV903" s="140"/>
      <c r="BY903" s="141"/>
      <c r="BZ903" s="141"/>
      <c r="CA903" s="141"/>
      <c r="CB903" s="141"/>
      <c r="CC903" s="141"/>
      <c r="CD903" s="141"/>
      <c r="CE903" s="141"/>
      <c r="CF903" s="141"/>
      <c r="CG903" s="141"/>
      <c r="CH903" s="141"/>
      <c r="CI903" s="141"/>
      <c r="CJ903" s="141"/>
      <c r="CK903" s="141"/>
      <c r="CL903" s="141"/>
    </row>
    <row r="904" spans="74:90" ht="49.5" customHeight="1" x14ac:dyDescent="0.35">
      <c r="BV904" s="140"/>
      <c r="BY904" s="141"/>
      <c r="BZ904" s="141"/>
      <c r="CA904" s="141"/>
      <c r="CB904" s="141"/>
      <c r="CC904" s="141"/>
      <c r="CD904" s="141"/>
      <c r="CE904" s="141"/>
      <c r="CF904" s="141"/>
      <c r="CG904" s="141"/>
      <c r="CH904" s="141"/>
      <c r="CI904" s="141"/>
      <c r="CJ904" s="141"/>
      <c r="CK904" s="141"/>
      <c r="CL904" s="141"/>
    </row>
    <row r="905" spans="74:90" ht="49.5" customHeight="1" x14ac:dyDescent="0.35">
      <c r="BV905" s="140"/>
      <c r="BY905" s="141"/>
      <c r="BZ905" s="141"/>
      <c r="CA905" s="141"/>
      <c r="CB905" s="141"/>
      <c r="CC905" s="141"/>
      <c r="CD905" s="141"/>
      <c r="CE905" s="141"/>
      <c r="CF905" s="141"/>
      <c r="CG905" s="141"/>
      <c r="CH905" s="141"/>
      <c r="CI905" s="141"/>
      <c r="CJ905" s="141"/>
      <c r="CK905" s="141"/>
      <c r="CL905" s="141"/>
    </row>
    <row r="906" spans="74:90" ht="49.5" customHeight="1" x14ac:dyDescent="0.35">
      <c r="BV906" s="140"/>
      <c r="BY906" s="141"/>
      <c r="BZ906" s="141"/>
      <c r="CA906" s="141"/>
      <c r="CB906" s="141"/>
      <c r="CC906" s="141"/>
      <c r="CD906" s="141"/>
      <c r="CE906" s="141"/>
      <c r="CF906" s="141"/>
      <c r="CG906" s="141"/>
      <c r="CH906" s="141"/>
      <c r="CI906" s="141"/>
      <c r="CJ906" s="141"/>
      <c r="CK906" s="141"/>
      <c r="CL906" s="141"/>
    </row>
    <row r="907" spans="74:90" ht="49.5" customHeight="1" x14ac:dyDescent="0.35">
      <c r="BV907" s="140"/>
      <c r="BY907" s="141"/>
      <c r="BZ907" s="141"/>
      <c r="CA907" s="141"/>
      <c r="CB907" s="141"/>
      <c r="CC907" s="141"/>
      <c r="CD907" s="141"/>
      <c r="CE907" s="141"/>
      <c r="CF907" s="141"/>
      <c r="CG907" s="141"/>
      <c r="CH907" s="141"/>
      <c r="CI907" s="141"/>
      <c r="CJ907" s="141"/>
      <c r="CK907" s="141"/>
      <c r="CL907" s="141"/>
    </row>
    <row r="908" spans="74:90" ht="49.5" customHeight="1" x14ac:dyDescent="0.35">
      <c r="BV908" s="140"/>
      <c r="BY908" s="141"/>
      <c r="BZ908" s="141"/>
      <c r="CA908" s="141"/>
      <c r="CB908" s="141"/>
      <c r="CC908" s="141"/>
      <c r="CD908" s="141"/>
      <c r="CE908" s="141"/>
      <c r="CF908" s="141"/>
      <c r="CG908" s="141"/>
      <c r="CH908" s="141"/>
      <c r="CI908" s="141"/>
      <c r="CJ908" s="141"/>
      <c r="CK908" s="141"/>
      <c r="CL908" s="141"/>
    </row>
    <row r="909" spans="74:90" ht="49.5" customHeight="1" x14ac:dyDescent="0.35">
      <c r="BV909" s="140"/>
      <c r="BY909" s="141"/>
      <c r="BZ909" s="141"/>
      <c r="CA909" s="141"/>
      <c r="CB909" s="141"/>
      <c r="CC909" s="141"/>
      <c r="CD909" s="141"/>
      <c r="CE909" s="141"/>
      <c r="CF909" s="141"/>
      <c r="CG909" s="141"/>
      <c r="CH909" s="141"/>
      <c r="CI909" s="141"/>
      <c r="CJ909" s="141"/>
      <c r="CK909" s="141"/>
      <c r="CL909" s="141"/>
    </row>
    <row r="910" spans="74:90" ht="49.5" customHeight="1" x14ac:dyDescent="0.35">
      <c r="BV910" s="140"/>
      <c r="BY910" s="141"/>
      <c r="BZ910" s="141"/>
      <c r="CA910" s="141"/>
      <c r="CB910" s="141"/>
      <c r="CC910" s="141"/>
      <c r="CD910" s="141"/>
      <c r="CE910" s="141"/>
      <c r="CF910" s="141"/>
      <c r="CG910" s="141"/>
      <c r="CH910" s="141"/>
      <c r="CI910" s="141"/>
      <c r="CJ910" s="141"/>
      <c r="CK910" s="141"/>
      <c r="CL910" s="141"/>
    </row>
    <row r="911" spans="74:90" ht="49.5" customHeight="1" x14ac:dyDescent="0.35">
      <c r="BV911" s="140"/>
      <c r="BY911" s="141"/>
      <c r="BZ911" s="141"/>
      <c r="CA911" s="141"/>
      <c r="CB911" s="141"/>
      <c r="CC911" s="141"/>
      <c r="CD911" s="141"/>
      <c r="CE911" s="141"/>
      <c r="CF911" s="141"/>
      <c r="CG911" s="141"/>
      <c r="CH911" s="141"/>
      <c r="CI911" s="141"/>
      <c r="CJ911" s="141"/>
      <c r="CK911" s="141"/>
      <c r="CL911" s="141"/>
    </row>
    <row r="912" spans="74:90" ht="49.5" customHeight="1" x14ac:dyDescent="0.35">
      <c r="BV912" s="140"/>
      <c r="BY912" s="141"/>
      <c r="BZ912" s="141"/>
      <c r="CA912" s="141"/>
      <c r="CB912" s="141"/>
      <c r="CC912" s="141"/>
      <c r="CD912" s="141"/>
      <c r="CE912" s="141"/>
      <c r="CF912" s="141"/>
      <c r="CG912" s="141"/>
      <c r="CH912" s="141"/>
      <c r="CI912" s="141"/>
      <c r="CJ912" s="141"/>
      <c r="CK912" s="141"/>
      <c r="CL912" s="141"/>
    </row>
    <row r="913" spans="74:90" ht="49.5" customHeight="1" x14ac:dyDescent="0.35">
      <c r="BV913" s="140"/>
      <c r="BY913" s="141"/>
      <c r="BZ913" s="141"/>
      <c r="CA913" s="141"/>
      <c r="CB913" s="141"/>
      <c r="CC913" s="141"/>
      <c r="CD913" s="141"/>
      <c r="CE913" s="141"/>
      <c r="CF913" s="141"/>
      <c r="CG913" s="141"/>
      <c r="CH913" s="141"/>
      <c r="CI913" s="141"/>
      <c r="CJ913" s="141"/>
      <c r="CK913" s="141"/>
      <c r="CL913" s="141"/>
    </row>
    <row r="914" spans="74:90" ht="49.5" customHeight="1" x14ac:dyDescent="0.35">
      <c r="BV914" s="140"/>
      <c r="BY914" s="141"/>
      <c r="BZ914" s="141"/>
      <c r="CA914" s="141"/>
      <c r="CB914" s="141"/>
      <c r="CC914" s="141"/>
      <c r="CD914" s="141"/>
      <c r="CE914" s="141"/>
      <c r="CF914" s="141"/>
      <c r="CG914" s="141"/>
      <c r="CH914" s="141"/>
      <c r="CI914" s="141"/>
      <c r="CJ914" s="141"/>
      <c r="CK914" s="141"/>
      <c r="CL914" s="141"/>
    </row>
    <row r="915" spans="74:90" ht="49.5" customHeight="1" x14ac:dyDescent="0.35">
      <c r="BV915" s="140"/>
      <c r="BY915" s="141"/>
      <c r="BZ915" s="141"/>
      <c r="CA915" s="141"/>
      <c r="CB915" s="141"/>
      <c r="CC915" s="141"/>
      <c r="CD915" s="141"/>
      <c r="CE915" s="141"/>
      <c r="CF915" s="141"/>
      <c r="CG915" s="141"/>
      <c r="CH915" s="141"/>
      <c r="CI915" s="141"/>
      <c r="CJ915" s="141"/>
      <c r="CK915" s="141"/>
      <c r="CL915" s="141"/>
    </row>
    <row r="916" spans="74:90" ht="49.5" customHeight="1" x14ac:dyDescent="0.35">
      <c r="BV916" s="140"/>
      <c r="BY916" s="141"/>
      <c r="BZ916" s="141"/>
      <c r="CA916" s="141"/>
      <c r="CB916" s="141"/>
      <c r="CC916" s="141"/>
      <c r="CD916" s="141"/>
      <c r="CE916" s="141"/>
      <c r="CF916" s="141"/>
      <c r="CG916" s="141"/>
      <c r="CH916" s="141"/>
      <c r="CI916" s="141"/>
      <c r="CJ916" s="141"/>
      <c r="CK916" s="141"/>
      <c r="CL916" s="141"/>
    </row>
    <row r="917" spans="74:90" ht="49.5" customHeight="1" x14ac:dyDescent="0.35">
      <c r="BV917" s="140"/>
      <c r="BY917" s="141"/>
      <c r="BZ917" s="141"/>
      <c r="CA917" s="141"/>
      <c r="CB917" s="141"/>
      <c r="CC917" s="141"/>
      <c r="CD917" s="141"/>
      <c r="CE917" s="141"/>
      <c r="CF917" s="141"/>
      <c r="CG917" s="141"/>
      <c r="CH917" s="141"/>
      <c r="CI917" s="141"/>
      <c r="CJ917" s="141"/>
      <c r="CK917" s="141"/>
      <c r="CL917" s="141"/>
    </row>
    <row r="918" spans="74:90" ht="49.5" customHeight="1" x14ac:dyDescent="0.35">
      <c r="BV918" s="140"/>
      <c r="BY918" s="141"/>
      <c r="BZ918" s="141"/>
      <c r="CA918" s="141"/>
      <c r="CB918" s="141"/>
      <c r="CC918" s="141"/>
      <c r="CD918" s="141"/>
      <c r="CE918" s="141"/>
      <c r="CF918" s="141"/>
      <c r="CG918" s="141"/>
      <c r="CH918" s="141"/>
      <c r="CI918" s="141"/>
      <c r="CJ918" s="141"/>
      <c r="CK918" s="141"/>
      <c r="CL918" s="141"/>
    </row>
    <row r="919" spans="74:90" ht="49.5" customHeight="1" x14ac:dyDescent="0.35">
      <c r="BV919" s="140"/>
      <c r="BY919" s="141"/>
      <c r="BZ919" s="141"/>
      <c r="CA919" s="141"/>
      <c r="CB919" s="141"/>
      <c r="CC919" s="141"/>
      <c r="CD919" s="141"/>
      <c r="CE919" s="141"/>
      <c r="CF919" s="141"/>
      <c r="CG919" s="141"/>
      <c r="CH919" s="141"/>
      <c r="CI919" s="141"/>
      <c r="CJ919" s="141"/>
      <c r="CK919" s="141"/>
      <c r="CL919" s="141"/>
    </row>
    <row r="920" spans="74:90" ht="49.5" customHeight="1" x14ac:dyDescent="0.35">
      <c r="BV920" s="140"/>
      <c r="BY920" s="141"/>
      <c r="BZ920" s="141"/>
      <c r="CA920" s="141"/>
      <c r="CB920" s="141"/>
      <c r="CC920" s="141"/>
      <c r="CD920" s="141"/>
      <c r="CE920" s="141"/>
      <c r="CF920" s="141"/>
      <c r="CG920" s="141"/>
      <c r="CH920" s="141"/>
      <c r="CI920" s="141"/>
      <c r="CJ920" s="141"/>
      <c r="CK920" s="141"/>
      <c r="CL920" s="141"/>
    </row>
    <row r="921" spans="74:90" ht="49.5" customHeight="1" x14ac:dyDescent="0.35">
      <c r="BV921" s="140"/>
      <c r="BY921" s="141"/>
      <c r="BZ921" s="141"/>
      <c r="CA921" s="141"/>
      <c r="CB921" s="141"/>
      <c r="CC921" s="141"/>
      <c r="CD921" s="141"/>
      <c r="CE921" s="141"/>
      <c r="CF921" s="141"/>
      <c r="CG921" s="141"/>
      <c r="CH921" s="141"/>
      <c r="CI921" s="141"/>
      <c r="CJ921" s="141"/>
      <c r="CK921" s="141"/>
      <c r="CL921" s="141"/>
    </row>
    <row r="922" spans="74:90" ht="49.5" customHeight="1" x14ac:dyDescent="0.35">
      <c r="BV922" s="140"/>
      <c r="BY922" s="141"/>
      <c r="BZ922" s="141"/>
      <c r="CA922" s="141"/>
      <c r="CB922" s="141"/>
      <c r="CC922" s="141"/>
      <c r="CD922" s="141"/>
      <c r="CE922" s="141"/>
      <c r="CF922" s="141"/>
      <c r="CG922" s="141"/>
      <c r="CH922" s="141"/>
      <c r="CI922" s="141"/>
      <c r="CJ922" s="141"/>
      <c r="CK922" s="141"/>
      <c r="CL922" s="141"/>
    </row>
    <row r="923" spans="74:90" ht="49.5" customHeight="1" x14ac:dyDescent="0.35">
      <c r="BV923" s="140"/>
      <c r="BY923" s="141"/>
      <c r="BZ923" s="141"/>
      <c r="CA923" s="141"/>
      <c r="CB923" s="141"/>
      <c r="CC923" s="141"/>
      <c r="CD923" s="141"/>
      <c r="CE923" s="141"/>
      <c r="CF923" s="141"/>
      <c r="CG923" s="141"/>
      <c r="CH923" s="141"/>
      <c r="CI923" s="141"/>
      <c r="CJ923" s="141"/>
      <c r="CK923" s="141"/>
      <c r="CL923" s="141"/>
    </row>
    <row r="924" spans="74:90" ht="49.5" customHeight="1" x14ac:dyDescent="0.35">
      <c r="BV924" s="140"/>
      <c r="BY924" s="141"/>
      <c r="BZ924" s="141"/>
      <c r="CA924" s="141"/>
      <c r="CB924" s="141"/>
      <c r="CC924" s="141"/>
      <c r="CD924" s="141"/>
      <c r="CE924" s="141"/>
      <c r="CF924" s="141"/>
      <c r="CG924" s="141"/>
      <c r="CH924" s="141"/>
      <c r="CI924" s="141"/>
      <c r="CJ924" s="141"/>
      <c r="CK924" s="141"/>
      <c r="CL924" s="141"/>
    </row>
    <row r="925" spans="74:90" ht="49.5" customHeight="1" x14ac:dyDescent="0.35">
      <c r="BV925" s="140"/>
      <c r="BY925" s="141"/>
      <c r="BZ925" s="141"/>
      <c r="CA925" s="141"/>
      <c r="CB925" s="141"/>
      <c r="CC925" s="141"/>
      <c r="CD925" s="141"/>
      <c r="CE925" s="141"/>
      <c r="CF925" s="141"/>
      <c r="CG925" s="141"/>
      <c r="CH925" s="141"/>
      <c r="CI925" s="141"/>
      <c r="CJ925" s="141"/>
      <c r="CK925" s="141"/>
      <c r="CL925" s="141"/>
    </row>
    <row r="926" spans="74:90" ht="49.5" customHeight="1" x14ac:dyDescent="0.35">
      <c r="BV926" s="140"/>
      <c r="BY926" s="141"/>
      <c r="BZ926" s="141"/>
      <c r="CA926" s="141"/>
      <c r="CB926" s="141"/>
      <c r="CC926" s="141"/>
      <c r="CD926" s="141"/>
      <c r="CE926" s="141"/>
      <c r="CF926" s="141"/>
      <c r="CG926" s="141"/>
      <c r="CH926" s="141"/>
      <c r="CI926" s="141"/>
      <c r="CJ926" s="141"/>
      <c r="CK926" s="141"/>
      <c r="CL926" s="141"/>
    </row>
    <row r="927" spans="74:90" ht="49.5" customHeight="1" x14ac:dyDescent="0.35">
      <c r="BV927" s="140"/>
      <c r="BY927" s="141"/>
      <c r="BZ927" s="141"/>
      <c r="CA927" s="141"/>
      <c r="CB927" s="141"/>
      <c r="CC927" s="141"/>
      <c r="CD927" s="141"/>
      <c r="CE927" s="141"/>
      <c r="CF927" s="141"/>
      <c r="CG927" s="141"/>
      <c r="CH927" s="141"/>
      <c r="CI927" s="141"/>
      <c r="CJ927" s="141"/>
      <c r="CK927" s="141"/>
      <c r="CL927" s="141"/>
    </row>
    <row r="928" spans="74:90" ht="49.5" customHeight="1" x14ac:dyDescent="0.35">
      <c r="BV928" s="140"/>
      <c r="BY928" s="141"/>
      <c r="BZ928" s="141"/>
      <c r="CA928" s="141"/>
      <c r="CB928" s="141"/>
      <c r="CC928" s="141"/>
      <c r="CD928" s="141"/>
      <c r="CE928" s="141"/>
      <c r="CF928" s="141"/>
      <c r="CG928" s="141"/>
      <c r="CH928" s="141"/>
      <c r="CI928" s="141"/>
      <c r="CJ928" s="141"/>
      <c r="CK928" s="141"/>
      <c r="CL928" s="141"/>
    </row>
    <row r="929" spans="74:90" ht="49.5" customHeight="1" x14ac:dyDescent="0.35">
      <c r="BV929" s="140"/>
      <c r="BY929" s="141"/>
      <c r="BZ929" s="141"/>
      <c r="CA929" s="141"/>
      <c r="CB929" s="141"/>
      <c r="CC929" s="141"/>
      <c r="CD929" s="141"/>
      <c r="CE929" s="141"/>
      <c r="CF929" s="141"/>
      <c r="CG929" s="141"/>
      <c r="CH929" s="141"/>
      <c r="CI929" s="141"/>
      <c r="CJ929" s="141"/>
      <c r="CK929" s="141"/>
      <c r="CL929" s="141"/>
    </row>
    <row r="930" spans="74:90" ht="49.5" customHeight="1" x14ac:dyDescent="0.35">
      <c r="BV930" s="140"/>
      <c r="BY930" s="141"/>
      <c r="BZ930" s="141"/>
      <c r="CA930" s="141"/>
      <c r="CB930" s="141"/>
      <c r="CC930" s="141"/>
      <c r="CD930" s="141"/>
      <c r="CE930" s="141"/>
      <c r="CF930" s="141"/>
      <c r="CG930" s="141"/>
      <c r="CH930" s="141"/>
      <c r="CI930" s="141"/>
      <c r="CJ930" s="141"/>
      <c r="CK930" s="141"/>
      <c r="CL930" s="141"/>
    </row>
    <row r="931" spans="74:90" ht="49.5" customHeight="1" x14ac:dyDescent="0.35">
      <c r="BV931" s="140"/>
      <c r="BY931" s="141"/>
      <c r="BZ931" s="141"/>
      <c r="CA931" s="141"/>
      <c r="CB931" s="141"/>
      <c r="CC931" s="141"/>
      <c r="CD931" s="141"/>
      <c r="CE931" s="141"/>
      <c r="CF931" s="141"/>
      <c r="CG931" s="141"/>
      <c r="CH931" s="141"/>
      <c r="CI931" s="141"/>
      <c r="CJ931" s="141"/>
      <c r="CK931" s="141"/>
      <c r="CL931" s="141"/>
    </row>
    <row r="932" spans="74:90" ht="49.5" customHeight="1" x14ac:dyDescent="0.35">
      <c r="BV932" s="140"/>
      <c r="BY932" s="141"/>
      <c r="BZ932" s="141"/>
      <c r="CA932" s="141"/>
      <c r="CB932" s="141"/>
      <c r="CC932" s="141"/>
      <c r="CD932" s="141"/>
      <c r="CE932" s="141"/>
      <c r="CF932" s="141"/>
      <c r="CG932" s="141"/>
      <c r="CH932" s="141"/>
      <c r="CI932" s="141"/>
      <c r="CJ932" s="141"/>
      <c r="CK932" s="141"/>
      <c r="CL932" s="141"/>
    </row>
    <row r="933" spans="74:90" ht="49.5" customHeight="1" x14ac:dyDescent="0.35">
      <c r="BV933" s="140"/>
      <c r="BY933" s="141"/>
      <c r="BZ933" s="141"/>
      <c r="CA933" s="141"/>
      <c r="CB933" s="141"/>
      <c r="CC933" s="141"/>
      <c r="CD933" s="141"/>
      <c r="CE933" s="141"/>
      <c r="CF933" s="141"/>
      <c r="CG933" s="141"/>
      <c r="CH933" s="141"/>
      <c r="CI933" s="141"/>
      <c r="CJ933" s="141"/>
      <c r="CK933" s="141"/>
      <c r="CL933" s="141"/>
    </row>
    <row r="934" spans="74:90" ht="49.5" customHeight="1" x14ac:dyDescent="0.35">
      <c r="BV934" s="140"/>
      <c r="BY934" s="141"/>
      <c r="BZ934" s="141"/>
      <c r="CA934" s="141"/>
      <c r="CB934" s="141"/>
      <c r="CC934" s="141"/>
      <c r="CD934" s="141"/>
      <c r="CE934" s="141"/>
      <c r="CF934" s="141"/>
      <c r="CG934" s="141"/>
      <c r="CH934" s="141"/>
      <c r="CI934" s="141"/>
      <c r="CJ934" s="141"/>
      <c r="CK934" s="141"/>
      <c r="CL934" s="141"/>
    </row>
    <row r="935" spans="74:90" ht="49.5" customHeight="1" x14ac:dyDescent="0.35">
      <c r="BV935" s="140"/>
      <c r="BY935" s="141"/>
      <c r="BZ935" s="141"/>
      <c r="CA935" s="141"/>
      <c r="CB935" s="141"/>
      <c r="CC935" s="141"/>
      <c r="CD935" s="141"/>
      <c r="CE935" s="141"/>
      <c r="CF935" s="141"/>
      <c r="CG935" s="141"/>
      <c r="CH935" s="141"/>
      <c r="CI935" s="141"/>
      <c r="CJ935" s="141"/>
      <c r="CK935" s="141"/>
      <c r="CL935" s="141"/>
    </row>
    <row r="936" spans="74:90" ht="49.5" customHeight="1" x14ac:dyDescent="0.35">
      <c r="BV936" s="140"/>
      <c r="BY936" s="141"/>
      <c r="BZ936" s="141"/>
      <c r="CA936" s="141"/>
      <c r="CB936" s="141"/>
      <c r="CC936" s="141"/>
      <c r="CD936" s="141"/>
      <c r="CE936" s="141"/>
      <c r="CF936" s="141"/>
      <c r="CG936" s="141"/>
      <c r="CH936" s="141"/>
      <c r="CI936" s="141"/>
      <c r="CJ936" s="141"/>
      <c r="CK936" s="141"/>
      <c r="CL936" s="141"/>
    </row>
    <row r="937" spans="74:90" ht="49.5" customHeight="1" x14ac:dyDescent="0.35">
      <c r="BV937" s="140"/>
      <c r="BY937" s="141"/>
      <c r="BZ937" s="141"/>
      <c r="CA937" s="141"/>
      <c r="CB937" s="141"/>
      <c r="CC937" s="141"/>
      <c r="CD937" s="141"/>
      <c r="CE937" s="141"/>
      <c r="CF937" s="141"/>
      <c r="CG937" s="141"/>
      <c r="CH937" s="141"/>
      <c r="CI937" s="141"/>
      <c r="CJ937" s="141"/>
      <c r="CK937" s="141"/>
      <c r="CL937" s="141"/>
    </row>
    <row r="938" spans="74:90" ht="49.5" customHeight="1" x14ac:dyDescent="0.35">
      <c r="BV938" s="140"/>
      <c r="BY938" s="141"/>
      <c r="BZ938" s="141"/>
      <c r="CA938" s="141"/>
      <c r="CB938" s="141"/>
      <c r="CC938" s="141"/>
      <c r="CD938" s="141"/>
      <c r="CE938" s="141"/>
      <c r="CF938" s="141"/>
      <c r="CG938" s="141"/>
      <c r="CH938" s="141"/>
      <c r="CI938" s="141"/>
      <c r="CJ938" s="141"/>
      <c r="CK938" s="141"/>
      <c r="CL938" s="141"/>
    </row>
    <row r="939" spans="74:90" ht="49.5" customHeight="1" x14ac:dyDescent="0.35">
      <c r="BV939" s="140"/>
      <c r="BY939" s="141"/>
      <c r="BZ939" s="141"/>
      <c r="CA939" s="141"/>
      <c r="CB939" s="141"/>
      <c r="CC939" s="141"/>
      <c r="CD939" s="141"/>
      <c r="CE939" s="141"/>
      <c r="CF939" s="141"/>
      <c r="CG939" s="141"/>
      <c r="CH939" s="141"/>
      <c r="CI939" s="141"/>
      <c r="CJ939" s="141"/>
      <c r="CK939" s="141"/>
      <c r="CL939" s="141"/>
    </row>
    <row r="940" spans="74:90" ht="49.5" customHeight="1" x14ac:dyDescent="0.35">
      <c r="BV940" s="140"/>
      <c r="BY940" s="141"/>
      <c r="BZ940" s="141"/>
      <c r="CA940" s="141"/>
      <c r="CB940" s="141"/>
      <c r="CC940" s="141"/>
      <c r="CD940" s="141"/>
      <c r="CE940" s="141"/>
      <c r="CF940" s="141"/>
      <c r="CG940" s="141"/>
      <c r="CH940" s="141"/>
      <c r="CI940" s="141"/>
      <c r="CJ940" s="141"/>
      <c r="CK940" s="141"/>
      <c r="CL940" s="141"/>
    </row>
    <row r="941" spans="74:90" ht="49.5" customHeight="1" x14ac:dyDescent="0.35">
      <c r="BV941" s="140"/>
      <c r="BY941" s="141"/>
      <c r="BZ941" s="141"/>
      <c r="CA941" s="141"/>
      <c r="CB941" s="141"/>
      <c r="CC941" s="141"/>
      <c r="CD941" s="141"/>
      <c r="CE941" s="141"/>
      <c r="CF941" s="141"/>
      <c r="CG941" s="141"/>
      <c r="CH941" s="141"/>
      <c r="CI941" s="141"/>
      <c r="CJ941" s="141"/>
      <c r="CK941" s="141"/>
      <c r="CL941" s="141"/>
    </row>
    <row r="942" spans="74:90" ht="49.5" customHeight="1" x14ac:dyDescent="0.35">
      <c r="BV942" s="140"/>
      <c r="BY942" s="141"/>
      <c r="BZ942" s="141"/>
      <c r="CA942" s="141"/>
      <c r="CB942" s="141"/>
      <c r="CC942" s="141"/>
      <c r="CD942" s="141"/>
      <c r="CE942" s="141"/>
      <c r="CF942" s="141"/>
      <c r="CG942" s="141"/>
      <c r="CH942" s="141"/>
      <c r="CI942" s="141"/>
      <c r="CJ942" s="141"/>
      <c r="CK942" s="141"/>
      <c r="CL942" s="141"/>
    </row>
    <row r="943" spans="74:90" ht="49.5" customHeight="1" x14ac:dyDescent="0.35">
      <c r="BV943" s="140"/>
      <c r="BY943" s="141"/>
      <c r="BZ943" s="141"/>
      <c r="CA943" s="141"/>
      <c r="CB943" s="141"/>
      <c r="CC943" s="141"/>
      <c r="CD943" s="141"/>
      <c r="CE943" s="141"/>
      <c r="CF943" s="141"/>
      <c r="CG943" s="141"/>
      <c r="CH943" s="141"/>
      <c r="CI943" s="141"/>
      <c r="CJ943" s="141"/>
      <c r="CK943" s="141"/>
      <c r="CL943" s="141"/>
    </row>
    <row r="944" spans="74:90" ht="49.5" customHeight="1" x14ac:dyDescent="0.35">
      <c r="BV944" s="140"/>
      <c r="BY944" s="141"/>
      <c r="BZ944" s="141"/>
      <c r="CA944" s="141"/>
      <c r="CB944" s="141"/>
      <c r="CC944" s="141"/>
      <c r="CD944" s="141"/>
      <c r="CE944" s="141"/>
      <c r="CF944" s="141"/>
      <c r="CG944" s="141"/>
      <c r="CH944" s="141"/>
      <c r="CI944" s="141"/>
      <c r="CJ944" s="141"/>
      <c r="CK944" s="141"/>
      <c r="CL944" s="141"/>
    </row>
    <row r="945" spans="74:90" ht="49.5" customHeight="1" x14ac:dyDescent="0.35">
      <c r="BV945" s="140"/>
      <c r="BY945" s="141"/>
      <c r="BZ945" s="141"/>
      <c r="CA945" s="141"/>
      <c r="CB945" s="141"/>
      <c r="CC945" s="141"/>
      <c r="CD945" s="141"/>
      <c r="CE945" s="141"/>
      <c r="CF945" s="141"/>
      <c r="CG945" s="141"/>
      <c r="CH945" s="141"/>
      <c r="CI945" s="141"/>
      <c r="CJ945" s="141"/>
      <c r="CK945" s="141"/>
      <c r="CL945" s="141"/>
    </row>
    <row r="946" spans="74:90" ht="49.5" customHeight="1" x14ac:dyDescent="0.35">
      <c r="BV946" s="140"/>
      <c r="BY946" s="141"/>
      <c r="BZ946" s="141"/>
      <c r="CA946" s="141"/>
      <c r="CB946" s="141"/>
      <c r="CC946" s="141"/>
      <c r="CD946" s="141"/>
      <c r="CE946" s="141"/>
      <c r="CF946" s="141"/>
      <c r="CG946" s="141"/>
      <c r="CH946" s="141"/>
      <c r="CI946" s="141"/>
      <c r="CJ946" s="141"/>
      <c r="CK946" s="141"/>
      <c r="CL946" s="141"/>
    </row>
    <row r="947" spans="74:90" ht="49.5" customHeight="1" x14ac:dyDescent="0.35">
      <c r="BV947" s="140"/>
      <c r="BY947" s="141"/>
      <c r="BZ947" s="141"/>
      <c r="CA947" s="141"/>
      <c r="CB947" s="141"/>
      <c r="CC947" s="141"/>
      <c r="CD947" s="141"/>
      <c r="CE947" s="141"/>
      <c r="CF947" s="141"/>
      <c r="CG947" s="141"/>
      <c r="CH947" s="141"/>
      <c r="CI947" s="141"/>
      <c r="CJ947" s="141"/>
      <c r="CK947" s="141"/>
      <c r="CL947" s="141"/>
    </row>
    <row r="948" spans="74:90" ht="49.5" customHeight="1" x14ac:dyDescent="0.35">
      <c r="BV948" s="140"/>
      <c r="BY948" s="141"/>
      <c r="BZ948" s="141"/>
      <c r="CA948" s="141"/>
      <c r="CB948" s="141"/>
      <c r="CC948" s="141"/>
      <c r="CD948" s="141"/>
      <c r="CE948" s="141"/>
      <c r="CF948" s="141"/>
      <c r="CG948" s="141"/>
      <c r="CH948" s="141"/>
      <c r="CI948" s="141"/>
      <c r="CJ948" s="141"/>
      <c r="CK948" s="141"/>
      <c r="CL948" s="141"/>
    </row>
    <row r="949" spans="74:90" ht="49.5" customHeight="1" x14ac:dyDescent="0.35">
      <c r="BV949" s="140"/>
      <c r="BY949" s="141"/>
      <c r="BZ949" s="141"/>
      <c r="CA949" s="141"/>
      <c r="CB949" s="141"/>
      <c r="CC949" s="141"/>
      <c r="CD949" s="141"/>
      <c r="CE949" s="141"/>
      <c r="CF949" s="141"/>
      <c r="CG949" s="141"/>
      <c r="CH949" s="141"/>
      <c r="CI949" s="141"/>
      <c r="CJ949" s="141"/>
      <c r="CK949" s="141"/>
      <c r="CL949" s="141"/>
    </row>
    <row r="950" spans="74:90" ht="49.5" customHeight="1" x14ac:dyDescent="0.35">
      <c r="BV950" s="140"/>
      <c r="BY950" s="141"/>
      <c r="BZ950" s="141"/>
      <c r="CA950" s="141"/>
      <c r="CB950" s="141"/>
      <c r="CC950" s="141"/>
      <c r="CD950" s="141"/>
      <c r="CE950" s="141"/>
      <c r="CF950" s="141"/>
      <c r="CG950" s="141"/>
      <c r="CH950" s="141"/>
      <c r="CI950" s="141"/>
      <c r="CJ950" s="141"/>
      <c r="CK950" s="141"/>
      <c r="CL950" s="141"/>
    </row>
    <row r="951" spans="74:90" ht="49.5" customHeight="1" x14ac:dyDescent="0.35">
      <c r="BV951" s="140"/>
      <c r="BY951" s="141"/>
      <c r="BZ951" s="141"/>
      <c r="CA951" s="141"/>
      <c r="CB951" s="141"/>
      <c r="CC951" s="141"/>
      <c r="CD951" s="141"/>
      <c r="CE951" s="141"/>
      <c r="CF951" s="141"/>
      <c r="CG951" s="141"/>
      <c r="CH951" s="141"/>
      <c r="CI951" s="141"/>
      <c r="CJ951" s="141"/>
      <c r="CK951" s="141"/>
      <c r="CL951" s="141"/>
    </row>
    <row r="952" spans="74:90" ht="49.5" customHeight="1" x14ac:dyDescent="0.35">
      <c r="BV952" s="140"/>
      <c r="BY952" s="141"/>
      <c r="BZ952" s="141"/>
      <c r="CA952" s="141"/>
      <c r="CB952" s="141"/>
      <c r="CC952" s="141"/>
      <c r="CD952" s="141"/>
      <c r="CE952" s="141"/>
      <c r="CF952" s="141"/>
      <c r="CG952" s="141"/>
      <c r="CH952" s="141"/>
      <c r="CI952" s="141"/>
      <c r="CJ952" s="141"/>
      <c r="CK952" s="141"/>
      <c r="CL952" s="141"/>
    </row>
    <row r="953" spans="74:90" ht="49.5" customHeight="1" x14ac:dyDescent="0.35">
      <c r="BV953" s="140"/>
      <c r="BY953" s="141"/>
      <c r="BZ953" s="141"/>
      <c r="CA953" s="141"/>
      <c r="CB953" s="141"/>
      <c r="CC953" s="141"/>
      <c r="CD953" s="141"/>
      <c r="CE953" s="141"/>
      <c r="CF953" s="141"/>
      <c r="CG953" s="141"/>
      <c r="CH953" s="141"/>
      <c r="CI953" s="141"/>
      <c r="CJ953" s="141"/>
      <c r="CK953" s="141"/>
      <c r="CL953" s="141"/>
    </row>
    <row r="954" spans="74:90" ht="49.5" customHeight="1" x14ac:dyDescent="0.35">
      <c r="BV954" s="140"/>
      <c r="BY954" s="141"/>
      <c r="BZ954" s="141"/>
      <c r="CA954" s="141"/>
      <c r="CB954" s="141"/>
      <c r="CC954" s="141"/>
      <c r="CD954" s="141"/>
      <c r="CE954" s="141"/>
      <c r="CF954" s="141"/>
      <c r="CG954" s="141"/>
      <c r="CH954" s="141"/>
      <c r="CI954" s="141"/>
      <c r="CJ954" s="141"/>
      <c r="CK954" s="141"/>
      <c r="CL954" s="141"/>
    </row>
    <row r="955" spans="74:90" ht="49.5" customHeight="1" x14ac:dyDescent="0.35">
      <c r="BV955" s="140"/>
      <c r="BY955" s="141"/>
      <c r="BZ955" s="141"/>
      <c r="CA955" s="141"/>
      <c r="CB955" s="141"/>
      <c r="CC955" s="141"/>
      <c r="CD955" s="141"/>
      <c r="CE955" s="141"/>
      <c r="CF955" s="141"/>
      <c r="CG955" s="141"/>
      <c r="CH955" s="141"/>
      <c r="CI955" s="141"/>
      <c r="CJ955" s="141"/>
      <c r="CK955" s="141"/>
      <c r="CL955" s="141"/>
    </row>
    <row r="956" spans="74:90" ht="49.5" customHeight="1" x14ac:dyDescent="0.35">
      <c r="BV956" s="140"/>
      <c r="BY956" s="141"/>
      <c r="BZ956" s="141"/>
      <c r="CA956" s="141"/>
      <c r="CB956" s="141"/>
      <c r="CC956" s="141"/>
      <c r="CD956" s="141"/>
      <c r="CE956" s="141"/>
      <c r="CF956" s="141"/>
      <c r="CG956" s="141"/>
      <c r="CH956" s="141"/>
      <c r="CI956" s="141"/>
      <c r="CJ956" s="141"/>
      <c r="CK956" s="141"/>
      <c r="CL956" s="141"/>
    </row>
    <row r="957" spans="74:90" ht="49.5" customHeight="1" x14ac:dyDescent="0.35">
      <c r="BV957" s="140"/>
      <c r="BY957" s="141"/>
      <c r="BZ957" s="141"/>
      <c r="CA957" s="141"/>
      <c r="CB957" s="141"/>
      <c r="CC957" s="141"/>
      <c r="CD957" s="141"/>
      <c r="CE957" s="141"/>
      <c r="CF957" s="141"/>
      <c r="CG957" s="141"/>
      <c r="CH957" s="141"/>
      <c r="CI957" s="141"/>
      <c r="CJ957" s="141"/>
      <c r="CK957" s="141"/>
      <c r="CL957" s="141"/>
    </row>
    <row r="958" spans="74:90" ht="49.5" customHeight="1" x14ac:dyDescent="0.35">
      <c r="BV958" s="140"/>
      <c r="BY958" s="141"/>
      <c r="BZ958" s="141"/>
      <c r="CA958" s="141"/>
      <c r="CB958" s="141"/>
      <c r="CC958" s="141"/>
      <c r="CD958" s="141"/>
      <c r="CE958" s="141"/>
      <c r="CF958" s="141"/>
      <c r="CG958" s="141"/>
      <c r="CH958" s="141"/>
      <c r="CI958" s="141"/>
      <c r="CJ958" s="141"/>
      <c r="CK958" s="141"/>
      <c r="CL958" s="141"/>
    </row>
    <row r="959" spans="74:90" ht="49.5" customHeight="1" x14ac:dyDescent="0.35">
      <c r="BV959" s="140"/>
      <c r="BY959" s="141"/>
      <c r="BZ959" s="141"/>
      <c r="CA959" s="141"/>
      <c r="CB959" s="141"/>
      <c r="CC959" s="141"/>
      <c r="CD959" s="141"/>
      <c r="CE959" s="141"/>
      <c r="CF959" s="141"/>
      <c r="CG959" s="141"/>
      <c r="CH959" s="141"/>
      <c r="CI959" s="141"/>
      <c r="CJ959" s="141"/>
      <c r="CK959" s="141"/>
      <c r="CL959" s="141"/>
    </row>
    <row r="960" spans="74:90" ht="49.5" customHeight="1" x14ac:dyDescent="0.35">
      <c r="BV960" s="140"/>
      <c r="BY960" s="141"/>
      <c r="BZ960" s="141"/>
      <c r="CA960" s="141"/>
      <c r="CB960" s="141"/>
      <c r="CC960" s="141"/>
      <c r="CD960" s="141"/>
      <c r="CE960" s="141"/>
      <c r="CF960" s="141"/>
      <c r="CG960" s="141"/>
      <c r="CH960" s="141"/>
      <c r="CI960" s="141"/>
      <c r="CJ960" s="141"/>
      <c r="CK960" s="141"/>
      <c r="CL960" s="141"/>
    </row>
    <row r="961" spans="74:90" ht="49.5" customHeight="1" x14ac:dyDescent="0.35">
      <c r="BV961" s="140"/>
      <c r="BY961" s="141"/>
      <c r="BZ961" s="141"/>
      <c r="CA961" s="141"/>
      <c r="CB961" s="141"/>
      <c r="CC961" s="141"/>
      <c r="CD961" s="141"/>
      <c r="CE961" s="141"/>
      <c r="CF961" s="141"/>
      <c r="CG961" s="141"/>
      <c r="CH961" s="141"/>
      <c r="CI961" s="141"/>
      <c r="CJ961" s="141"/>
      <c r="CK961" s="141"/>
      <c r="CL961" s="141"/>
    </row>
    <row r="962" spans="74:90" ht="49.5" customHeight="1" x14ac:dyDescent="0.35">
      <c r="BV962" s="140"/>
      <c r="BY962" s="141"/>
      <c r="BZ962" s="141"/>
      <c r="CA962" s="141"/>
      <c r="CB962" s="141"/>
      <c r="CC962" s="141"/>
      <c r="CD962" s="141"/>
      <c r="CE962" s="141"/>
      <c r="CF962" s="141"/>
      <c r="CG962" s="141"/>
      <c r="CH962" s="141"/>
      <c r="CI962" s="141"/>
      <c r="CJ962" s="141"/>
      <c r="CK962" s="141"/>
      <c r="CL962" s="141"/>
    </row>
    <row r="963" spans="74:90" ht="49.5" customHeight="1" x14ac:dyDescent="0.35">
      <c r="BV963" s="140"/>
      <c r="BY963" s="141"/>
      <c r="BZ963" s="141"/>
      <c r="CA963" s="141"/>
      <c r="CB963" s="141"/>
      <c r="CC963" s="141"/>
      <c r="CD963" s="141"/>
      <c r="CE963" s="141"/>
      <c r="CF963" s="141"/>
      <c r="CG963" s="141"/>
      <c r="CH963" s="141"/>
      <c r="CI963" s="141"/>
      <c r="CJ963" s="141"/>
      <c r="CK963" s="141"/>
      <c r="CL963" s="141"/>
    </row>
    <row r="964" spans="74:90" ht="49.5" customHeight="1" x14ac:dyDescent="0.35">
      <c r="BV964" s="140"/>
      <c r="BY964" s="141"/>
      <c r="BZ964" s="141"/>
      <c r="CA964" s="141"/>
      <c r="CB964" s="141"/>
      <c r="CC964" s="141"/>
      <c r="CD964" s="141"/>
      <c r="CE964" s="141"/>
      <c r="CF964" s="141"/>
      <c r="CG964" s="141"/>
      <c r="CH964" s="141"/>
      <c r="CI964" s="141"/>
      <c r="CJ964" s="141"/>
      <c r="CK964" s="141"/>
      <c r="CL964" s="141"/>
    </row>
    <row r="965" spans="74:90" ht="49.5" customHeight="1" x14ac:dyDescent="0.35">
      <c r="BV965" s="140"/>
      <c r="BY965" s="141"/>
      <c r="BZ965" s="141"/>
      <c r="CA965" s="141"/>
      <c r="CB965" s="141"/>
      <c r="CC965" s="141"/>
      <c r="CD965" s="141"/>
      <c r="CE965" s="141"/>
      <c r="CF965" s="141"/>
      <c r="CG965" s="141"/>
      <c r="CH965" s="141"/>
      <c r="CI965" s="141"/>
      <c r="CJ965" s="141"/>
      <c r="CK965" s="141"/>
      <c r="CL965" s="141"/>
    </row>
    <row r="966" spans="74:90" ht="49.5" customHeight="1" x14ac:dyDescent="0.35">
      <c r="BV966" s="140"/>
      <c r="BY966" s="141"/>
      <c r="BZ966" s="141"/>
      <c r="CA966" s="141"/>
      <c r="CB966" s="141"/>
      <c r="CC966" s="141"/>
      <c r="CD966" s="141"/>
      <c r="CE966" s="141"/>
      <c r="CF966" s="141"/>
      <c r="CG966" s="141"/>
      <c r="CH966" s="141"/>
      <c r="CI966" s="141"/>
      <c r="CJ966" s="141"/>
      <c r="CK966" s="141"/>
      <c r="CL966" s="141"/>
    </row>
    <row r="967" spans="74:90" ht="49.5" customHeight="1" x14ac:dyDescent="0.35">
      <c r="BV967" s="140"/>
      <c r="BY967" s="141"/>
      <c r="BZ967" s="141"/>
      <c r="CA967" s="141"/>
      <c r="CB967" s="141"/>
      <c r="CC967" s="141"/>
      <c r="CD967" s="141"/>
      <c r="CE967" s="141"/>
      <c r="CF967" s="141"/>
      <c r="CG967" s="141"/>
      <c r="CH967" s="141"/>
      <c r="CI967" s="141"/>
      <c r="CJ967" s="141"/>
      <c r="CK967" s="141"/>
      <c r="CL967" s="141"/>
    </row>
    <row r="968" spans="74:90" ht="49.5" customHeight="1" x14ac:dyDescent="0.35">
      <c r="BV968" s="140"/>
      <c r="BY968" s="141"/>
      <c r="BZ968" s="141"/>
      <c r="CA968" s="141"/>
      <c r="CB968" s="141"/>
      <c r="CC968" s="141"/>
      <c r="CD968" s="141"/>
      <c r="CE968" s="141"/>
      <c r="CF968" s="141"/>
      <c r="CG968" s="141"/>
      <c r="CH968" s="141"/>
      <c r="CI968" s="141"/>
      <c r="CJ968" s="141"/>
      <c r="CK968" s="141"/>
      <c r="CL968" s="141"/>
    </row>
    <row r="969" spans="74:90" ht="49.5" customHeight="1" x14ac:dyDescent="0.35">
      <c r="BV969" s="140"/>
      <c r="BY969" s="141"/>
      <c r="BZ969" s="141"/>
      <c r="CA969" s="141"/>
      <c r="CB969" s="141"/>
      <c r="CC969" s="141"/>
      <c r="CD969" s="141"/>
      <c r="CE969" s="141"/>
      <c r="CF969" s="141"/>
      <c r="CG969" s="141"/>
      <c r="CH969" s="141"/>
      <c r="CI969" s="141"/>
      <c r="CJ969" s="141"/>
      <c r="CK969" s="141"/>
      <c r="CL969" s="141"/>
    </row>
    <row r="970" spans="74:90" ht="49.5" customHeight="1" x14ac:dyDescent="0.35">
      <c r="BV970" s="140"/>
      <c r="BY970" s="141"/>
      <c r="BZ970" s="141"/>
      <c r="CA970" s="141"/>
      <c r="CB970" s="141"/>
      <c r="CC970" s="141"/>
      <c r="CD970" s="141"/>
      <c r="CE970" s="141"/>
      <c r="CF970" s="141"/>
      <c r="CG970" s="141"/>
      <c r="CH970" s="141"/>
      <c r="CI970" s="141"/>
      <c r="CJ970" s="141"/>
      <c r="CK970" s="141"/>
      <c r="CL970" s="141"/>
    </row>
    <row r="971" spans="74:90" ht="49.5" customHeight="1" x14ac:dyDescent="0.35">
      <c r="BV971" s="140"/>
      <c r="BY971" s="141"/>
      <c r="BZ971" s="141"/>
      <c r="CA971" s="141"/>
      <c r="CB971" s="141"/>
      <c r="CC971" s="141"/>
      <c r="CD971" s="141"/>
      <c r="CE971" s="141"/>
      <c r="CF971" s="141"/>
      <c r="CG971" s="141"/>
      <c r="CH971" s="141"/>
      <c r="CI971" s="141"/>
      <c r="CJ971" s="141"/>
      <c r="CK971" s="141"/>
      <c r="CL971" s="141"/>
    </row>
  </sheetData>
  <mergeCells count="67">
    <mergeCell ref="CL6:CL7"/>
    <mergeCell ref="BA6:BA7"/>
    <mergeCell ref="BB6:BB7"/>
    <mergeCell ref="BC6:BC7"/>
    <mergeCell ref="BD6:BD7"/>
    <mergeCell ref="BE6:BE7"/>
    <mergeCell ref="BF6:BF7"/>
    <mergeCell ref="BG6:BG7"/>
    <mergeCell ref="AP6:AP7"/>
    <mergeCell ref="AW6:AW7"/>
    <mergeCell ref="AX6:AX7"/>
    <mergeCell ref="AZ6:AZ7"/>
    <mergeCell ref="CK6:CK7"/>
    <mergeCell ref="AA6:AC6"/>
    <mergeCell ref="AD6:AF6"/>
    <mergeCell ref="AG6:AI6"/>
    <mergeCell ref="AJ6:AL6"/>
    <mergeCell ref="AM6:AO6"/>
    <mergeCell ref="A8:B8"/>
    <mergeCell ref="L6:N6"/>
    <mergeCell ref="O6:Q6"/>
    <mergeCell ref="R6:T6"/>
    <mergeCell ref="U6:W6"/>
    <mergeCell ref="V5:W5"/>
    <mergeCell ref="Y5:Z5"/>
    <mergeCell ref="A6:A7"/>
    <mergeCell ref="B6:B7"/>
    <mergeCell ref="C6:C7"/>
    <mergeCell ref="D6:D7"/>
    <mergeCell ref="E6:E7"/>
    <mergeCell ref="F6:H6"/>
    <mergeCell ref="I6:K6"/>
    <mergeCell ref="X6:Z6"/>
    <mergeCell ref="G5:H5"/>
    <mergeCell ref="J5:K5"/>
    <mergeCell ref="M5:N5"/>
    <mergeCell ref="P5:Q5"/>
    <mergeCell ref="S5:T5"/>
    <mergeCell ref="AZ5:BF5"/>
    <mergeCell ref="BI5:BS5"/>
    <mergeCell ref="BV5:BX5"/>
    <mergeCell ref="CF5:CK5"/>
    <mergeCell ref="AB5:AC5"/>
    <mergeCell ref="AE5:AF5"/>
    <mergeCell ref="AH5:AI5"/>
    <mergeCell ref="AK5:AL5"/>
    <mergeCell ref="AN5:AP5"/>
    <mergeCell ref="AR5:AS5"/>
    <mergeCell ref="AU5:AV5"/>
    <mergeCell ref="BX6:BX7"/>
    <mergeCell ref="BY6:CJ6"/>
    <mergeCell ref="BQ6:BQ7"/>
    <mergeCell ref="BR6:BR7"/>
    <mergeCell ref="BS6:BS7"/>
    <mergeCell ref="BT6:BT7"/>
    <mergeCell ref="BU6:BU7"/>
    <mergeCell ref="BV6:BV7"/>
    <mergeCell ref="BW6:BW7"/>
    <mergeCell ref="BO6:BO7"/>
    <mergeCell ref="BP6:BP7"/>
    <mergeCell ref="BH6:BH7"/>
    <mergeCell ref="BI6:BI7"/>
    <mergeCell ref="BJ6:BJ7"/>
    <mergeCell ref="BK6:BK7"/>
    <mergeCell ref="BL6:BL7"/>
    <mergeCell ref="BM6:BM7"/>
    <mergeCell ref="BN6:BN7"/>
  </mergeCells>
  <conditionalFormatting sqref="AZ8:AZ46">
    <cfRule type="cellIs" dxfId="51" priority="1" operator="lessThan">
      <formula>0.5</formula>
    </cfRule>
  </conditionalFormatting>
  <conditionalFormatting sqref="BA8:BA46">
    <cfRule type="cellIs" dxfId="50" priority="2" operator="lessThan">
      <formula>0.2</formula>
    </cfRule>
  </conditionalFormatting>
  <conditionalFormatting sqref="BB8:BB46">
    <cfRule type="cellIs" dxfId="49" priority="3" operator="lessThan">
      <formula>0.4</formula>
    </cfRule>
  </conditionalFormatting>
  <conditionalFormatting sqref="BV8:BV46">
    <cfRule type="cellIs" dxfId="48" priority="4" operator="lessThan">
      <formula>23</formula>
    </cfRule>
    <cfRule type="cellIs" dxfId="47" priority="5" operator="greaterThan">
      <formula>22.99</formula>
    </cfRule>
  </conditionalFormatting>
  <conditionalFormatting sqref="BW8:BW46">
    <cfRule type="cellIs" dxfId="46" priority="6" operator="greaterThan">
      <formula>0</formula>
    </cfRule>
    <cfRule type="cellIs" dxfId="45" priority="7" operator="lessThan">
      <formula>0</formula>
    </cfRule>
  </conditionalFormatting>
  <conditionalFormatting sqref="BX8:BX46">
    <cfRule type="cellIs" dxfId="44" priority="8" operator="greaterThan">
      <formula>0</formula>
    </cfRule>
    <cfRule type="cellIs" dxfId="43" priority="9" operator="lessThan">
      <formula>0</formula>
    </cfRule>
  </conditionalFormatting>
  <conditionalFormatting sqref="CF8:CI46">
    <cfRule type="cellIs" dxfId="42" priority="12" operator="greaterThan">
      <formula>2.99%</formula>
    </cfRule>
  </conditionalFormatting>
  <conditionalFormatting sqref="CF8:CJ46">
    <cfRule type="cellIs" dxfId="41" priority="13" operator="lessThan">
      <formula>3%</formula>
    </cfRule>
  </conditionalFormatting>
  <conditionalFormatting sqref="CK8:CL46">
    <cfRule type="cellIs" dxfId="40" priority="10" operator="greaterThan">
      <formula>0</formula>
    </cfRule>
    <cfRule type="cellIs" dxfId="39" priority="11" operator="lessThan">
      <formula>0</formula>
    </cfRule>
  </conditionalFormatting>
  <pageMargins left="0.25" right="0.25" top="0.75" bottom="0.75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CM975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4.453125" defaultRowHeight="15" customHeight="1" x14ac:dyDescent="0.35"/>
  <cols>
    <col min="1" max="1" width="9.81640625" customWidth="1"/>
    <col min="2" max="2" width="10.54296875" hidden="1" customWidth="1"/>
    <col min="3" max="3" width="15.54296875" customWidth="1"/>
    <col min="4" max="4" width="12.453125" hidden="1" customWidth="1"/>
    <col min="5" max="5" width="16" customWidth="1"/>
    <col min="6" max="6" width="20.453125" hidden="1" customWidth="1"/>
    <col min="7" max="7" width="18.7265625" hidden="1" customWidth="1"/>
    <col min="8" max="8" width="15.453125" hidden="1" customWidth="1"/>
    <col min="9" max="10" width="9.08984375" customWidth="1"/>
    <col min="11" max="11" width="10.7265625" customWidth="1"/>
    <col min="12" max="14" width="9.08984375" hidden="1" customWidth="1"/>
    <col min="15" max="16" width="9.08984375" customWidth="1"/>
    <col min="17" max="17" width="11.81640625" customWidth="1"/>
    <col min="18" max="19" width="9.08984375" customWidth="1"/>
    <col min="20" max="20" width="11.453125" customWidth="1"/>
    <col min="21" max="22" width="9.08984375" customWidth="1"/>
    <col min="23" max="23" width="10.7265625" customWidth="1"/>
    <col min="24" max="25" width="9.08984375" customWidth="1"/>
    <col min="26" max="26" width="9.81640625" customWidth="1"/>
    <col min="27" max="28" width="9.08984375" customWidth="1"/>
    <col min="29" max="29" width="11.54296875" customWidth="1"/>
    <col min="30" max="31" width="9.08984375" customWidth="1"/>
    <col min="32" max="32" width="11.26953125" customWidth="1"/>
    <col min="33" max="34" width="9.08984375" customWidth="1"/>
    <col min="35" max="35" width="11.54296875" customWidth="1"/>
    <col min="36" max="38" width="9.08984375" hidden="1" customWidth="1"/>
    <col min="39" max="40" width="9.08984375" customWidth="1"/>
    <col min="41" max="41" width="11.08984375" customWidth="1"/>
    <col min="42" max="42" width="10.7265625" customWidth="1"/>
    <col min="43" max="49" width="9.08984375" hidden="1" customWidth="1"/>
    <col min="50" max="50" width="15" customWidth="1"/>
    <col min="51" max="51" width="9.08984375" hidden="1" customWidth="1"/>
    <col min="52" max="52" width="12.08984375" customWidth="1"/>
    <col min="53" max="53" width="14" customWidth="1"/>
    <col min="54" max="54" width="9.08984375" customWidth="1"/>
    <col min="55" max="58" width="9.08984375" hidden="1" customWidth="1"/>
    <col min="59" max="59" width="13.08984375" customWidth="1"/>
    <col min="60" max="60" width="14.7265625" customWidth="1"/>
    <col min="61" max="61" width="9.08984375" customWidth="1"/>
    <col min="62" max="63" width="9.08984375" hidden="1" customWidth="1"/>
    <col min="64" max="64" width="9.08984375" customWidth="1"/>
    <col min="65" max="72" width="9.08984375" hidden="1" customWidth="1"/>
    <col min="73" max="73" width="12.453125" customWidth="1"/>
    <col min="74" max="74" width="9.08984375" customWidth="1"/>
    <col min="75" max="75" width="11" customWidth="1"/>
    <col min="76" max="88" width="9.08984375" customWidth="1"/>
    <col min="89" max="89" width="10.54296875" customWidth="1"/>
    <col min="90" max="90" width="9.08984375" customWidth="1"/>
    <col min="91" max="91" width="9" customWidth="1"/>
  </cols>
  <sheetData>
    <row r="1" spans="1:91" ht="21.75" customHeight="1" x14ac:dyDescent="0.35">
      <c r="A1" s="3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10"/>
      <c r="CL1" s="11"/>
    </row>
    <row r="2" spans="1:91" ht="1.5" customHeight="1" x14ac:dyDescent="0.3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4"/>
      <c r="CL2" s="11"/>
    </row>
    <row r="3" spans="1:91" ht="16.5" customHeight="1" x14ac:dyDescent="1.4">
      <c r="A3" s="15" t="s">
        <v>10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7" t="s">
        <v>109</v>
      </c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8"/>
      <c r="CL3" s="25"/>
      <c r="CM3" s="19"/>
    </row>
    <row r="4" spans="1:91" ht="9.75" customHeight="1" x14ac:dyDescent="1.4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2"/>
      <c r="CL4" s="25"/>
      <c r="CM4" s="19"/>
    </row>
    <row r="5" spans="1:91" ht="27" customHeight="1" x14ac:dyDescent="1.4">
      <c r="A5" s="23"/>
      <c r="B5" s="23"/>
      <c r="C5" s="23"/>
      <c r="D5" s="23"/>
      <c r="E5" s="23"/>
      <c r="F5" s="24"/>
      <c r="G5" s="411" t="s">
        <v>16</v>
      </c>
      <c r="H5" s="406"/>
      <c r="I5" s="24"/>
      <c r="J5" s="411" t="s">
        <v>16</v>
      </c>
      <c r="K5" s="406"/>
      <c r="L5" s="26"/>
      <c r="M5" s="411" t="s">
        <v>16</v>
      </c>
      <c r="N5" s="406"/>
      <c r="O5" s="27"/>
      <c r="P5" s="411" t="s">
        <v>16</v>
      </c>
      <c r="Q5" s="406"/>
      <c r="R5" s="26"/>
      <c r="S5" s="411" t="s">
        <v>16</v>
      </c>
      <c r="T5" s="406"/>
      <c r="U5" s="27"/>
      <c r="V5" s="411" t="s">
        <v>16</v>
      </c>
      <c r="W5" s="406"/>
      <c r="X5" s="27"/>
      <c r="Y5" s="411" t="s">
        <v>16</v>
      </c>
      <c r="Z5" s="406"/>
      <c r="AA5" s="27"/>
      <c r="AB5" s="411" t="s">
        <v>16</v>
      </c>
      <c r="AC5" s="406"/>
      <c r="AD5" s="27"/>
      <c r="AE5" s="411" t="s">
        <v>16</v>
      </c>
      <c r="AF5" s="406"/>
      <c r="AG5" s="27"/>
      <c r="AH5" s="411" t="s">
        <v>16</v>
      </c>
      <c r="AI5" s="406"/>
      <c r="AJ5" s="26"/>
      <c r="AK5" s="411" t="s">
        <v>16</v>
      </c>
      <c r="AL5" s="406"/>
      <c r="AM5" s="26"/>
      <c r="AN5" s="409" t="s">
        <v>17</v>
      </c>
      <c r="AO5" s="406"/>
      <c r="AP5" s="406"/>
      <c r="AQ5" s="26"/>
      <c r="AR5" s="412" t="s">
        <v>17</v>
      </c>
      <c r="AS5" s="406"/>
      <c r="AT5" s="26"/>
      <c r="AU5" s="412" t="s">
        <v>17</v>
      </c>
      <c r="AV5" s="406"/>
      <c r="AW5" s="26"/>
      <c r="AX5" s="28" t="s">
        <v>18</v>
      </c>
      <c r="AY5" s="29"/>
      <c r="AZ5" s="409" t="s">
        <v>19</v>
      </c>
      <c r="BA5" s="406"/>
      <c r="BB5" s="406"/>
      <c r="BC5" s="406"/>
      <c r="BD5" s="406"/>
      <c r="BE5" s="406"/>
      <c r="BF5" s="406"/>
      <c r="BG5" s="27"/>
      <c r="BH5" s="30"/>
      <c r="BI5" s="409" t="s">
        <v>19</v>
      </c>
      <c r="BJ5" s="406"/>
      <c r="BK5" s="406"/>
      <c r="BL5" s="406"/>
      <c r="BM5" s="406"/>
      <c r="BN5" s="406"/>
      <c r="BO5" s="406"/>
      <c r="BP5" s="406"/>
      <c r="BQ5" s="406"/>
      <c r="BR5" s="406"/>
      <c r="BS5" s="406"/>
      <c r="BT5" s="31"/>
      <c r="BU5" s="23"/>
      <c r="BV5" s="410" t="s">
        <v>21</v>
      </c>
      <c r="BW5" s="406"/>
      <c r="BX5" s="406"/>
      <c r="BY5" s="23"/>
      <c r="BZ5" s="23"/>
      <c r="CA5" s="23"/>
      <c r="CB5" s="23"/>
      <c r="CC5" s="23"/>
      <c r="CD5" s="23"/>
      <c r="CE5" s="23"/>
      <c r="CF5" s="409" t="s">
        <v>19</v>
      </c>
      <c r="CG5" s="406"/>
      <c r="CH5" s="406"/>
      <c r="CI5" s="406"/>
      <c r="CJ5" s="406"/>
      <c r="CK5" s="406"/>
      <c r="CL5" s="32"/>
      <c r="CM5" s="19"/>
    </row>
    <row r="6" spans="1:91" ht="27" customHeight="1" x14ac:dyDescent="0.35">
      <c r="A6" s="413" t="s">
        <v>22</v>
      </c>
      <c r="B6" s="382" t="s">
        <v>23</v>
      </c>
      <c r="C6" s="404" t="s">
        <v>24</v>
      </c>
      <c r="D6" s="404" t="s">
        <v>25</v>
      </c>
      <c r="E6" s="404" t="s">
        <v>26</v>
      </c>
      <c r="F6" s="414" t="s">
        <v>27</v>
      </c>
      <c r="G6" s="415"/>
      <c r="H6" s="415"/>
      <c r="I6" s="416" t="s">
        <v>28</v>
      </c>
      <c r="J6" s="406"/>
      <c r="K6" s="407"/>
      <c r="L6" s="416" t="s">
        <v>29</v>
      </c>
      <c r="M6" s="406"/>
      <c r="N6" s="407"/>
      <c r="O6" s="416" t="s">
        <v>30</v>
      </c>
      <c r="P6" s="406"/>
      <c r="Q6" s="407"/>
      <c r="R6" s="416" t="s">
        <v>31</v>
      </c>
      <c r="S6" s="406"/>
      <c r="T6" s="407"/>
      <c r="U6" s="416" t="s">
        <v>32</v>
      </c>
      <c r="V6" s="406"/>
      <c r="W6" s="407"/>
      <c r="X6" s="416" t="s">
        <v>33</v>
      </c>
      <c r="Y6" s="406"/>
      <c r="Z6" s="407"/>
      <c r="AA6" s="416" t="s">
        <v>34</v>
      </c>
      <c r="AB6" s="406"/>
      <c r="AC6" s="407"/>
      <c r="AD6" s="416" t="s">
        <v>35</v>
      </c>
      <c r="AE6" s="406"/>
      <c r="AF6" s="407"/>
      <c r="AG6" s="416" t="s">
        <v>36</v>
      </c>
      <c r="AH6" s="406"/>
      <c r="AI6" s="407"/>
      <c r="AJ6" s="416" t="s">
        <v>37</v>
      </c>
      <c r="AK6" s="406"/>
      <c r="AL6" s="407"/>
      <c r="AM6" s="416" t="s">
        <v>38</v>
      </c>
      <c r="AN6" s="406"/>
      <c r="AO6" s="406"/>
      <c r="AP6" s="417" t="s">
        <v>40</v>
      </c>
      <c r="AQ6" s="33"/>
      <c r="AR6" s="33"/>
      <c r="AS6" s="33"/>
      <c r="AT6" s="33"/>
      <c r="AU6" s="33"/>
      <c r="AV6" s="33"/>
      <c r="AW6" s="418" t="s">
        <v>41</v>
      </c>
      <c r="AX6" s="417" t="s">
        <v>42</v>
      </c>
      <c r="AY6" s="34"/>
      <c r="AZ6" s="419" t="s">
        <v>43</v>
      </c>
      <c r="BA6" s="421" t="s">
        <v>44</v>
      </c>
      <c r="BB6" s="421" t="s">
        <v>45</v>
      </c>
      <c r="BC6" s="421" t="s">
        <v>46</v>
      </c>
      <c r="BD6" s="421" t="s">
        <v>47</v>
      </c>
      <c r="BE6" s="421" t="s">
        <v>48</v>
      </c>
      <c r="BF6" s="421" t="s">
        <v>49</v>
      </c>
      <c r="BG6" s="421" t="s">
        <v>50</v>
      </c>
      <c r="BH6" s="380" t="s">
        <v>51</v>
      </c>
      <c r="BI6" s="380" t="s">
        <v>52</v>
      </c>
      <c r="BJ6" s="381" t="s">
        <v>53</v>
      </c>
      <c r="BK6" s="381" t="s">
        <v>54</v>
      </c>
      <c r="BL6" s="382" t="s">
        <v>23</v>
      </c>
      <c r="BM6" s="379" t="s">
        <v>55</v>
      </c>
      <c r="BN6" s="379" t="s">
        <v>56</v>
      </c>
      <c r="BO6" s="379" t="s">
        <v>57</v>
      </c>
      <c r="BP6" s="379" t="s">
        <v>58</v>
      </c>
      <c r="BQ6" s="379" t="s">
        <v>59</v>
      </c>
      <c r="BR6" s="379" t="s">
        <v>60</v>
      </c>
      <c r="BS6" s="379" t="s">
        <v>62</v>
      </c>
      <c r="BT6" s="379" t="s">
        <v>63</v>
      </c>
      <c r="BU6" s="379" t="s">
        <v>64</v>
      </c>
      <c r="BV6" s="408" t="s">
        <v>65</v>
      </c>
      <c r="BW6" s="404" t="s">
        <v>8</v>
      </c>
      <c r="BX6" s="404" t="s">
        <v>66</v>
      </c>
      <c r="BY6" s="405" t="s">
        <v>67</v>
      </c>
      <c r="BZ6" s="406"/>
      <c r="CA6" s="406"/>
      <c r="CB6" s="406"/>
      <c r="CC6" s="406"/>
      <c r="CD6" s="406"/>
      <c r="CE6" s="406"/>
      <c r="CF6" s="406"/>
      <c r="CG6" s="406"/>
      <c r="CH6" s="406"/>
      <c r="CI6" s="406"/>
      <c r="CJ6" s="407"/>
      <c r="CK6" s="422" t="s">
        <v>113</v>
      </c>
      <c r="CL6" s="422" t="s">
        <v>114</v>
      </c>
      <c r="CM6" s="35"/>
    </row>
    <row r="7" spans="1:91" ht="49.5" customHeight="1" x14ac:dyDescent="0.35">
      <c r="A7" s="378"/>
      <c r="B7" s="378"/>
      <c r="C7" s="378"/>
      <c r="D7" s="378"/>
      <c r="E7" s="378"/>
      <c r="F7" s="36" t="s">
        <v>69</v>
      </c>
      <c r="G7" s="37" t="s">
        <v>70</v>
      </c>
      <c r="H7" s="38" t="s">
        <v>71</v>
      </c>
      <c r="I7" s="39" t="s">
        <v>72</v>
      </c>
      <c r="J7" s="40" t="s">
        <v>70</v>
      </c>
      <c r="K7" s="41" t="s">
        <v>71</v>
      </c>
      <c r="L7" s="42" t="s">
        <v>73</v>
      </c>
      <c r="M7" s="37" t="s">
        <v>70</v>
      </c>
      <c r="N7" s="43" t="s">
        <v>71</v>
      </c>
      <c r="O7" s="36" t="s">
        <v>74</v>
      </c>
      <c r="P7" s="37" t="s">
        <v>70</v>
      </c>
      <c r="Q7" s="43" t="s">
        <v>71</v>
      </c>
      <c r="R7" s="36" t="s">
        <v>31</v>
      </c>
      <c r="S7" s="37" t="s">
        <v>70</v>
      </c>
      <c r="T7" s="43" t="s">
        <v>71</v>
      </c>
      <c r="U7" s="36" t="s">
        <v>75</v>
      </c>
      <c r="V7" s="37" t="s">
        <v>70</v>
      </c>
      <c r="W7" s="43" t="s">
        <v>71</v>
      </c>
      <c r="X7" s="36" t="s">
        <v>76</v>
      </c>
      <c r="Y7" s="37" t="s">
        <v>70</v>
      </c>
      <c r="Z7" s="43" t="s">
        <v>71</v>
      </c>
      <c r="AA7" s="36" t="s">
        <v>77</v>
      </c>
      <c r="AB7" s="37" t="s">
        <v>70</v>
      </c>
      <c r="AC7" s="43" t="s">
        <v>71</v>
      </c>
      <c r="AD7" s="36" t="s">
        <v>79</v>
      </c>
      <c r="AE7" s="37" t="s">
        <v>70</v>
      </c>
      <c r="AF7" s="43" t="s">
        <v>71</v>
      </c>
      <c r="AG7" s="44" t="s">
        <v>80</v>
      </c>
      <c r="AH7" s="37" t="s">
        <v>70</v>
      </c>
      <c r="AI7" s="43" t="s">
        <v>71</v>
      </c>
      <c r="AJ7" s="36" t="s">
        <v>82</v>
      </c>
      <c r="AK7" s="37" t="s">
        <v>70</v>
      </c>
      <c r="AL7" s="43" t="s">
        <v>71</v>
      </c>
      <c r="AM7" s="36" t="s">
        <v>83</v>
      </c>
      <c r="AN7" s="37" t="s">
        <v>70</v>
      </c>
      <c r="AO7" s="38" t="s">
        <v>71</v>
      </c>
      <c r="AP7" s="378"/>
      <c r="AQ7" s="39" t="s">
        <v>84</v>
      </c>
      <c r="AR7" s="40" t="s">
        <v>85</v>
      </c>
      <c r="AS7" s="41" t="s">
        <v>86</v>
      </c>
      <c r="AT7" s="39" t="s">
        <v>87</v>
      </c>
      <c r="AU7" s="40" t="s">
        <v>88</v>
      </c>
      <c r="AV7" s="41" t="s">
        <v>86</v>
      </c>
      <c r="AW7" s="378"/>
      <c r="AX7" s="378"/>
      <c r="AY7" s="46" t="s">
        <v>89</v>
      </c>
      <c r="AZ7" s="420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378"/>
      <c r="BW7" s="378"/>
      <c r="BX7" s="378"/>
      <c r="BY7" s="47" t="s">
        <v>90</v>
      </c>
      <c r="BZ7" s="47" t="s">
        <v>91</v>
      </c>
      <c r="CA7" s="47" t="s">
        <v>92</v>
      </c>
      <c r="CB7" s="47" t="s">
        <v>93</v>
      </c>
      <c r="CC7" s="47" t="s">
        <v>55</v>
      </c>
      <c r="CD7" s="48" t="s">
        <v>57</v>
      </c>
      <c r="CE7" s="47" t="s">
        <v>59</v>
      </c>
      <c r="CF7" s="49" t="s">
        <v>90</v>
      </c>
      <c r="CG7" s="49" t="s">
        <v>91</v>
      </c>
      <c r="CH7" s="49" t="s">
        <v>92</v>
      </c>
      <c r="CI7" s="49" t="s">
        <v>93</v>
      </c>
      <c r="CJ7" s="49" t="s">
        <v>55</v>
      </c>
      <c r="CK7" s="378"/>
      <c r="CL7" s="378"/>
      <c r="CM7" s="35"/>
    </row>
    <row r="8" spans="1:91" ht="18.75" customHeight="1" x14ac:dyDescent="0.35">
      <c r="A8" s="50">
        <v>1</v>
      </c>
      <c r="B8" s="51">
        <v>4</v>
      </c>
      <c r="C8" s="52" t="s">
        <v>4</v>
      </c>
      <c r="D8" s="52"/>
      <c r="E8" s="52"/>
      <c r="F8" s="53"/>
      <c r="G8" s="54">
        <v>40</v>
      </c>
      <c r="H8" s="55">
        <f>SUM(F8*G8)</f>
        <v>0</v>
      </c>
      <c r="I8" s="53">
        <v>7321</v>
      </c>
      <c r="J8" s="56">
        <v>50</v>
      </c>
      <c r="K8" s="55">
        <f>J8*I8</f>
        <v>366050</v>
      </c>
      <c r="L8" s="53"/>
      <c r="M8" s="57">
        <v>60</v>
      </c>
      <c r="N8" s="55">
        <f>M8*L8</f>
        <v>0</v>
      </c>
      <c r="O8" s="53">
        <v>2746</v>
      </c>
      <c r="P8" s="57">
        <v>12</v>
      </c>
      <c r="Q8" s="55">
        <f>O8*P8</f>
        <v>32952</v>
      </c>
      <c r="R8" s="53">
        <v>1420</v>
      </c>
      <c r="S8" s="59">
        <v>12</v>
      </c>
      <c r="T8" s="55">
        <f>R8*S8</f>
        <v>17040</v>
      </c>
      <c r="U8" s="53">
        <v>742</v>
      </c>
      <c r="V8" s="57">
        <v>8</v>
      </c>
      <c r="W8" s="55">
        <f>U8*V8</f>
        <v>5936</v>
      </c>
      <c r="X8" s="53">
        <v>308</v>
      </c>
      <c r="Y8" s="57">
        <v>12</v>
      </c>
      <c r="Z8" s="55">
        <f>X8*Y8</f>
        <v>3696</v>
      </c>
      <c r="AA8" s="53">
        <v>835</v>
      </c>
      <c r="AB8" s="57">
        <v>10</v>
      </c>
      <c r="AC8" s="55">
        <f>AA8*AB8</f>
        <v>8350</v>
      </c>
      <c r="AD8" s="53">
        <v>140</v>
      </c>
      <c r="AE8" s="57">
        <v>25</v>
      </c>
      <c r="AF8" s="55">
        <f>AD8*AE8</f>
        <v>3500</v>
      </c>
      <c r="AG8" s="53">
        <v>86</v>
      </c>
      <c r="AH8" s="57">
        <v>7.5</v>
      </c>
      <c r="AI8" s="55">
        <f>AG8*AH8</f>
        <v>645</v>
      </c>
      <c r="AJ8" s="53"/>
      <c r="AK8" s="56">
        <v>15</v>
      </c>
      <c r="AL8" s="55">
        <f>AJ8*AK8</f>
        <v>0</v>
      </c>
      <c r="AM8" s="53">
        <v>224</v>
      </c>
      <c r="AN8" s="57">
        <v>10</v>
      </c>
      <c r="AO8" s="55">
        <f>AM8*AN8</f>
        <v>2240</v>
      </c>
      <c r="AP8" s="53">
        <f>R8+U8+X8+AA8+AD8+AG8+AM8</f>
        <v>3755</v>
      </c>
      <c r="AQ8" s="53"/>
      <c r="AR8" s="61"/>
      <c r="AS8" s="53"/>
      <c r="AT8" s="53"/>
      <c r="AU8" s="55"/>
      <c r="AV8" s="53"/>
      <c r="AW8" s="53"/>
      <c r="AX8" s="66">
        <v>1451</v>
      </c>
      <c r="AY8" s="53"/>
      <c r="AZ8" s="68">
        <f>O8/(I8+F8+L8)</f>
        <v>0.37508537085097665</v>
      </c>
      <c r="BA8" s="68">
        <f>AP8/(I8+F8+L8)</f>
        <v>0.51290807266766836</v>
      </c>
      <c r="BB8" s="68">
        <f>AX8/O8</f>
        <v>0.52840495265841225</v>
      </c>
      <c r="BC8" s="55">
        <f>H8+W8+Z8+AC8+AF8+T8+K8+N8</f>
        <v>404572</v>
      </c>
      <c r="BD8" s="55">
        <f>H8+AF8+T8+K8+N8</f>
        <v>386590</v>
      </c>
      <c r="BE8" s="55">
        <f>H8+W8+Z8+AC8+AF8+T8+K8+N8</f>
        <v>404572</v>
      </c>
      <c r="BF8" s="55">
        <f>H8+W8+Z8+AC8+AF8+AI8+T8+K8+N8</f>
        <v>405217</v>
      </c>
      <c r="BG8" s="62">
        <v>469665</v>
      </c>
      <c r="BH8" s="63">
        <v>313639.07</v>
      </c>
      <c r="BI8" s="69">
        <f>+BH8/BG8%</f>
        <v>66.779315043701374</v>
      </c>
      <c r="BJ8" s="70">
        <f>SUM(BY8+BZ8+CA8+CB8)</f>
        <v>39712</v>
      </c>
      <c r="BK8" s="71">
        <f>SUM(CF8+CG8+CH8+CI8)</f>
        <v>8.455388415146968E-2</v>
      </c>
      <c r="BL8" s="72">
        <f>B8</f>
        <v>4</v>
      </c>
      <c r="BM8" s="61">
        <f>CC8</f>
        <v>37450</v>
      </c>
      <c r="BN8" s="69">
        <f>+BU8/BM8</f>
        <v>3.555943658210948</v>
      </c>
      <c r="BO8" s="73">
        <f>CD8</f>
        <v>310</v>
      </c>
      <c r="BP8" s="69">
        <f>+BU8/BO8</f>
        <v>429.58093548387097</v>
      </c>
      <c r="BQ8" s="61">
        <f>CE8</f>
        <v>20000</v>
      </c>
      <c r="BR8" s="69">
        <f>+BU8/BQ8</f>
        <v>6.6585044999999994</v>
      </c>
      <c r="BS8" s="64">
        <f>BU8-BM8-BO8-BQ8-BY8-BZ8-CA8-CB8</f>
        <v>35698.089999999997</v>
      </c>
      <c r="BT8" s="69">
        <f>+BU8/BS8</f>
        <v>3.7304542063735067</v>
      </c>
      <c r="BU8" s="65">
        <v>133170.09</v>
      </c>
      <c r="BV8" s="74">
        <f>+BU8/BG8%</f>
        <v>28.354271661716332</v>
      </c>
      <c r="BW8" s="75">
        <f>SUM(BG8-BH8-BU8)</f>
        <v>22855.839999999997</v>
      </c>
      <c r="BX8" s="69">
        <f>+BW8/BG8%</f>
        <v>4.8664132945823084</v>
      </c>
      <c r="BY8" s="55">
        <v>15934</v>
      </c>
      <c r="BZ8" s="55">
        <v>9546</v>
      </c>
      <c r="CA8" s="55">
        <v>10992</v>
      </c>
      <c r="CB8" s="55">
        <v>3240</v>
      </c>
      <c r="CC8" s="64">
        <v>37450</v>
      </c>
      <c r="CD8" s="64">
        <v>310</v>
      </c>
      <c r="CE8" s="64">
        <v>20000</v>
      </c>
      <c r="CF8" s="76">
        <f>BY8/BG8</f>
        <v>3.3926309177818234E-2</v>
      </c>
      <c r="CG8" s="76">
        <f>BZ8/BG8</f>
        <v>2.0325125355306443E-2</v>
      </c>
      <c r="CH8" s="76">
        <f>CA8/BG8</f>
        <v>2.3403915556833063E-2</v>
      </c>
      <c r="CI8" s="76">
        <f>CB8/BG8</f>
        <v>6.8985340615119288E-3</v>
      </c>
      <c r="CJ8" s="76">
        <f>CC8/BG8</f>
        <v>7.973768537148819E-2</v>
      </c>
      <c r="CK8" s="63">
        <f>+BW8*20%</f>
        <v>4571.1679999999997</v>
      </c>
      <c r="CL8" s="77">
        <f>BW8*90%</f>
        <v>20570.255999999998</v>
      </c>
    </row>
    <row r="9" spans="1:91" ht="18.75" customHeight="1" x14ac:dyDescent="0.35">
      <c r="A9" s="50">
        <f t="shared" ref="A9:A45" si="0">A8+1</f>
        <v>2</v>
      </c>
      <c r="B9" s="51">
        <v>5</v>
      </c>
      <c r="C9" s="52" t="s">
        <v>9</v>
      </c>
      <c r="D9" s="52" t="s">
        <v>4</v>
      </c>
      <c r="E9" s="52" t="s">
        <v>119</v>
      </c>
      <c r="F9" s="52" t="s">
        <v>120</v>
      </c>
      <c r="G9" s="52" t="s">
        <v>121</v>
      </c>
      <c r="H9" s="52" t="s">
        <v>122</v>
      </c>
      <c r="I9" s="52" t="s">
        <v>123</v>
      </c>
      <c r="J9" s="52" t="s">
        <v>124</v>
      </c>
      <c r="K9" s="52" t="s">
        <v>125</v>
      </c>
      <c r="L9" s="52" t="s">
        <v>126</v>
      </c>
      <c r="M9" s="52" t="s">
        <v>127</v>
      </c>
      <c r="N9" s="52" t="s">
        <v>128</v>
      </c>
      <c r="O9" s="52" t="s">
        <v>129</v>
      </c>
      <c r="P9" s="52" t="s">
        <v>130</v>
      </c>
      <c r="Q9" s="52" t="s">
        <v>131</v>
      </c>
      <c r="R9" s="52" t="s">
        <v>132</v>
      </c>
      <c r="S9" s="52" t="s">
        <v>133</v>
      </c>
      <c r="T9" s="52" t="s">
        <v>134</v>
      </c>
      <c r="U9" s="52" t="s">
        <v>135</v>
      </c>
      <c r="V9" s="52" t="s">
        <v>136</v>
      </c>
      <c r="W9" s="52" t="s">
        <v>137</v>
      </c>
      <c r="X9" s="52" t="s">
        <v>138</v>
      </c>
      <c r="Y9" s="52" t="s">
        <v>139</v>
      </c>
      <c r="Z9" s="52" t="s">
        <v>140</v>
      </c>
      <c r="AA9" s="52" t="s">
        <v>141</v>
      </c>
      <c r="AB9" s="52" t="s">
        <v>142</v>
      </c>
      <c r="AC9" s="52" t="s">
        <v>143</v>
      </c>
      <c r="AD9" s="52" t="s">
        <v>144</v>
      </c>
      <c r="AE9" s="52" t="s">
        <v>145</v>
      </c>
      <c r="AF9" s="52" t="s">
        <v>146</v>
      </c>
      <c r="AG9" s="52" t="s">
        <v>147</v>
      </c>
      <c r="AH9" s="52" t="s">
        <v>148</v>
      </c>
      <c r="AI9" s="52" t="s">
        <v>149</v>
      </c>
      <c r="AJ9" s="52" t="s">
        <v>150</v>
      </c>
      <c r="AK9" s="52" t="s">
        <v>151</v>
      </c>
      <c r="AL9" s="52" t="s">
        <v>152</v>
      </c>
      <c r="AM9" s="52" t="s">
        <v>153</v>
      </c>
      <c r="AN9" s="52" t="s">
        <v>154</v>
      </c>
      <c r="AO9" s="52" t="s">
        <v>155</v>
      </c>
      <c r="AP9" s="52" t="s">
        <v>156</v>
      </c>
      <c r="AQ9" s="52" t="s">
        <v>157</v>
      </c>
      <c r="AR9" s="52" t="s">
        <v>158</v>
      </c>
      <c r="AS9" s="52" t="s">
        <v>159</v>
      </c>
      <c r="AT9" s="52" t="s">
        <v>160</v>
      </c>
      <c r="AU9" s="52" t="s">
        <v>161</v>
      </c>
      <c r="AV9" s="52" t="s">
        <v>162</v>
      </c>
      <c r="AW9" s="52" t="s">
        <v>163</v>
      </c>
      <c r="AX9" s="52" t="s">
        <v>164</v>
      </c>
      <c r="AY9" s="52" t="s">
        <v>165</v>
      </c>
      <c r="AZ9" s="52" t="s">
        <v>166</v>
      </c>
      <c r="BA9" s="52" t="s">
        <v>167</v>
      </c>
      <c r="BB9" s="52" t="s">
        <v>168</v>
      </c>
      <c r="BC9" s="52" t="s">
        <v>169</v>
      </c>
      <c r="BD9" s="52" t="s">
        <v>170</v>
      </c>
      <c r="BE9" s="52" t="s">
        <v>171</v>
      </c>
      <c r="BF9" s="52" t="s">
        <v>172</v>
      </c>
      <c r="BG9" s="52" t="s">
        <v>173</v>
      </c>
      <c r="BH9" s="52" t="s">
        <v>174</v>
      </c>
      <c r="BI9" s="52" t="s">
        <v>175</v>
      </c>
      <c r="BJ9" s="52" t="s">
        <v>176</v>
      </c>
      <c r="BK9" s="52" t="s">
        <v>177</v>
      </c>
      <c r="BL9" s="52" t="s">
        <v>178</v>
      </c>
      <c r="BM9" s="52" t="s">
        <v>179</v>
      </c>
      <c r="BN9" s="52" t="s">
        <v>180</v>
      </c>
      <c r="BO9" s="52" t="s">
        <v>181</v>
      </c>
      <c r="BP9" s="52" t="s">
        <v>182</v>
      </c>
      <c r="BQ9" s="52" t="s">
        <v>183</v>
      </c>
      <c r="BR9" s="52" t="s">
        <v>184</v>
      </c>
      <c r="BS9" s="52" t="s">
        <v>185</v>
      </c>
      <c r="BT9" s="52" t="s">
        <v>186</v>
      </c>
      <c r="BU9" s="52" t="s">
        <v>187</v>
      </c>
      <c r="BV9" s="52" t="s">
        <v>188</v>
      </c>
      <c r="BW9" s="52" t="s">
        <v>189</v>
      </c>
      <c r="BX9" s="52" t="s">
        <v>190</v>
      </c>
      <c r="BY9" s="52" t="s">
        <v>191</v>
      </c>
      <c r="BZ9" s="52" t="s">
        <v>192</v>
      </c>
      <c r="CA9" s="52" t="s">
        <v>193</v>
      </c>
      <c r="CB9" s="52" t="s">
        <v>194</v>
      </c>
      <c r="CC9" s="52" t="s">
        <v>195</v>
      </c>
      <c r="CD9" s="52" t="s">
        <v>196</v>
      </c>
      <c r="CE9" s="52" t="s">
        <v>197</v>
      </c>
      <c r="CF9" s="52" t="s">
        <v>198</v>
      </c>
      <c r="CG9" s="52" t="s">
        <v>199</v>
      </c>
      <c r="CH9" s="52" t="s">
        <v>200</v>
      </c>
      <c r="CI9" s="52" t="s">
        <v>201</v>
      </c>
      <c r="CJ9" s="52" t="s">
        <v>202</v>
      </c>
      <c r="CK9" s="52" t="s">
        <v>203</v>
      </c>
      <c r="CL9" s="52" t="s">
        <v>204</v>
      </c>
      <c r="CM9" s="52" t="s">
        <v>205</v>
      </c>
    </row>
    <row r="10" spans="1:91" ht="18.75" customHeight="1" x14ac:dyDescent="0.35">
      <c r="A10" s="50">
        <f t="shared" si="0"/>
        <v>3</v>
      </c>
      <c r="B10" s="58">
        <v>4</v>
      </c>
      <c r="C10" s="52" t="s">
        <v>11</v>
      </c>
      <c r="D10" s="52"/>
      <c r="E10" s="52"/>
      <c r="F10" s="53"/>
      <c r="G10" s="54">
        <v>40</v>
      </c>
      <c r="H10" s="55">
        <f t="shared" ref="H10:H45" si="1">SUM(F10*G10)</f>
        <v>0</v>
      </c>
      <c r="I10" s="53">
        <v>6811</v>
      </c>
      <c r="J10" s="56">
        <v>50</v>
      </c>
      <c r="K10" s="55">
        <f t="shared" ref="K10:K45" si="2">J10*I10</f>
        <v>340550</v>
      </c>
      <c r="L10" s="53"/>
      <c r="M10" s="57">
        <v>60</v>
      </c>
      <c r="N10" s="55">
        <f t="shared" ref="N10:N45" si="3">M10*L10</f>
        <v>0</v>
      </c>
      <c r="O10" s="53">
        <v>4227</v>
      </c>
      <c r="P10" s="57">
        <v>12</v>
      </c>
      <c r="Q10" s="55">
        <f t="shared" ref="Q10:Q45" si="4">O10*P10</f>
        <v>50724</v>
      </c>
      <c r="R10" s="53">
        <v>4300</v>
      </c>
      <c r="S10" s="59">
        <v>12</v>
      </c>
      <c r="T10" s="55">
        <f t="shared" ref="T10:T45" si="5">R10*S10</f>
        <v>51600</v>
      </c>
      <c r="U10" s="53">
        <v>980</v>
      </c>
      <c r="V10" s="57">
        <v>8</v>
      </c>
      <c r="W10" s="55">
        <f t="shared" ref="W10:W45" si="6">U10*V10</f>
        <v>7840</v>
      </c>
      <c r="X10" s="53">
        <v>176</v>
      </c>
      <c r="Y10" s="57">
        <v>12</v>
      </c>
      <c r="Z10" s="55">
        <f t="shared" ref="Z10:Z45" si="7">X10*Y10</f>
        <v>2112</v>
      </c>
      <c r="AA10" s="53">
        <v>828</v>
      </c>
      <c r="AB10" s="57">
        <v>10</v>
      </c>
      <c r="AC10" s="55">
        <f t="shared" ref="AC10:AC45" si="8">AA10*AB10</f>
        <v>8280</v>
      </c>
      <c r="AD10" s="53">
        <v>300</v>
      </c>
      <c r="AE10" s="57">
        <v>25</v>
      </c>
      <c r="AF10" s="55">
        <f t="shared" ref="AF10:AF45" si="9">AD10*AE10</f>
        <v>7500</v>
      </c>
      <c r="AG10" s="53">
        <v>159</v>
      </c>
      <c r="AH10" s="57">
        <v>7.5</v>
      </c>
      <c r="AI10" s="55">
        <f t="shared" ref="AI10:AI45" si="10">AG10*AH10</f>
        <v>1192.5</v>
      </c>
      <c r="AJ10" s="53"/>
      <c r="AK10" s="56">
        <v>15</v>
      </c>
      <c r="AL10" s="55">
        <f t="shared" ref="AL10:AL45" si="11">AJ10*AK10</f>
        <v>0</v>
      </c>
      <c r="AM10" s="53">
        <v>290</v>
      </c>
      <c r="AN10" s="57">
        <v>10</v>
      </c>
      <c r="AO10" s="55">
        <f t="shared" ref="AO10:AO45" si="12">AM10*AN10</f>
        <v>2900</v>
      </c>
      <c r="AP10" s="53">
        <f t="shared" ref="AP10:AP45" si="13">R10+U10+X10+AA10+AD10+AG10+AM10</f>
        <v>7033</v>
      </c>
      <c r="AQ10" s="53"/>
      <c r="AR10" s="61"/>
      <c r="AS10" s="53"/>
      <c r="AT10" s="53"/>
      <c r="AU10" s="55"/>
      <c r="AV10" s="53"/>
      <c r="AW10" s="53"/>
      <c r="AX10" s="66">
        <f>291+975+190+36+114</f>
        <v>1606</v>
      </c>
      <c r="AY10" s="53"/>
      <c r="AZ10" s="68">
        <f t="shared" ref="AZ10:AZ45" si="14">O10/(I10+F10+L10)</f>
        <v>0.62061371311114377</v>
      </c>
      <c r="BA10" s="68">
        <f t="shared" ref="BA10:BA45" si="15">AP10/(I10+F10+L10)</f>
        <v>1.0325943326971077</v>
      </c>
      <c r="BB10" s="68">
        <f t="shared" ref="BB10:BB45" si="16">AX10/O10</f>
        <v>0.3799384906553111</v>
      </c>
      <c r="BC10" s="55">
        <f t="shared" ref="BC10:BC45" si="17">H10+W10+Z10+AC10+AF10+T10+K10+N10</f>
        <v>417882</v>
      </c>
      <c r="BD10" s="55">
        <f t="shared" ref="BD10:BD45" si="18">H10+AF10+T10+K10+N10</f>
        <v>399650</v>
      </c>
      <c r="BE10" s="55">
        <f t="shared" ref="BE10:BE45" si="19">H10+W10+Z10+AC10+AF10+T10+K10+N10</f>
        <v>417882</v>
      </c>
      <c r="BF10" s="55">
        <f t="shared" ref="BF10:BF45" si="20">H10+W10+Z10+AC10+AF10+AI10+T10+K10+N10</f>
        <v>419074.5</v>
      </c>
      <c r="BG10" s="62">
        <v>503363.5</v>
      </c>
      <c r="BH10" s="63">
        <v>337613.96</v>
      </c>
      <c r="BI10" s="69">
        <f t="shared" ref="BI10:BI45" si="21">+BH10/BG10%</f>
        <v>67.071601337800615</v>
      </c>
      <c r="BJ10" s="70">
        <f t="shared" ref="BJ10:BJ45" si="22">SUM(BY10+BZ10+CA10+CB10)</f>
        <v>35834.5</v>
      </c>
      <c r="BK10" s="71">
        <f t="shared" ref="BK10:BK45" si="23">SUM(CF10+CG10+CH10+CI10)</f>
        <v>7.1190104169253435E-2</v>
      </c>
      <c r="BL10" s="72">
        <f t="shared" ref="BL10:BL43" si="24">B10</f>
        <v>4</v>
      </c>
      <c r="BM10" s="61">
        <f t="shared" ref="BM10:BM45" si="25">CC10</f>
        <v>51600</v>
      </c>
      <c r="BN10" s="69">
        <f t="shared" ref="BN10:BN45" si="26">+BU10/BM10</f>
        <v>2.9080618217054264</v>
      </c>
      <c r="BO10" s="73">
        <f t="shared" ref="BO10:BO45" si="27">CD10</f>
        <v>437.5</v>
      </c>
      <c r="BP10" s="69">
        <f t="shared" ref="BP10:BP45" si="28">+BU10/BO10</f>
        <v>342.98511999999999</v>
      </c>
      <c r="BQ10" s="61">
        <f t="shared" ref="BQ10:BQ45" si="29">CE10</f>
        <v>16000</v>
      </c>
      <c r="BR10" s="69">
        <f t="shared" ref="BR10:BR45" si="30">+BU10/BQ10</f>
        <v>9.3784993749999988</v>
      </c>
      <c r="BS10" s="64">
        <f t="shared" ref="BS10:BS45" si="31">BU10-BM10-BO10-BQ10-BY10-BZ10-CA10-CB10</f>
        <v>46183.989999999991</v>
      </c>
      <c r="BT10" s="69">
        <f t="shared" ref="BT10:BT45" si="32">+BU10/BS10</f>
        <v>3.2490910811300631</v>
      </c>
      <c r="BU10" s="65">
        <v>150055.99</v>
      </c>
      <c r="BV10" s="74">
        <f t="shared" ref="BV10:BV45" si="33">+BU10/BG10%</f>
        <v>29.810661678886131</v>
      </c>
      <c r="BW10" s="75">
        <f t="shared" ref="BW10:BW15" si="34">SUM(BG10-BH10-BU10)</f>
        <v>15693.549999999988</v>
      </c>
      <c r="BX10" s="69">
        <f t="shared" ref="BX10:BX45" si="35">+BW10/BG10%</f>
        <v>3.1177369833132493</v>
      </c>
      <c r="BY10" s="55">
        <v>18526.5</v>
      </c>
      <c r="BZ10" s="55">
        <v>6364</v>
      </c>
      <c r="CA10" s="55">
        <v>8244</v>
      </c>
      <c r="CB10" s="55">
        <v>2700</v>
      </c>
      <c r="CC10" s="64">
        <v>51600</v>
      </c>
      <c r="CD10" s="64">
        <v>437.5</v>
      </c>
      <c r="CE10" s="64">
        <v>16000</v>
      </c>
      <c r="CF10" s="76">
        <f t="shared" ref="CF10:CF45" si="36">BY10/BG10</f>
        <v>3.6805410006883692E-2</v>
      </c>
      <c r="CG10" s="76">
        <f t="shared" ref="CG10:CG45" si="37">BZ10/BG10</f>
        <v>1.2642950869500867E-2</v>
      </c>
      <c r="CH10" s="76">
        <f t="shared" ref="CH10:CH45" si="38">CA10/BG10</f>
        <v>1.6377826362062406E-2</v>
      </c>
      <c r="CI10" s="76">
        <f t="shared" ref="CI10:CI45" si="39">CB10/BG10</f>
        <v>5.3639169308064647E-3</v>
      </c>
      <c r="CJ10" s="76">
        <f t="shared" ref="CJ10:CJ45" si="40">CC10/BG10</f>
        <v>0.10251041245541244</v>
      </c>
      <c r="CK10" s="63">
        <f t="shared" ref="CK10:CK45" si="41">+BW10*20%</f>
        <v>3138.7099999999978</v>
      </c>
      <c r="CL10" s="77">
        <f t="shared" ref="CL10:CL45" si="42">BW10*90%</f>
        <v>14124.194999999991</v>
      </c>
    </row>
    <row r="11" spans="1:91" ht="18.75" customHeight="1" x14ac:dyDescent="0.35">
      <c r="A11" s="50">
        <f t="shared" si="0"/>
        <v>4</v>
      </c>
      <c r="B11" s="58">
        <v>2</v>
      </c>
      <c r="C11" s="52" t="s">
        <v>105</v>
      </c>
      <c r="D11" s="52"/>
      <c r="E11" s="52"/>
      <c r="F11" s="53"/>
      <c r="G11" s="54">
        <v>40</v>
      </c>
      <c r="H11" s="55">
        <f t="shared" si="1"/>
        <v>0</v>
      </c>
      <c r="I11" s="53">
        <v>3581</v>
      </c>
      <c r="J11" s="56">
        <v>50</v>
      </c>
      <c r="K11" s="55">
        <f t="shared" si="2"/>
        <v>179050</v>
      </c>
      <c r="L11" s="53"/>
      <c r="M11" s="57">
        <v>60</v>
      </c>
      <c r="N11" s="55">
        <f t="shared" si="3"/>
        <v>0</v>
      </c>
      <c r="O11" s="53">
        <v>2284</v>
      </c>
      <c r="P11" s="57">
        <v>12</v>
      </c>
      <c r="Q11" s="55">
        <f t="shared" si="4"/>
        <v>27408</v>
      </c>
      <c r="R11" s="53">
        <v>4101</v>
      </c>
      <c r="S11" s="59">
        <v>12</v>
      </c>
      <c r="T11" s="55">
        <f t="shared" si="5"/>
        <v>49212</v>
      </c>
      <c r="U11" s="53">
        <v>436</v>
      </c>
      <c r="V11" s="57">
        <v>8</v>
      </c>
      <c r="W11" s="55">
        <f t="shared" si="6"/>
        <v>3488</v>
      </c>
      <c r="X11" s="53">
        <v>148</v>
      </c>
      <c r="Y11" s="57">
        <v>12</v>
      </c>
      <c r="Z11" s="55">
        <f t="shared" si="7"/>
        <v>1776</v>
      </c>
      <c r="AA11" s="53">
        <v>435</v>
      </c>
      <c r="AB11" s="57">
        <v>10</v>
      </c>
      <c r="AC11" s="55">
        <f t="shared" si="8"/>
        <v>4350</v>
      </c>
      <c r="AD11" s="53">
        <v>175</v>
      </c>
      <c r="AE11" s="57">
        <v>25</v>
      </c>
      <c r="AF11" s="55">
        <f t="shared" si="9"/>
        <v>4375</v>
      </c>
      <c r="AG11" s="53">
        <v>109</v>
      </c>
      <c r="AH11" s="57">
        <v>7.5</v>
      </c>
      <c r="AI11" s="55">
        <f t="shared" si="10"/>
        <v>817.5</v>
      </c>
      <c r="AJ11" s="53"/>
      <c r="AK11" s="56">
        <v>15</v>
      </c>
      <c r="AL11" s="55">
        <f t="shared" si="11"/>
        <v>0</v>
      </c>
      <c r="AM11" s="53">
        <v>186</v>
      </c>
      <c r="AN11" s="57">
        <v>10</v>
      </c>
      <c r="AO11" s="55">
        <f t="shared" si="12"/>
        <v>1860</v>
      </c>
      <c r="AP11" s="53">
        <f t="shared" si="13"/>
        <v>5590</v>
      </c>
      <c r="AQ11" s="53"/>
      <c r="AR11" s="61"/>
      <c r="AS11" s="53"/>
      <c r="AT11" s="53"/>
      <c r="AU11" s="55"/>
      <c r="AV11" s="53"/>
      <c r="AW11" s="53"/>
      <c r="AX11" s="66">
        <f>190+567+84+112+18</f>
        <v>971</v>
      </c>
      <c r="AY11" s="53"/>
      <c r="AZ11" s="68">
        <f t="shared" si="14"/>
        <v>0.63781066741133763</v>
      </c>
      <c r="BA11" s="68">
        <f t="shared" si="15"/>
        <v>1.561016475844736</v>
      </c>
      <c r="BB11" s="68">
        <f t="shared" si="16"/>
        <v>0.42513134851138351</v>
      </c>
      <c r="BC11" s="55">
        <f t="shared" si="17"/>
        <v>242251</v>
      </c>
      <c r="BD11" s="55">
        <f t="shared" si="18"/>
        <v>232637</v>
      </c>
      <c r="BE11" s="55">
        <f t="shared" si="19"/>
        <v>242251</v>
      </c>
      <c r="BF11" s="55">
        <f t="shared" si="20"/>
        <v>243068.5</v>
      </c>
      <c r="BG11" s="62">
        <v>291150.5</v>
      </c>
      <c r="BH11" s="63">
        <v>193281.13</v>
      </c>
      <c r="BI11" s="69">
        <f t="shared" si="21"/>
        <v>66.385299012022998</v>
      </c>
      <c r="BJ11" s="70">
        <f t="shared" si="22"/>
        <v>26483</v>
      </c>
      <c r="BK11" s="71">
        <f t="shared" si="23"/>
        <v>9.095983005352902E-2</v>
      </c>
      <c r="BL11" s="72">
        <f t="shared" si="24"/>
        <v>2</v>
      </c>
      <c r="BM11" s="61">
        <f t="shared" si="25"/>
        <v>25975</v>
      </c>
      <c r="BN11" s="69">
        <f t="shared" si="26"/>
        <v>3.6531591915303174</v>
      </c>
      <c r="BO11" s="73">
        <f t="shared" si="27"/>
        <v>2625</v>
      </c>
      <c r="BP11" s="69">
        <f t="shared" si="28"/>
        <v>36.148879999999998</v>
      </c>
      <c r="BQ11" s="61">
        <f t="shared" si="29"/>
        <v>8269</v>
      </c>
      <c r="BR11" s="69">
        <f t="shared" si="30"/>
        <v>11.475487967106059</v>
      </c>
      <c r="BS11" s="64">
        <f t="shared" si="31"/>
        <v>31538.809999999998</v>
      </c>
      <c r="BT11" s="69">
        <f t="shared" si="32"/>
        <v>3.0086997575368253</v>
      </c>
      <c r="BU11" s="65">
        <v>94890.81</v>
      </c>
      <c r="BV11" s="74">
        <f t="shared" si="33"/>
        <v>32.591669943894992</v>
      </c>
      <c r="BW11" s="75">
        <f t="shared" si="34"/>
        <v>2978.5599999999977</v>
      </c>
      <c r="BX11" s="69">
        <f t="shared" si="35"/>
        <v>1.0230310440820116</v>
      </c>
      <c r="BY11" s="55">
        <v>12463</v>
      </c>
      <c r="BZ11" s="55">
        <v>6364</v>
      </c>
      <c r="CA11" s="55">
        <v>5496</v>
      </c>
      <c r="CB11" s="55">
        <v>2160</v>
      </c>
      <c r="CC11" s="64">
        <v>25975</v>
      </c>
      <c r="CD11" s="64">
        <v>2625</v>
      </c>
      <c r="CE11" s="64">
        <v>8269</v>
      </c>
      <c r="CF11" s="76">
        <f t="shared" si="36"/>
        <v>4.2806040175098446E-2</v>
      </c>
      <c r="CG11" s="76">
        <f t="shared" si="37"/>
        <v>2.1858111183047941E-2</v>
      </c>
      <c r="CH11" s="76">
        <f t="shared" si="38"/>
        <v>1.887683517630916E-2</v>
      </c>
      <c r="CI11" s="76">
        <f t="shared" si="39"/>
        <v>7.4188435190734687E-3</v>
      </c>
      <c r="CJ11" s="76">
        <f t="shared" si="40"/>
        <v>8.9215027966635815E-2</v>
      </c>
      <c r="CK11" s="63">
        <f t="shared" si="41"/>
        <v>595.71199999999953</v>
      </c>
      <c r="CL11" s="77">
        <f t="shared" si="42"/>
        <v>2680.7039999999979</v>
      </c>
    </row>
    <row r="12" spans="1:91" ht="18.75" customHeight="1" x14ac:dyDescent="0.35">
      <c r="A12" s="50">
        <f t="shared" si="0"/>
        <v>5</v>
      </c>
      <c r="B12" s="58">
        <v>4</v>
      </c>
      <c r="C12" s="52" t="s">
        <v>108</v>
      </c>
      <c r="D12" s="52"/>
      <c r="E12" s="52"/>
      <c r="F12" s="53"/>
      <c r="G12" s="54">
        <v>40</v>
      </c>
      <c r="H12" s="55">
        <f t="shared" si="1"/>
        <v>0</v>
      </c>
      <c r="I12" s="53">
        <v>7242</v>
      </c>
      <c r="J12" s="56">
        <v>50</v>
      </c>
      <c r="K12" s="55">
        <f t="shared" si="2"/>
        <v>362100</v>
      </c>
      <c r="L12" s="53"/>
      <c r="M12" s="57">
        <v>60</v>
      </c>
      <c r="N12" s="55">
        <f t="shared" si="3"/>
        <v>0</v>
      </c>
      <c r="O12" s="53">
        <v>5877</v>
      </c>
      <c r="P12" s="57">
        <v>12</v>
      </c>
      <c r="Q12" s="55">
        <f t="shared" si="4"/>
        <v>70524</v>
      </c>
      <c r="R12" s="53">
        <v>1631</v>
      </c>
      <c r="S12" s="59">
        <v>12</v>
      </c>
      <c r="T12" s="55">
        <f t="shared" si="5"/>
        <v>19572</v>
      </c>
      <c r="U12" s="53">
        <v>1177</v>
      </c>
      <c r="V12" s="57">
        <v>8</v>
      </c>
      <c r="W12" s="55">
        <f t="shared" si="6"/>
        <v>9416</v>
      </c>
      <c r="X12" s="53">
        <v>359</v>
      </c>
      <c r="Y12" s="57">
        <v>12</v>
      </c>
      <c r="Z12" s="55">
        <f t="shared" si="7"/>
        <v>4308</v>
      </c>
      <c r="AA12" s="53">
        <v>1090</v>
      </c>
      <c r="AB12" s="57">
        <v>10</v>
      </c>
      <c r="AC12" s="55">
        <f t="shared" si="8"/>
        <v>10900</v>
      </c>
      <c r="AD12" s="53">
        <v>271</v>
      </c>
      <c r="AE12" s="57">
        <v>25</v>
      </c>
      <c r="AF12" s="55">
        <f t="shared" si="9"/>
        <v>6775</v>
      </c>
      <c r="AG12" s="53">
        <v>159</v>
      </c>
      <c r="AH12" s="57">
        <v>7.5</v>
      </c>
      <c r="AI12" s="55">
        <f t="shared" si="10"/>
        <v>1192.5</v>
      </c>
      <c r="AJ12" s="53"/>
      <c r="AK12" s="56">
        <v>15</v>
      </c>
      <c r="AL12" s="55">
        <f t="shared" si="11"/>
        <v>0</v>
      </c>
      <c r="AM12" s="53">
        <v>236</v>
      </c>
      <c r="AN12" s="57">
        <v>10</v>
      </c>
      <c r="AO12" s="55">
        <f t="shared" si="12"/>
        <v>2360</v>
      </c>
      <c r="AP12" s="53">
        <f t="shared" si="13"/>
        <v>4923</v>
      </c>
      <c r="AQ12" s="53"/>
      <c r="AR12" s="61"/>
      <c r="AS12" s="53"/>
      <c r="AT12" s="53"/>
      <c r="AU12" s="55"/>
      <c r="AV12" s="53"/>
      <c r="AW12" s="53"/>
      <c r="AX12" s="66">
        <f>519+1362+237+191+65</f>
        <v>2374</v>
      </c>
      <c r="AY12" s="53"/>
      <c r="AZ12" s="68">
        <f t="shared" si="14"/>
        <v>0.8115161557580779</v>
      </c>
      <c r="BA12" s="68">
        <f t="shared" si="15"/>
        <v>0.67978458989229495</v>
      </c>
      <c r="BB12" s="68">
        <f t="shared" si="16"/>
        <v>0.40394759230900118</v>
      </c>
      <c r="BC12" s="55">
        <f t="shared" si="17"/>
        <v>413071</v>
      </c>
      <c r="BD12" s="55">
        <f t="shared" si="18"/>
        <v>388447</v>
      </c>
      <c r="BE12" s="55">
        <f t="shared" si="19"/>
        <v>413071</v>
      </c>
      <c r="BF12" s="55">
        <f t="shared" si="20"/>
        <v>414263.5</v>
      </c>
      <c r="BG12" s="62">
        <v>532406.5</v>
      </c>
      <c r="BH12" s="63">
        <v>358055.33</v>
      </c>
      <c r="BI12" s="69">
        <f t="shared" si="21"/>
        <v>67.252246169045648</v>
      </c>
      <c r="BJ12" s="70">
        <f t="shared" si="22"/>
        <v>43408.5</v>
      </c>
      <c r="BK12" s="71">
        <f t="shared" si="23"/>
        <v>8.1532625916475476E-2</v>
      </c>
      <c r="BL12" s="72">
        <f t="shared" si="24"/>
        <v>4</v>
      </c>
      <c r="BM12" s="61">
        <f t="shared" si="25"/>
        <v>44837.5</v>
      </c>
      <c r="BN12" s="69">
        <f t="shared" si="26"/>
        <v>3.6107508224142739</v>
      </c>
      <c r="BO12" s="73">
        <f t="shared" si="27"/>
        <v>62.5</v>
      </c>
      <c r="BP12" s="69">
        <f t="shared" si="28"/>
        <v>2590.3526400000001</v>
      </c>
      <c r="BQ12" s="61">
        <f t="shared" si="29"/>
        <v>28000</v>
      </c>
      <c r="BR12" s="69">
        <f t="shared" si="30"/>
        <v>5.7820371428571429</v>
      </c>
      <c r="BS12" s="64">
        <f t="shared" si="31"/>
        <v>45588.540000000008</v>
      </c>
      <c r="BT12" s="69">
        <f t="shared" si="32"/>
        <v>3.5512661734725435</v>
      </c>
      <c r="BU12" s="65">
        <v>161897.04</v>
      </c>
      <c r="BV12" s="74">
        <f t="shared" si="33"/>
        <v>30.408539339771401</v>
      </c>
      <c r="BW12" s="75">
        <f t="shared" si="34"/>
        <v>12454.129999999976</v>
      </c>
      <c r="BX12" s="69">
        <f t="shared" si="35"/>
        <v>2.3392144911829544</v>
      </c>
      <c r="BY12" s="55">
        <v>18526.5</v>
      </c>
      <c r="BZ12" s="55">
        <v>9546</v>
      </c>
      <c r="CA12" s="55">
        <v>12366</v>
      </c>
      <c r="CB12" s="55">
        <v>2970</v>
      </c>
      <c r="CC12" s="64">
        <v>44837.5</v>
      </c>
      <c r="CD12" s="64">
        <v>62.5</v>
      </c>
      <c r="CE12" s="64">
        <v>28000</v>
      </c>
      <c r="CF12" s="76">
        <f t="shared" si="36"/>
        <v>3.4797659307314995E-2</v>
      </c>
      <c r="CG12" s="76">
        <f t="shared" si="37"/>
        <v>1.7929908819670683E-2</v>
      </c>
      <c r="CH12" s="76">
        <f t="shared" si="38"/>
        <v>2.3226613499271704E-2</v>
      </c>
      <c r="CI12" s="76">
        <f t="shared" si="39"/>
        <v>5.5784442902180945E-3</v>
      </c>
      <c r="CJ12" s="76">
        <f t="shared" si="40"/>
        <v>8.4216665273620817E-2</v>
      </c>
      <c r="CK12" s="63">
        <f t="shared" si="41"/>
        <v>2490.8259999999955</v>
      </c>
      <c r="CL12" s="77">
        <f t="shared" si="42"/>
        <v>11208.716999999979</v>
      </c>
    </row>
    <row r="13" spans="1:91" ht="18.75" customHeight="1" x14ac:dyDescent="0.35">
      <c r="A13" s="50">
        <f t="shared" si="0"/>
        <v>6</v>
      </c>
      <c r="B13" s="58">
        <v>4</v>
      </c>
      <c r="C13" s="52" t="s">
        <v>111</v>
      </c>
      <c r="D13" s="52"/>
      <c r="E13" s="52"/>
      <c r="F13" s="53"/>
      <c r="G13" s="54">
        <v>40</v>
      </c>
      <c r="H13" s="55">
        <f t="shared" si="1"/>
        <v>0</v>
      </c>
      <c r="I13" s="53">
        <v>8589</v>
      </c>
      <c r="J13" s="56">
        <v>50</v>
      </c>
      <c r="K13" s="55">
        <f t="shared" si="2"/>
        <v>429450</v>
      </c>
      <c r="L13" s="53"/>
      <c r="M13" s="57">
        <v>60</v>
      </c>
      <c r="N13" s="55">
        <f t="shared" si="3"/>
        <v>0</v>
      </c>
      <c r="O13" s="53">
        <v>2937</v>
      </c>
      <c r="P13" s="57">
        <v>12</v>
      </c>
      <c r="Q13" s="55">
        <f t="shared" si="4"/>
        <v>35244</v>
      </c>
      <c r="R13" s="53">
        <v>350</v>
      </c>
      <c r="S13" s="59">
        <v>12</v>
      </c>
      <c r="T13" s="55">
        <f t="shared" si="5"/>
        <v>4200</v>
      </c>
      <c r="U13" s="53">
        <v>652</v>
      </c>
      <c r="V13" s="57">
        <v>8</v>
      </c>
      <c r="W13" s="55">
        <f t="shared" si="6"/>
        <v>5216</v>
      </c>
      <c r="X13" s="53">
        <v>470</v>
      </c>
      <c r="Y13" s="57">
        <v>12</v>
      </c>
      <c r="Z13" s="55">
        <f t="shared" si="7"/>
        <v>5640</v>
      </c>
      <c r="AA13" s="53">
        <v>790</v>
      </c>
      <c r="AB13" s="57">
        <v>10</v>
      </c>
      <c r="AC13" s="55">
        <f t="shared" si="8"/>
        <v>7900</v>
      </c>
      <c r="AD13" s="53">
        <v>220</v>
      </c>
      <c r="AE13" s="57">
        <v>25</v>
      </c>
      <c r="AF13" s="55">
        <f t="shared" si="9"/>
        <v>5500</v>
      </c>
      <c r="AG13" s="53">
        <v>54</v>
      </c>
      <c r="AH13" s="57">
        <v>7.5</v>
      </c>
      <c r="AI13" s="55">
        <f t="shared" si="10"/>
        <v>405</v>
      </c>
      <c r="AJ13" s="53"/>
      <c r="AK13" s="56">
        <v>15</v>
      </c>
      <c r="AL13" s="55">
        <f t="shared" si="11"/>
        <v>0</v>
      </c>
      <c r="AM13" s="53"/>
      <c r="AN13" s="57">
        <v>10</v>
      </c>
      <c r="AO13" s="55">
        <f t="shared" si="12"/>
        <v>0</v>
      </c>
      <c r="AP13" s="53">
        <f t="shared" si="13"/>
        <v>2536</v>
      </c>
      <c r="AQ13" s="53"/>
      <c r="AR13" s="61"/>
      <c r="AS13" s="53"/>
      <c r="AT13" s="53"/>
      <c r="AU13" s="55"/>
      <c r="AV13" s="53"/>
      <c r="AW13" s="53"/>
      <c r="AX13" s="66">
        <f>179+747+65+207+12</f>
        <v>1210</v>
      </c>
      <c r="AY13" s="53"/>
      <c r="AZ13" s="68">
        <f t="shared" si="14"/>
        <v>0.3419490045406916</v>
      </c>
      <c r="BA13" s="68">
        <f t="shared" si="15"/>
        <v>0.29526138083595294</v>
      </c>
      <c r="BB13" s="68">
        <f t="shared" si="16"/>
        <v>0.41198501872659177</v>
      </c>
      <c r="BC13" s="55">
        <f t="shared" si="17"/>
        <v>457906</v>
      </c>
      <c r="BD13" s="55">
        <f t="shared" si="18"/>
        <v>439150</v>
      </c>
      <c r="BE13" s="55">
        <f t="shared" si="19"/>
        <v>457906</v>
      </c>
      <c r="BF13" s="55">
        <f t="shared" si="20"/>
        <v>458311</v>
      </c>
      <c r="BG13" s="62">
        <v>516464</v>
      </c>
      <c r="BH13" s="63">
        <v>347876.01</v>
      </c>
      <c r="BI13" s="69">
        <f t="shared" si="21"/>
        <v>67.357262074413697</v>
      </c>
      <c r="BJ13" s="70">
        <f t="shared" si="22"/>
        <v>54009</v>
      </c>
      <c r="BK13" s="71">
        <f t="shared" si="23"/>
        <v>0.10457456860497538</v>
      </c>
      <c r="BL13" s="72">
        <f t="shared" si="24"/>
        <v>4</v>
      </c>
      <c r="BM13" s="61">
        <f t="shared" si="25"/>
        <v>41100</v>
      </c>
      <c r="BN13" s="69">
        <f t="shared" si="26"/>
        <v>3.6383807785888083</v>
      </c>
      <c r="BO13" s="73">
        <f t="shared" si="27"/>
        <v>0</v>
      </c>
      <c r="BP13" s="69" t="e">
        <f t="shared" si="28"/>
        <v>#DIV/0!</v>
      </c>
      <c r="BQ13" s="61">
        <f t="shared" si="29"/>
        <v>13000</v>
      </c>
      <c r="BR13" s="69">
        <f t="shared" si="30"/>
        <v>11.502880769230771</v>
      </c>
      <c r="BS13" s="64">
        <f t="shared" si="31"/>
        <v>41428.450000000012</v>
      </c>
      <c r="BT13" s="69">
        <f t="shared" si="32"/>
        <v>3.6095352348446532</v>
      </c>
      <c r="BU13" s="65">
        <v>149537.45000000001</v>
      </c>
      <c r="BV13" s="74">
        <f t="shared" si="33"/>
        <v>28.954089733263114</v>
      </c>
      <c r="BW13" s="75">
        <f t="shared" si="34"/>
        <v>19050.539999999979</v>
      </c>
      <c r="BX13" s="69">
        <f t="shared" si="35"/>
        <v>3.688648192323178</v>
      </c>
      <c r="BY13" s="55">
        <v>23708</v>
      </c>
      <c r="BZ13" s="55">
        <v>11137</v>
      </c>
      <c r="CA13" s="55">
        <v>15114</v>
      </c>
      <c r="CB13" s="55">
        <v>4050</v>
      </c>
      <c r="CC13" s="64">
        <v>41100</v>
      </c>
      <c r="CD13" s="64"/>
      <c r="CE13" s="64">
        <v>13000</v>
      </c>
      <c r="CF13" s="76">
        <f t="shared" si="36"/>
        <v>4.5904458006753614E-2</v>
      </c>
      <c r="CG13" s="76">
        <f t="shared" si="37"/>
        <v>2.1563942501316647E-2</v>
      </c>
      <c r="CH13" s="76">
        <f t="shared" si="38"/>
        <v>2.9264382415812137E-2</v>
      </c>
      <c r="CI13" s="76">
        <f t="shared" si="39"/>
        <v>7.8417856810929706E-3</v>
      </c>
      <c r="CJ13" s="76">
        <f t="shared" si="40"/>
        <v>7.9579602837758293E-2</v>
      </c>
      <c r="CK13" s="63">
        <f t="shared" si="41"/>
        <v>3810.1079999999961</v>
      </c>
      <c r="CL13" s="77">
        <f t="shared" si="42"/>
        <v>17145.485999999983</v>
      </c>
    </row>
    <row r="14" spans="1:91" ht="18.75" customHeight="1" x14ac:dyDescent="0.35">
      <c r="A14" s="50">
        <f t="shared" si="0"/>
        <v>7</v>
      </c>
      <c r="B14" s="58">
        <v>7</v>
      </c>
      <c r="C14" s="52" t="s">
        <v>110</v>
      </c>
      <c r="D14" s="52"/>
      <c r="E14" s="52"/>
      <c r="F14" s="53"/>
      <c r="G14" s="54">
        <v>40</v>
      </c>
      <c r="H14" s="55">
        <f t="shared" si="1"/>
        <v>0</v>
      </c>
      <c r="I14" s="53">
        <v>15658</v>
      </c>
      <c r="J14" s="56">
        <v>50</v>
      </c>
      <c r="K14" s="55">
        <f t="shared" si="2"/>
        <v>782900</v>
      </c>
      <c r="L14" s="53"/>
      <c r="M14" s="57">
        <v>60</v>
      </c>
      <c r="N14" s="55">
        <f t="shared" si="3"/>
        <v>0</v>
      </c>
      <c r="O14" s="53">
        <v>5662</v>
      </c>
      <c r="P14" s="57">
        <v>12</v>
      </c>
      <c r="Q14" s="55">
        <f t="shared" si="4"/>
        <v>67944</v>
      </c>
      <c r="R14" s="53"/>
      <c r="S14" s="59">
        <v>12</v>
      </c>
      <c r="T14" s="55">
        <f t="shared" si="5"/>
        <v>0</v>
      </c>
      <c r="U14" s="53">
        <v>1006</v>
      </c>
      <c r="V14" s="57">
        <v>8</v>
      </c>
      <c r="W14" s="55">
        <f t="shared" si="6"/>
        <v>8048</v>
      </c>
      <c r="X14" s="53">
        <v>397</v>
      </c>
      <c r="Y14" s="57">
        <v>12</v>
      </c>
      <c r="Z14" s="55">
        <f t="shared" si="7"/>
        <v>4764</v>
      </c>
      <c r="AA14" s="53">
        <v>1119</v>
      </c>
      <c r="AB14" s="57">
        <v>10</v>
      </c>
      <c r="AC14" s="55">
        <f t="shared" si="8"/>
        <v>11190</v>
      </c>
      <c r="AD14" s="53">
        <v>370</v>
      </c>
      <c r="AE14" s="57">
        <v>25</v>
      </c>
      <c r="AF14" s="55">
        <f t="shared" si="9"/>
        <v>9250</v>
      </c>
      <c r="AG14" s="53">
        <v>78</v>
      </c>
      <c r="AH14" s="57">
        <v>7.5</v>
      </c>
      <c r="AI14" s="55">
        <f t="shared" si="10"/>
        <v>585</v>
      </c>
      <c r="AJ14" s="53"/>
      <c r="AK14" s="56">
        <v>15</v>
      </c>
      <c r="AL14" s="55">
        <f t="shared" si="11"/>
        <v>0</v>
      </c>
      <c r="AM14" s="53">
        <v>299</v>
      </c>
      <c r="AN14" s="57">
        <v>10</v>
      </c>
      <c r="AO14" s="55">
        <f t="shared" si="12"/>
        <v>2990</v>
      </c>
      <c r="AP14" s="53">
        <f t="shared" si="13"/>
        <v>3269</v>
      </c>
      <c r="AQ14" s="53"/>
      <c r="AR14" s="61"/>
      <c r="AS14" s="53"/>
      <c r="AT14" s="53"/>
      <c r="AU14" s="55"/>
      <c r="AV14" s="53"/>
      <c r="AW14" s="53"/>
      <c r="AX14" s="66">
        <f>781+240+127+974+295+48+42</f>
        <v>2507</v>
      </c>
      <c r="AY14" s="53"/>
      <c r="AZ14" s="68">
        <f t="shared" si="14"/>
        <v>0.3616042917358539</v>
      </c>
      <c r="BA14" s="68">
        <f t="shared" si="15"/>
        <v>0.2087750670583727</v>
      </c>
      <c r="BB14" s="68">
        <f t="shared" si="16"/>
        <v>0.44277640409749203</v>
      </c>
      <c r="BC14" s="55">
        <f t="shared" si="17"/>
        <v>816152</v>
      </c>
      <c r="BD14" s="55">
        <f t="shared" si="18"/>
        <v>792150</v>
      </c>
      <c r="BE14" s="55">
        <f t="shared" si="19"/>
        <v>816152</v>
      </c>
      <c r="BF14" s="55">
        <f t="shared" si="20"/>
        <v>816737</v>
      </c>
      <c r="BG14" s="62">
        <v>933014</v>
      </c>
      <c r="BH14" s="63">
        <v>633627.57999999996</v>
      </c>
      <c r="BI14" s="69">
        <f t="shared" si="21"/>
        <v>67.91190485887671</v>
      </c>
      <c r="BJ14" s="70">
        <f t="shared" si="22"/>
        <v>67217</v>
      </c>
      <c r="BK14" s="71">
        <f t="shared" si="23"/>
        <v>7.2042863236778859E-2</v>
      </c>
      <c r="BL14" s="72">
        <f t="shared" si="24"/>
        <v>7</v>
      </c>
      <c r="BM14" s="61">
        <f t="shared" si="25"/>
        <v>69750</v>
      </c>
      <c r="BN14" s="69">
        <f t="shared" si="26"/>
        <v>3.0327379211469534</v>
      </c>
      <c r="BO14" s="73">
        <f t="shared" si="27"/>
        <v>0</v>
      </c>
      <c r="BP14" s="69" t="e">
        <f t="shared" si="28"/>
        <v>#DIV/0!</v>
      </c>
      <c r="BQ14" s="61">
        <f t="shared" si="29"/>
        <v>14500</v>
      </c>
      <c r="BR14" s="69">
        <f t="shared" si="30"/>
        <v>14.588515172413793</v>
      </c>
      <c r="BS14" s="64">
        <f t="shared" si="31"/>
        <v>60066.47</v>
      </c>
      <c r="BT14" s="69">
        <f t="shared" si="32"/>
        <v>3.521656424957218</v>
      </c>
      <c r="BU14" s="65">
        <v>211533.47</v>
      </c>
      <c r="BV14" s="74">
        <f t="shared" si="33"/>
        <v>22.672057439652569</v>
      </c>
      <c r="BW14" s="75">
        <f t="shared" si="34"/>
        <v>87852.950000000041</v>
      </c>
      <c r="BX14" s="69">
        <f t="shared" si="35"/>
        <v>9.4160377014707226</v>
      </c>
      <c r="BY14" s="55">
        <v>29072</v>
      </c>
      <c r="BZ14" s="55">
        <v>14319</v>
      </c>
      <c r="CA14" s="55">
        <v>19776</v>
      </c>
      <c r="CB14" s="55">
        <v>4050</v>
      </c>
      <c r="CC14" s="64">
        <v>69750</v>
      </c>
      <c r="CD14" s="64"/>
      <c r="CE14" s="64">
        <v>14500</v>
      </c>
      <c r="CF14" s="76">
        <f t="shared" si="36"/>
        <v>3.1159232337349709E-2</v>
      </c>
      <c r="CG14" s="76">
        <f t="shared" si="37"/>
        <v>1.5347036593234399E-2</v>
      </c>
      <c r="CH14" s="76">
        <f t="shared" si="38"/>
        <v>2.1195823428158633E-2</v>
      </c>
      <c r="CI14" s="76">
        <f t="shared" si="39"/>
        <v>4.3407708780361281E-3</v>
      </c>
      <c r="CJ14" s="76">
        <f t="shared" si="40"/>
        <v>7.4757720677288877E-2</v>
      </c>
      <c r="CK14" s="63">
        <f t="shared" si="41"/>
        <v>17570.590000000007</v>
      </c>
      <c r="CL14" s="77">
        <f t="shared" si="42"/>
        <v>79067.655000000042</v>
      </c>
    </row>
    <row r="15" spans="1:91" ht="18.75" customHeight="1" x14ac:dyDescent="0.35">
      <c r="A15" s="50">
        <f t="shared" si="0"/>
        <v>8</v>
      </c>
      <c r="B15" s="58">
        <v>3</v>
      </c>
      <c r="C15" s="52" t="s">
        <v>116</v>
      </c>
      <c r="D15" s="52"/>
      <c r="E15" s="52"/>
      <c r="F15" s="53"/>
      <c r="G15" s="54">
        <v>40</v>
      </c>
      <c r="H15" s="55">
        <f t="shared" si="1"/>
        <v>0</v>
      </c>
      <c r="I15" s="53">
        <v>4997</v>
      </c>
      <c r="J15" s="56">
        <v>50</v>
      </c>
      <c r="K15" s="55">
        <f t="shared" si="2"/>
        <v>249850</v>
      </c>
      <c r="L15" s="53"/>
      <c r="M15" s="57">
        <v>60</v>
      </c>
      <c r="N15" s="55">
        <f t="shared" si="3"/>
        <v>0</v>
      </c>
      <c r="O15" s="53">
        <v>1482</v>
      </c>
      <c r="P15" s="57">
        <v>12</v>
      </c>
      <c r="Q15" s="55">
        <f t="shared" si="4"/>
        <v>17784</v>
      </c>
      <c r="R15" s="53">
        <v>2080</v>
      </c>
      <c r="S15" s="59">
        <v>12</v>
      </c>
      <c r="T15" s="55">
        <f t="shared" si="5"/>
        <v>24960</v>
      </c>
      <c r="U15" s="53">
        <v>316</v>
      </c>
      <c r="V15" s="57">
        <v>8</v>
      </c>
      <c r="W15" s="55">
        <f t="shared" si="6"/>
        <v>2528</v>
      </c>
      <c r="X15" s="53">
        <v>193</v>
      </c>
      <c r="Y15" s="57">
        <v>12</v>
      </c>
      <c r="Z15" s="55">
        <f t="shared" si="7"/>
        <v>2316</v>
      </c>
      <c r="AA15" s="53">
        <v>498</v>
      </c>
      <c r="AB15" s="57">
        <v>10</v>
      </c>
      <c r="AC15" s="55">
        <f t="shared" si="8"/>
        <v>4980</v>
      </c>
      <c r="AD15" s="53">
        <v>189</v>
      </c>
      <c r="AE15" s="57">
        <v>25</v>
      </c>
      <c r="AF15" s="55">
        <f t="shared" si="9"/>
        <v>4725</v>
      </c>
      <c r="AG15" s="53">
        <v>79</v>
      </c>
      <c r="AH15" s="57">
        <v>7.5</v>
      </c>
      <c r="AI15" s="55">
        <f t="shared" si="10"/>
        <v>592.5</v>
      </c>
      <c r="AJ15" s="53"/>
      <c r="AK15" s="56">
        <v>15</v>
      </c>
      <c r="AL15" s="55">
        <f t="shared" si="11"/>
        <v>0</v>
      </c>
      <c r="AM15" s="53">
        <v>67</v>
      </c>
      <c r="AN15" s="57">
        <v>10</v>
      </c>
      <c r="AO15" s="55">
        <f t="shared" si="12"/>
        <v>670</v>
      </c>
      <c r="AP15" s="53">
        <f t="shared" si="13"/>
        <v>3422</v>
      </c>
      <c r="AQ15" s="53"/>
      <c r="AR15" s="61"/>
      <c r="AS15" s="53"/>
      <c r="AT15" s="53"/>
      <c r="AU15" s="55"/>
      <c r="AV15" s="53"/>
      <c r="AW15" s="53"/>
      <c r="AX15" s="66">
        <f>22+188+263+60</f>
        <v>533</v>
      </c>
      <c r="AY15" s="53"/>
      <c r="AZ15" s="68">
        <f t="shared" si="14"/>
        <v>0.29657794676806082</v>
      </c>
      <c r="BA15" s="68">
        <f t="shared" si="15"/>
        <v>0.68481088653191913</v>
      </c>
      <c r="BB15" s="68">
        <f t="shared" si="16"/>
        <v>0.35964912280701755</v>
      </c>
      <c r="BC15" s="55">
        <f t="shared" si="17"/>
        <v>289359</v>
      </c>
      <c r="BD15" s="55">
        <f t="shared" si="18"/>
        <v>279535</v>
      </c>
      <c r="BE15" s="55">
        <f t="shared" si="19"/>
        <v>289359</v>
      </c>
      <c r="BF15" s="55">
        <f t="shared" si="20"/>
        <v>289951.5</v>
      </c>
      <c r="BG15" s="62">
        <v>318510.5</v>
      </c>
      <c r="BH15" s="63">
        <v>215756.24</v>
      </c>
      <c r="BI15" s="69">
        <f t="shared" si="21"/>
        <v>67.739129479247936</v>
      </c>
      <c r="BJ15" s="70">
        <f t="shared" si="22"/>
        <v>26235</v>
      </c>
      <c r="BK15" s="71">
        <f t="shared" si="23"/>
        <v>8.2367771235171208E-2</v>
      </c>
      <c r="BL15" s="72">
        <f t="shared" si="24"/>
        <v>3</v>
      </c>
      <c r="BM15" s="61">
        <f t="shared" si="25"/>
        <v>36075</v>
      </c>
      <c r="BN15" s="69">
        <f t="shared" si="26"/>
        <v>2.8225117117117118</v>
      </c>
      <c r="BO15" s="73">
        <f t="shared" si="27"/>
        <v>500</v>
      </c>
      <c r="BP15" s="69">
        <f t="shared" si="28"/>
        <v>203.64421999999999</v>
      </c>
      <c r="BQ15" s="61">
        <f t="shared" si="29"/>
        <v>15000</v>
      </c>
      <c r="BR15" s="69">
        <f t="shared" si="30"/>
        <v>6.788140666666667</v>
      </c>
      <c r="BS15" s="64">
        <f t="shared" si="31"/>
        <v>24012.11</v>
      </c>
      <c r="BT15" s="69">
        <f t="shared" si="32"/>
        <v>4.2404482571502458</v>
      </c>
      <c r="BU15" s="65">
        <v>101822.11</v>
      </c>
      <c r="BV15" s="74">
        <f t="shared" si="33"/>
        <v>31.968211409043029</v>
      </c>
      <c r="BW15" s="75">
        <f t="shared" si="34"/>
        <v>932.15000000000873</v>
      </c>
      <c r="BX15" s="69">
        <f t="shared" si="35"/>
        <v>0.29265911170903586</v>
      </c>
      <c r="BY15" s="55">
        <v>10518</v>
      </c>
      <c r="BZ15" s="55">
        <v>4773</v>
      </c>
      <c r="CA15" s="55">
        <v>8514</v>
      </c>
      <c r="CB15" s="55">
        <v>2430</v>
      </c>
      <c r="CC15" s="64">
        <v>36075</v>
      </c>
      <c r="CD15" s="64">
        <v>500</v>
      </c>
      <c r="CE15" s="64">
        <v>15000</v>
      </c>
      <c r="CF15" s="76">
        <f t="shared" si="36"/>
        <v>3.3022459228188708E-2</v>
      </c>
      <c r="CG15" s="76">
        <f t="shared" si="37"/>
        <v>1.4985377248159794E-2</v>
      </c>
      <c r="CH15" s="76">
        <f t="shared" si="38"/>
        <v>2.6730672929149903E-2</v>
      </c>
      <c r="CI15" s="76">
        <f t="shared" si="39"/>
        <v>7.6292618296728053E-3</v>
      </c>
      <c r="CJ15" s="76">
        <f t="shared" si="40"/>
        <v>0.11326157222446356</v>
      </c>
      <c r="CK15" s="63">
        <f t="shared" si="41"/>
        <v>186.43000000000177</v>
      </c>
      <c r="CL15" s="77">
        <f t="shared" si="42"/>
        <v>838.9350000000079</v>
      </c>
    </row>
    <row r="16" spans="1:91" ht="18.75" customHeight="1" x14ac:dyDescent="0.35">
      <c r="A16" s="50">
        <f t="shared" si="0"/>
        <v>9</v>
      </c>
      <c r="B16" s="58">
        <v>4</v>
      </c>
      <c r="C16" s="52" t="s">
        <v>78</v>
      </c>
      <c r="D16" s="52"/>
      <c r="E16" s="52"/>
      <c r="F16" s="53"/>
      <c r="G16" s="54">
        <v>40</v>
      </c>
      <c r="H16" s="55">
        <f t="shared" si="1"/>
        <v>0</v>
      </c>
      <c r="I16" s="53">
        <v>6606</v>
      </c>
      <c r="J16" s="56">
        <v>50</v>
      </c>
      <c r="K16" s="55">
        <f t="shared" si="2"/>
        <v>330300</v>
      </c>
      <c r="L16" s="53"/>
      <c r="M16" s="57">
        <v>60</v>
      </c>
      <c r="N16" s="55">
        <f t="shared" si="3"/>
        <v>0</v>
      </c>
      <c r="O16" s="53">
        <v>2573</v>
      </c>
      <c r="P16" s="57">
        <v>12</v>
      </c>
      <c r="Q16" s="55">
        <f t="shared" si="4"/>
        <v>30876</v>
      </c>
      <c r="R16" s="53">
        <v>1340</v>
      </c>
      <c r="S16" s="59">
        <v>12</v>
      </c>
      <c r="T16" s="55">
        <f t="shared" si="5"/>
        <v>16080</v>
      </c>
      <c r="U16" s="53">
        <v>240</v>
      </c>
      <c r="V16" s="57">
        <v>8</v>
      </c>
      <c r="W16" s="55">
        <f t="shared" si="6"/>
        <v>1920</v>
      </c>
      <c r="X16" s="53">
        <v>127</v>
      </c>
      <c r="Y16" s="57">
        <v>12</v>
      </c>
      <c r="Z16" s="55">
        <f t="shared" si="7"/>
        <v>1524</v>
      </c>
      <c r="AA16" s="53">
        <v>408</v>
      </c>
      <c r="AB16" s="57">
        <v>10</v>
      </c>
      <c r="AC16" s="55">
        <f t="shared" si="8"/>
        <v>4080</v>
      </c>
      <c r="AD16" s="53">
        <v>153</v>
      </c>
      <c r="AE16" s="57">
        <v>25</v>
      </c>
      <c r="AF16" s="55">
        <f t="shared" si="9"/>
        <v>3825</v>
      </c>
      <c r="AG16" s="53">
        <v>116</v>
      </c>
      <c r="AH16" s="57">
        <v>7.5</v>
      </c>
      <c r="AI16" s="55">
        <f t="shared" si="10"/>
        <v>870</v>
      </c>
      <c r="AJ16" s="53"/>
      <c r="AK16" s="56">
        <v>15</v>
      </c>
      <c r="AL16" s="55">
        <f t="shared" si="11"/>
        <v>0</v>
      </c>
      <c r="AM16" s="53"/>
      <c r="AN16" s="57">
        <v>12</v>
      </c>
      <c r="AO16" s="55">
        <f t="shared" si="12"/>
        <v>0</v>
      </c>
      <c r="AP16" s="53">
        <f t="shared" si="13"/>
        <v>2384</v>
      </c>
      <c r="AQ16" s="53"/>
      <c r="AR16" s="61"/>
      <c r="AS16" s="53"/>
      <c r="AT16" s="53"/>
      <c r="AU16" s="55"/>
      <c r="AV16" s="53"/>
      <c r="AW16" s="53"/>
      <c r="AX16" s="66">
        <f>553+290+10+75+106</f>
        <v>1034</v>
      </c>
      <c r="AY16" s="53"/>
      <c r="AZ16" s="68">
        <f t="shared" si="14"/>
        <v>0.38949439903118377</v>
      </c>
      <c r="BA16" s="68">
        <f t="shared" si="15"/>
        <v>0.36088404480775055</v>
      </c>
      <c r="BB16" s="68">
        <f t="shared" si="16"/>
        <v>0.40186552662261948</v>
      </c>
      <c r="BC16" s="55">
        <f t="shared" si="17"/>
        <v>357729</v>
      </c>
      <c r="BD16" s="55">
        <f t="shared" si="18"/>
        <v>350205</v>
      </c>
      <c r="BE16" s="55">
        <f t="shared" si="19"/>
        <v>357729</v>
      </c>
      <c r="BF16" s="55">
        <f t="shared" si="20"/>
        <v>358599</v>
      </c>
      <c r="BG16" s="62">
        <v>409185</v>
      </c>
      <c r="BH16" s="63">
        <v>273576.87</v>
      </c>
      <c r="BI16" s="69">
        <f t="shared" si="21"/>
        <v>66.858968437259435</v>
      </c>
      <c r="BJ16" s="70">
        <f t="shared" si="22"/>
        <v>37003</v>
      </c>
      <c r="BK16" s="71">
        <f t="shared" si="23"/>
        <v>9.0430978652687663E-2</v>
      </c>
      <c r="BL16" s="72">
        <f t="shared" si="24"/>
        <v>4</v>
      </c>
      <c r="BM16" s="61">
        <f t="shared" si="25"/>
        <v>44550</v>
      </c>
      <c r="BN16" s="69">
        <f t="shared" si="26"/>
        <v>3.0439535353535354</v>
      </c>
      <c r="BO16" s="73">
        <f t="shared" si="27"/>
        <v>0</v>
      </c>
      <c r="BP16" s="69" t="e">
        <f t="shared" si="28"/>
        <v>#DIV/0!</v>
      </c>
      <c r="BQ16" s="61">
        <f t="shared" si="29"/>
        <v>18000</v>
      </c>
      <c r="BR16" s="69">
        <f t="shared" si="30"/>
        <v>7.533785</v>
      </c>
      <c r="BS16" s="64">
        <f t="shared" si="31"/>
        <v>36055.130000000005</v>
      </c>
      <c r="BT16" s="69">
        <f t="shared" si="32"/>
        <v>3.7611327431075687</v>
      </c>
      <c r="BU16" s="65">
        <v>135608.13</v>
      </c>
      <c r="BV16" s="74">
        <f t="shared" si="33"/>
        <v>33.141031562740572</v>
      </c>
      <c r="BW16" s="75">
        <v>-9909.99</v>
      </c>
      <c r="BX16" s="69">
        <f t="shared" si="35"/>
        <v>-2.4218849664577147</v>
      </c>
      <c r="BY16" s="55">
        <v>18213</v>
      </c>
      <c r="BZ16" s="55">
        <v>8650</v>
      </c>
      <c r="CA16" s="55">
        <v>6940</v>
      </c>
      <c r="CB16" s="55">
        <v>3200</v>
      </c>
      <c r="CC16" s="64">
        <v>44550</v>
      </c>
      <c r="CD16" s="64"/>
      <c r="CE16" s="64">
        <v>18000</v>
      </c>
      <c r="CF16" s="76">
        <f t="shared" si="36"/>
        <v>4.4510429267935039E-2</v>
      </c>
      <c r="CG16" s="76">
        <f t="shared" si="37"/>
        <v>2.1139582340506127E-2</v>
      </c>
      <c r="CH16" s="76">
        <f t="shared" si="38"/>
        <v>1.6960543519434976E-2</v>
      </c>
      <c r="CI16" s="76">
        <f t="shared" si="39"/>
        <v>7.8204235248115154E-3</v>
      </c>
      <c r="CJ16" s="76">
        <f t="shared" si="40"/>
        <v>0.10887495875948532</v>
      </c>
      <c r="CK16" s="63">
        <f t="shared" si="41"/>
        <v>-1981.998</v>
      </c>
      <c r="CL16" s="77">
        <f t="shared" si="42"/>
        <v>-8918.991</v>
      </c>
    </row>
    <row r="17" spans="1:90" ht="18.75" customHeight="1" x14ac:dyDescent="0.35">
      <c r="A17" s="50">
        <f t="shared" si="0"/>
        <v>10</v>
      </c>
      <c r="B17" s="58">
        <v>6</v>
      </c>
      <c r="C17" s="52" t="s">
        <v>118</v>
      </c>
      <c r="D17" s="52"/>
      <c r="E17" s="52"/>
      <c r="F17" s="53"/>
      <c r="G17" s="54">
        <v>40</v>
      </c>
      <c r="H17" s="55">
        <f t="shared" si="1"/>
        <v>0</v>
      </c>
      <c r="I17" s="53">
        <v>12283</v>
      </c>
      <c r="J17" s="56">
        <v>50</v>
      </c>
      <c r="K17" s="55">
        <f t="shared" si="2"/>
        <v>614150</v>
      </c>
      <c r="L17" s="53"/>
      <c r="M17" s="57">
        <v>60</v>
      </c>
      <c r="N17" s="55">
        <f t="shared" si="3"/>
        <v>0</v>
      </c>
      <c r="O17" s="53">
        <v>9922</v>
      </c>
      <c r="P17" s="57">
        <v>12</v>
      </c>
      <c r="Q17" s="55">
        <f t="shared" si="4"/>
        <v>119064</v>
      </c>
      <c r="R17" s="53"/>
      <c r="S17" s="59">
        <v>12</v>
      </c>
      <c r="T17" s="55">
        <f t="shared" si="5"/>
        <v>0</v>
      </c>
      <c r="U17" s="53">
        <v>1193</v>
      </c>
      <c r="V17" s="57">
        <v>8</v>
      </c>
      <c r="W17" s="55">
        <f t="shared" si="6"/>
        <v>9544</v>
      </c>
      <c r="X17" s="53">
        <v>569</v>
      </c>
      <c r="Y17" s="57">
        <v>12</v>
      </c>
      <c r="Z17" s="55">
        <f t="shared" si="7"/>
        <v>6828</v>
      </c>
      <c r="AA17" s="53">
        <v>1091</v>
      </c>
      <c r="AB17" s="57">
        <v>10</v>
      </c>
      <c r="AC17" s="55">
        <f t="shared" si="8"/>
        <v>10910</v>
      </c>
      <c r="AD17" s="53">
        <v>393</v>
      </c>
      <c r="AE17" s="57">
        <v>25</v>
      </c>
      <c r="AF17" s="55">
        <f t="shared" si="9"/>
        <v>9825</v>
      </c>
      <c r="AG17" s="53">
        <v>195</v>
      </c>
      <c r="AH17" s="57">
        <v>7.5</v>
      </c>
      <c r="AI17" s="55">
        <f t="shared" si="10"/>
        <v>1462.5</v>
      </c>
      <c r="AJ17" s="53"/>
      <c r="AK17" s="56">
        <v>15</v>
      </c>
      <c r="AL17" s="55">
        <f t="shared" si="11"/>
        <v>0</v>
      </c>
      <c r="AM17" s="53">
        <v>580</v>
      </c>
      <c r="AN17" s="57">
        <v>10</v>
      </c>
      <c r="AO17" s="55">
        <f t="shared" si="12"/>
        <v>5800</v>
      </c>
      <c r="AP17" s="53">
        <f t="shared" si="13"/>
        <v>4021</v>
      </c>
      <c r="AQ17" s="53"/>
      <c r="AR17" s="61"/>
      <c r="AS17" s="53"/>
      <c r="AT17" s="53"/>
      <c r="AU17" s="55"/>
      <c r="AV17" s="53"/>
      <c r="AW17" s="53"/>
      <c r="AX17" s="66">
        <f>511+1076+210+232+158+50</f>
        <v>2237</v>
      </c>
      <c r="AY17" s="53"/>
      <c r="AZ17" s="68">
        <f t="shared" si="14"/>
        <v>0.80778311487421639</v>
      </c>
      <c r="BA17" s="68">
        <f t="shared" si="15"/>
        <v>0.32736302206301393</v>
      </c>
      <c r="BB17" s="68">
        <f t="shared" si="16"/>
        <v>0.22545857689981857</v>
      </c>
      <c r="BC17" s="55">
        <f t="shared" si="17"/>
        <v>651257</v>
      </c>
      <c r="BD17" s="55">
        <f t="shared" si="18"/>
        <v>623975</v>
      </c>
      <c r="BE17" s="55">
        <f t="shared" si="19"/>
        <v>651257</v>
      </c>
      <c r="BF17" s="55">
        <f t="shared" si="20"/>
        <v>652719.5</v>
      </c>
      <c r="BG17" s="62">
        <v>820028.5</v>
      </c>
      <c r="BH17" s="63">
        <v>557749.54</v>
      </c>
      <c r="BI17" s="69">
        <f t="shared" si="21"/>
        <v>68.015872619061412</v>
      </c>
      <c r="BJ17" s="70">
        <f t="shared" si="22"/>
        <v>63814.5</v>
      </c>
      <c r="BK17" s="71">
        <f t="shared" si="23"/>
        <v>7.7819856261093362E-2</v>
      </c>
      <c r="BL17" s="72">
        <f t="shared" si="24"/>
        <v>6</v>
      </c>
      <c r="BM17" s="61">
        <f t="shared" si="25"/>
        <v>53600</v>
      </c>
      <c r="BN17" s="69">
        <f t="shared" si="26"/>
        <v>3.7572884328358209</v>
      </c>
      <c r="BO17" s="73">
        <f t="shared" si="27"/>
        <v>500</v>
      </c>
      <c r="BP17" s="69">
        <f t="shared" si="28"/>
        <v>402.78131999999999</v>
      </c>
      <c r="BQ17" s="61">
        <f t="shared" si="29"/>
        <v>22050</v>
      </c>
      <c r="BR17" s="69">
        <f t="shared" si="30"/>
        <v>9.133363265306123</v>
      </c>
      <c r="BS17" s="64">
        <f t="shared" si="31"/>
        <v>61426.16</v>
      </c>
      <c r="BT17" s="69">
        <f t="shared" si="32"/>
        <v>3.2785813080290218</v>
      </c>
      <c r="BU17" s="65">
        <v>201390.66</v>
      </c>
      <c r="BV17" s="74">
        <f t="shared" si="33"/>
        <v>24.558983010956329</v>
      </c>
      <c r="BW17" s="75">
        <f t="shared" ref="BW17:BW45" si="43">SUM(BG17-BH17-BU17)</f>
        <v>60888.299999999959</v>
      </c>
      <c r="BX17" s="69">
        <f t="shared" si="35"/>
        <v>7.4251443699822577</v>
      </c>
      <c r="BY17" s="55">
        <v>29939.5</v>
      </c>
      <c r="BZ17" s="55">
        <v>12728</v>
      </c>
      <c r="CA17" s="55">
        <v>17907</v>
      </c>
      <c r="CB17" s="55">
        <v>3240</v>
      </c>
      <c r="CC17" s="64">
        <v>53600</v>
      </c>
      <c r="CD17" s="64">
        <v>500</v>
      </c>
      <c r="CE17" s="64">
        <v>22050</v>
      </c>
      <c r="CF17" s="76">
        <f t="shared" si="36"/>
        <v>3.6510316409734539E-2</v>
      </c>
      <c r="CG17" s="76">
        <f t="shared" si="37"/>
        <v>1.5521411755810927E-2</v>
      </c>
      <c r="CH17" s="76">
        <f t="shared" si="38"/>
        <v>2.1837045907550773E-2</v>
      </c>
      <c r="CI17" s="76">
        <f t="shared" si="39"/>
        <v>3.9510821879971247E-3</v>
      </c>
      <c r="CJ17" s="76">
        <f t="shared" si="40"/>
        <v>6.5363581875507989E-2</v>
      </c>
      <c r="CK17" s="63">
        <f t="shared" si="41"/>
        <v>12177.659999999993</v>
      </c>
      <c r="CL17" s="77">
        <f t="shared" si="42"/>
        <v>54799.469999999965</v>
      </c>
    </row>
    <row r="18" spans="1:90" ht="18.75" customHeight="1" x14ac:dyDescent="0.35">
      <c r="A18" s="50">
        <f t="shared" si="0"/>
        <v>11</v>
      </c>
      <c r="B18" s="58">
        <v>4</v>
      </c>
      <c r="C18" s="52" t="s">
        <v>207</v>
      </c>
      <c r="D18" s="52"/>
      <c r="E18" s="52"/>
      <c r="F18" s="53"/>
      <c r="G18" s="54">
        <v>40</v>
      </c>
      <c r="H18" s="55">
        <f t="shared" si="1"/>
        <v>0</v>
      </c>
      <c r="I18" s="53">
        <v>8052</v>
      </c>
      <c r="J18" s="56">
        <v>50</v>
      </c>
      <c r="K18" s="55">
        <f t="shared" si="2"/>
        <v>402600</v>
      </c>
      <c r="L18" s="53"/>
      <c r="M18" s="57">
        <v>60</v>
      </c>
      <c r="N18" s="55">
        <f t="shared" si="3"/>
        <v>0</v>
      </c>
      <c r="O18" s="53">
        <v>3335</v>
      </c>
      <c r="P18" s="57">
        <v>12</v>
      </c>
      <c r="Q18" s="55">
        <f t="shared" si="4"/>
        <v>40020</v>
      </c>
      <c r="R18" s="53">
        <v>1120</v>
      </c>
      <c r="S18" s="59">
        <v>12</v>
      </c>
      <c r="T18" s="55">
        <f t="shared" si="5"/>
        <v>13440</v>
      </c>
      <c r="U18" s="53">
        <v>565</v>
      </c>
      <c r="V18" s="57">
        <v>8</v>
      </c>
      <c r="W18" s="55">
        <f t="shared" si="6"/>
        <v>4520</v>
      </c>
      <c r="X18" s="53">
        <v>654</v>
      </c>
      <c r="Y18" s="57">
        <v>12</v>
      </c>
      <c r="Z18" s="55">
        <f t="shared" si="7"/>
        <v>7848</v>
      </c>
      <c r="AA18" s="53">
        <v>729</v>
      </c>
      <c r="AB18" s="57">
        <v>10</v>
      </c>
      <c r="AC18" s="55">
        <f t="shared" si="8"/>
        <v>7290</v>
      </c>
      <c r="AD18" s="53">
        <v>302</v>
      </c>
      <c r="AE18" s="57">
        <v>25</v>
      </c>
      <c r="AF18" s="55">
        <f t="shared" si="9"/>
        <v>7550</v>
      </c>
      <c r="AG18" s="53">
        <v>1212</v>
      </c>
      <c r="AH18" s="57">
        <v>7.5</v>
      </c>
      <c r="AI18" s="55">
        <f t="shared" si="10"/>
        <v>9090</v>
      </c>
      <c r="AJ18" s="53"/>
      <c r="AK18" s="56">
        <v>15</v>
      </c>
      <c r="AL18" s="55">
        <f t="shared" si="11"/>
        <v>0</v>
      </c>
      <c r="AM18" s="53">
        <v>184</v>
      </c>
      <c r="AN18" s="57">
        <v>10</v>
      </c>
      <c r="AO18" s="55">
        <f t="shared" si="12"/>
        <v>1840</v>
      </c>
      <c r="AP18" s="53">
        <f t="shared" si="13"/>
        <v>4766</v>
      </c>
      <c r="AQ18" s="53"/>
      <c r="AR18" s="61"/>
      <c r="AS18" s="53"/>
      <c r="AT18" s="53"/>
      <c r="AU18" s="55"/>
      <c r="AV18" s="53"/>
      <c r="AW18" s="53"/>
      <c r="AX18" s="66">
        <f>201+825+129+298+127</f>
        <v>1580</v>
      </c>
      <c r="AY18" s="53"/>
      <c r="AZ18" s="68">
        <f t="shared" si="14"/>
        <v>0.41418281172379534</v>
      </c>
      <c r="BA18" s="68">
        <f t="shared" si="15"/>
        <v>0.59190263288623945</v>
      </c>
      <c r="BB18" s="68">
        <f t="shared" si="16"/>
        <v>0.47376311844077962</v>
      </c>
      <c r="BC18" s="55">
        <f t="shared" si="17"/>
        <v>443248</v>
      </c>
      <c r="BD18" s="55">
        <f t="shared" si="18"/>
        <v>423590</v>
      </c>
      <c r="BE18" s="55">
        <f t="shared" si="19"/>
        <v>443248</v>
      </c>
      <c r="BF18" s="55">
        <f t="shared" si="20"/>
        <v>452338</v>
      </c>
      <c r="BG18" s="62">
        <v>524216</v>
      </c>
      <c r="BH18" s="63">
        <v>353911.23</v>
      </c>
      <c r="BI18" s="69">
        <f t="shared" si="21"/>
        <v>67.512481496177145</v>
      </c>
      <c r="BJ18" s="70">
        <f t="shared" si="22"/>
        <v>51518</v>
      </c>
      <c r="BK18" s="71">
        <f t="shared" si="23"/>
        <v>9.8276283058891759E-2</v>
      </c>
      <c r="BL18" s="72">
        <f t="shared" si="24"/>
        <v>4</v>
      </c>
      <c r="BM18" s="61">
        <f t="shared" si="25"/>
        <v>41048</v>
      </c>
      <c r="BN18" s="69">
        <f t="shared" si="26"/>
        <v>4.1336820307932181</v>
      </c>
      <c r="BO18" s="73">
        <f t="shared" si="27"/>
        <v>0</v>
      </c>
      <c r="BP18" s="69" t="e">
        <f t="shared" si="28"/>
        <v>#DIV/0!</v>
      </c>
      <c r="BQ18" s="61">
        <f t="shared" si="29"/>
        <v>36000</v>
      </c>
      <c r="BR18" s="69">
        <f t="shared" si="30"/>
        <v>4.7133161111111113</v>
      </c>
      <c r="BS18" s="64">
        <f t="shared" si="31"/>
        <v>41113.380000000005</v>
      </c>
      <c r="BT18" s="69">
        <f t="shared" si="32"/>
        <v>4.1271084984985418</v>
      </c>
      <c r="BU18" s="65">
        <v>169679.38</v>
      </c>
      <c r="BV18" s="74">
        <f t="shared" si="33"/>
        <v>32.368218444305406</v>
      </c>
      <c r="BW18" s="75">
        <f t="shared" si="43"/>
        <v>625.39000000001397</v>
      </c>
      <c r="BX18" s="69">
        <f t="shared" si="35"/>
        <v>0.1193000595174535</v>
      </c>
      <c r="BY18" s="55">
        <v>23504</v>
      </c>
      <c r="BZ18" s="55">
        <v>12110</v>
      </c>
      <c r="CA18" s="55">
        <v>11104</v>
      </c>
      <c r="CB18" s="55">
        <v>4800</v>
      </c>
      <c r="CC18" s="64">
        <v>41048</v>
      </c>
      <c r="CD18" s="64"/>
      <c r="CE18" s="64">
        <v>36000</v>
      </c>
      <c r="CF18" s="76">
        <f t="shared" si="36"/>
        <v>4.4836479619088314E-2</v>
      </c>
      <c r="CG18" s="76">
        <f t="shared" si="37"/>
        <v>2.3101164405512232E-2</v>
      </c>
      <c r="CH18" s="76">
        <f t="shared" si="38"/>
        <v>2.1182108138629877E-2</v>
      </c>
      <c r="CI18" s="76">
        <f t="shared" si="39"/>
        <v>9.1565308956613311E-3</v>
      </c>
      <c r="CJ18" s="76">
        <f t="shared" si="40"/>
        <v>7.8303600042730473E-2</v>
      </c>
      <c r="CK18" s="63">
        <f t="shared" si="41"/>
        <v>125.0780000000028</v>
      </c>
      <c r="CL18" s="77">
        <f t="shared" si="42"/>
        <v>562.85100000001262</v>
      </c>
    </row>
    <row r="19" spans="1:90" ht="18.75" customHeight="1" x14ac:dyDescent="0.35">
      <c r="A19" s="50">
        <f t="shared" si="0"/>
        <v>12</v>
      </c>
      <c r="B19" s="58">
        <v>3</v>
      </c>
      <c r="C19" s="52" t="s">
        <v>208</v>
      </c>
      <c r="D19" s="52"/>
      <c r="E19" s="52"/>
      <c r="F19" s="53"/>
      <c r="G19" s="54">
        <v>40</v>
      </c>
      <c r="H19" s="55">
        <f t="shared" si="1"/>
        <v>0</v>
      </c>
      <c r="I19" s="53">
        <v>6863</v>
      </c>
      <c r="J19" s="56">
        <v>50</v>
      </c>
      <c r="K19" s="55">
        <f t="shared" si="2"/>
        <v>343150</v>
      </c>
      <c r="L19" s="53"/>
      <c r="M19" s="57">
        <v>60</v>
      </c>
      <c r="N19" s="55">
        <f t="shared" si="3"/>
        <v>0</v>
      </c>
      <c r="O19" s="53">
        <v>3079</v>
      </c>
      <c r="P19" s="57">
        <v>12</v>
      </c>
      <c r="Q19" s="55">
        <f t="shared" si="4"/>
        <v>36948</v>
      </c>
      <c r="R19" s="53">
        <v>2401</v>
      </c>
      <c r="S19" s="59">
        <v>12</v>
      </c>
      <c r="T19" s="55">
        <f t="shared" si="5"/>
        <v>28812</v>
      </c>
      <c r="U19" s="53">
        <v>590</v>
      </c>
      <c r="V19" s="57">
        <v>8</v>
      </c>
      <c r="W19" s="55">
        <f t="shared" si="6"/>
        <v>4720</v>
      </c>
      <c r="X19" s="53">
        <v>321</v>
      </c>
      <c r="Y19" s="57">
        <v>12</v>
      </c>
      <c r="Z19" s="55">
        <f t="shared" si="7"/>
        <v>3852</v>
      </c>
      <c r="AA19" s="53">
        <v>513</v>
      </c>
      <c r="AB19" s="57">
        <v>10</v>
      </c>
      <c r="AC19" s="55">
        <f t="shared" si="8"/>
        <v>5130</v>
      </c>
      <c r="AD19" s="53">
        <v>258</v>
      </c>
      <c r="AE19" s="57">
        <v>25</v>
      </c>
      <c r="AF19" s="55">
        <f t="shared" si="9"/>
        <v>6450</v>
      </c>
      <c r="AG19" s="53">
        <v>595</v>
      </c>
      <c r="AH19" s="57">
        <v>7.5</v>
      </c>
      <c r="AI19" s="55">
        <f t="shared" si="10"/>
        <v>4462.5</v>
      </c>
      <c r="AJ19" s="53"/>
      <c r="AK19" s="56">
        <v>15</v>
      </c>
      <c r="AL19" s="55">
        <f t="shared" si="11"/>
        <v>0</v>
      </c>
      <c r="AM19" s="53">
        <v>191</v>
      </c>
      <c r="AN19" s="57">
        <v>10</v>
      </c>
      <c r="AO19" s="55">
        <f t="shared" si="12"/>
        <v>1910</v>
      </c>
      <c r="AP19" s="53">
        <f t="shared" si="13"/>
        <v>4869</v>
      </c>
      <c r="AQ19" s="53"/>
      <c r="AR19" s="61"/>
      <c r="AS19" s="53"/>
      <c r="AT19" s="53"/>
      <c r="AU19" s="55"/>
      <c r="AV19" s="53"/>
      <c r="AW19" s="53"/>
      <c r="AX19" s="66">
        <f>51+355+127+633+215+24</f>
        <v>1405</v>
      </c>
      <c r="AY19" s="53"/>
      <c r="AZ19" s="68">
        <f t="shared" si="14"/>
        <v>0.44863762203118168</v>
      </c>
      <c r="BA19" s="68">
        <f t="shared" si="15"/>
        <v>0.70945650590120934</v>
      </c>
      <c r="BB19" s="68">
        <f t="shared" si="16"/>
        <v>0.45631698603442677</v>
      </c>
      <c r="BC19" s="55">
        <f t="shared" si="17"/>
        <v>392114</v>
      </c>
      <c r="BD19" s="55">
        <f t="shared" si="18"/>
        <v>378412</v>
      </c>
      <c r="BE19" s="55">
        <f t="shared" si="19"/>
        <v>392114</v>
      </c>
      <c r="BF19" s="55">
        <f t="shared" si="20"/>
        <v>396576.5</v>
      </c>
      <c r="BG19" s="62">
        <v>462122.5</v>
      </c>
      <c r="BH19" s="63">
        <v>310352.77</v>
      </c>
      <c r="BI19" s="69">
        <f t="shared" si="21"/>
        <v>67.158117165902979</v>
      </c>
      <c r="BJ19" s="70">
        <f t="shared" si="22"/>
        <v>33109</v>
      </c>
      <c r="BK19" s="71">
        <f t="shared" si="23"/>
        <v>7.1645505250231264E-2</v>
      </c>
      <c r="BL19" s="72">
        <f t="shared" si="24"/>
        <v>3</v>
      </c>
      <c r="BM19" s="61">
        <f t="shared" si="25"/>
        <v>39500</v>
      </c>
      <c r="BN19" s="69">
        <f t="shared" si="26"/>
        <v>3.0532379746835443</v>
      </c>
      <c r="BO19" s="73">
        <f t="shared" si="27"/>
        <v>187.5</v>
      </c>
      <c r="BP19" s="69">
        <f t="shared" si="28"/>
        <v>643.21546666666666</v>
      </c>
      <c r="BQ19" s="61">
        <f t="shared" si="29"/>
        <v>15000</v>
      </c>
      <c r="BR19" s="69">
        <f t="shared" si="30"/>
        <v>8.0401933333333329</v>
      </c>
      <c r="BS19" s="64">
        <f t="shared" si="31"/>
        <v>32806.399999999994</v>
      </c>
      <c r="BT19" s="69">
        <f t="shared" si="32"/>
        <v>3.6762003755364812</v>
      </c>
      <c r="BU19" s="65">
        <v>120602.9</v>
      </c>
      <c r="BV19" s="74">
        <f t="shared" si="33"/>
        <v>26.097603990283957</v>
      </c>
      <c r="BW19" s="75">
        <f t="shared" si="43"/>
        <v>31166.829999999987</v>
      </c>
      <c r="BX19" s="69">
        <f t="shared" si="35"/>
        <v>6.7442788438130545</v>
      </c>
      <c r="BY19" s="55">
        <v>12296</v>
      </c>
      <c r="BZ19" s="55">
        <v>7955</v>
      </c>
      <c r="CA19" s="55">
        <v>9618</v>
      </c>
      <c r="CB19" s="55">
        <v>3240</v>
      </c>
      <c r="CC19" s="64">
        <v>39500</v>
      </c>
      <c r="CD19" s="64">
        <v>187.5</v>
      </c>
      <c r="CE19" s="64">
        <v>15000</v>
      </c>
      <c r="CF19" s="76">
        <f t="shared" si="36"/>
        <v>2.6607663552413049E-2</v>
      </c>
      <c r="CG19" s="76">
        <f t="shared" si="37"/>
        <v>1.7214050387072691E-2</v>
      </c>
      <c r="CH19" s="76">
        <f t="shared" si="38"/>
        <v>2.0812663308971108E-2</v>
      </c>
      <c r="CI19" s="76">
        <f t="shared" si="39"/>
        <v>7.011128001774421E-3</v>
      </c>
      <c r="CJ19" s="76">
        <f t="shared" si="40"/>
        <v>8.5475171626570881E-2</v>
      </c>
      <c r="CK19" s="63">
        <f t="shared" si="41"/>
        <v>6233.3659999999982</v>
      </c>
      <c r="CL19" s="77">
        <f t="shared" si="42"/>
        <v>28050.14699999999</v>
      </c>
    </row>
    <row r="20" spans="1:90" ht="18.75" customHeight="1" x14ac:dyDescent="0.35">
      <c r="A20" s="50">
        <f t="shared" si="0"/>
        <v>13</v>
      </c>
      <c r="B20" s="58">
        <v>3</v>
      </c>
      <c r="C20" s="52" t="s">
        <v>97</v>
      </c>
      <c r="D20" s="52"/>
      <c r="E20" s="52"/>
      <c r="F20" s="53"/>
      <c r="G20" s="54">
        <v>40</v>
      </c>
      <c r="H20" s="55">
        <f t="shared" si="1"/>
        <v>0</v>
      </c>
      <c r="I20" s="53">
        <v>6676</v>
      </c>
      <c r="J20" s="56">
        <v>50</v>
      </c>
      <c r="K20" s="55">
        <f t="shared" si="2"/>
        <v>333800</v>
      </c>
      <c r="L20" s="53"/>
      <c r="M20" s="57">
        <v>60</v>
      </c>
      <c r="N20" s="55">
        <f t="shared" si="3"/>
        <v>0</v>
      </c>
      <c r="O20" s="53">
        <v>3750</v>
      </c>
      <c r="P20" s="57">
        <v>12</v>
      </c>
      <c r="Q20" s="55">
        <f t="shared" si="4"/>
        <v>45000</v>
      </c>
      <c r="R20" s="53">
        <v>1660</v>
      </c>
      <c r="S20" s="59">
        <v>12</v>
      </c>
      <c r="T20" s="55">
        <f t="shared" si="5"/>
        <v>19920</v>
      </c>
      <c r="U20" s="53">
        <v>664</v>
      </c>
      <c r="V20" s="57">
        <v>8</v>
      </c>
      <c r="W20" s="55">
        <f t="shared" si="6"/>
        <v>5312</v>
      </c>
      <c r="X20" s="53">
        <v>236</v>
      </c>
      <c r="Y20" s="57">
        <v>12</v>
      </c>
      <c r="Z20" s="55">
        <f t="shared" si="7"/>
        <v>2832</v>
      </c>
      <c r="AA20" s="53">
        <v>599</v>
      </c>
      <c r="AB20" s="57">
        <v>10</v>
      </c>
      <c r="AC20" s="55">
        <f t="shared" si="8"/>
        <v>5990</v>
      </c>
      <c r="AD20" s="53">
        <v>175</v>
      </c>
      <c r="AE20" s="57">
        <v>25</v>
      </c>
      <c r="AF20" s="55">
        <f t="shared" si="9"/>
        <v>4375</v>
      </c>
      <c r="AG20" s="53">
        <v>139</v>
      </c>
      <c r="AH20" s="57">
        <v>7.5</v>
      </c>
      <c r="AI20" s="55">
        <f t="shared" si="10"/>
        <v>1042.5</v>
      </c>
      <c r="AJ20" s="53"/>
      <c r="AK20" s="56">
        <v>15</v>
      </c>
      <c r="AL20" s="55">
        <f t="shared" si="11"/>
        <v>0</v>
      </c>
      <c r="AM20" s="53">
        <v>197</v>
      </c>
      <c r="AN20" s="57">
        <v>10</v>
      </c>
      <c r="AO20" s="55">
        <f t="shared" si="12"/>
        <v>1970</v>
      </c>
      <c r="AP20" s="53">
        <f t="shared" si="13"/>
        <v>3670</v>
      </c>
      <c r="AQ20" s="53"/>
      <c r="AR20" s="61"/>
      <c r="AS20" s="53"/>
      <c r="AT20" s="53"/>
      <c r="AU20" s="55"/>
      <c r="AV20" s="53"/>
      <c r="AW20" s="53"/>
      <c r="AX20" s="66">
        <f>253+589+131+157+116+64</f>
        <v>1310</v>
      </c>
      <c r="AY20" s="53"/>
      <c r="AZ20" s="68">
        <f t="shared" si="14"/>
        <v>0.56171360095865785</v>
      </c>
      <c r="BA20" s="68">
        <f t="shared" si="15"/>
        <v>0.54973037747153985</v>
      </c>
      <c r="BB20" s="68">
        <f t="shared" si="16"/>
        <v>0.34933333333333333</v>
      </c>
      <c r="BC20" s="55">
        <f t="shared" si="17"/>
        <v>372229</v>
      </c>
      <c r="BD20" s="55">
        <f t="shared" si="18"/>
        <v>358095</v>
      </c>
      <c r="BE20" s="55">
        <f t="shared" si="19"/>
        <v>372229</v>
      </c>
      <c r="BF20" s="55">
        <f t="shared" si="20"/>
        <v>373271.5</v>
      </c>
      <c r="BG20" s="62">
        <v>445491.5</v>
      </c>
      <c r="BH20" s="63">
        <v>302841.03999999998</v>
      </c>
      <c r="BI20" s="69">
        <f t="shared" si="21"/>
        <v>67.97908377600919</v>
      </c>
      <c r="BJ20" s="70">
        <f t="shared" si="22"/>
        <v>34867</v>
      </c>
      <c r="BK20" s="71">
        <f t="shared" si="23"/>
        <v>7.8266364229171589E-2</v>
      </c>
      <c r="BL20" s="72">
        <f t="shared" si="24"/>
        <v>3</v>
      </c>
      <c r="BM20" s="61">
        <f t="shared" si="25"/>
        <v>37750</v>
      </c>
      <c r="BN20" s="69">
        <f t="shared" si="26"/>
        <v>3.5318678145695368</v>
      </c>
      <c r="BO20" s="73">
        <f t="shared" si="27"/>
        <v>1500</v>
      </c>
      <c r="BP20" s="69">
        <f t="shared" si="28"/>
        <v>88.885339999999999</v>
      </c>
      <c r="BQ20" s="61">
        <f t="shared" si="29"/>
        <v>26761.07</v>
      </c>
      <c r="BR20" s="69">
        <f t="shared" si="30"/>
        <v>4.9821628955792878</v>
      </c>
      <c r="BS20" s="64">
        <f t="shared" si="31"/>
        <v>32449.940000000002</v>
      </c>
      <c r="BT20" s="69">
        <f t="shared" si="32"/>
        <v>4.1087290145991027</v>
      </c>
      <c r="BU20" s="65">
        <v>133328.01</v>
      </c>
      <c r="BV20" s="74">
        <f t="shared" si="33"/>
        <v>29.928294928186062</v>
      </c>
      <c r="BW20" s="75">
        <f t="shared" si="43"/>
        <v>9322.4500000000116</v>
      </c>
      <c r="BX20" s="69">
        <f t="shared" si="35"/>
        <v>2.0926212958047485</v>
      </c>
      <c r="BY20" s="55">
        <v>12463</v>
      </c>
      <c r="BZ20" s="55">
        <v>9546</v>
      </c>
      <c r="CA20" s="55">
        <v>9618</v>
      </c>
      <c r="CB20" s="55">
        <v>3240</v>
      </c>
      <c r="CC20" s="64">
        <v>37750</v>
      </c>
      <c r="CD20" s="64">
        <v>1500</v>
      </c>
      <c r="CE20" s="64">
        <v>26761.07</v>
      </c>
      <c r="CF20" s="76">
        <f t="shared" si="36"/>
        <v>2.7975842412257024E-2</v>
      </c>
      <c r="CG20" s="76">
        <f t="shared" si="37"/>
        <v>2.1428018267464138E-2</v>
      </c>
      <c r="CH20" s="76">
        <f t="shared" si="38"/>
        <v>2.1589637512724708E-2</v>
      </c>
      <c r="CI20" s="76">
        <f t="shared" si="39"/>
        <v>7.2728660367257286E-3</v>
      </c>
      <c r="CJ20" s="76">
        <f t="shared" si="40"/>
        <v>8.4737868174813658E-2</v>
      </c>
      <c r="CK20" s="63">
        <f t="shared" si="41"/>
        <v>1864.4900000000025</v>
      </c>
      <c r="CL20" s="77">
        <f t="shared" si="42"/>
        <v>8390.2050000000108</v>
      </c>
    </row>
    <row r="21" spans="1:90" ht="18.75" customHeight="1" x14ac:dyDescent="0.35">
      <c r="A21" s="50">
        <f t="shared" si="0"/>
        <v>14</v>
      </c>
      <c r="B21" s="51">
        <v>4</v>
      </c>
      <c r="C21" s="52" t="s">
        <v>99</v>
      </c>
      <c r="D21" s="52"/>
      <c r="E21" s="52"/>
      <c r="F21" s="53"/>
      <c r="G21" s="54">
        <v>40</v>
      </c>
      <c r="H21" s="55">
        <f t="shared" si="1"/>
        <v>0</v>
      </c>
      <c r="I21" s="53">
        <v>5488</v>
      </c>
      <c r="J21" s="56">
        <v>50</v>
      </c>
      <c r="K21" s="55">
        <f t="shared" si="2"/>
        <v>274400</v>
      </c>
      <c r="L21" s="53"/>
      <c r="M21" s="57">
        <v>60</v>
      </c>
      <c r="N21" s="55">
        <f t="shared" si="3"/>
        <v>0</v>
      </c>
      <c r="O21" s="53">
        <v>4733</v>
      </c>
      <c r="P21" s="57">
        <v>12</v>
      </c>
      <c r="Q21" s="55">
        <f t="shared" si="4"/>
        <v>56796</v>
      </c>
      <c r="R21" s="53">
        <v>5893</v>
      </c>
      <c r="S21" s="59">
        <v>12</v>
      </c>
      <c r="T21" s="55">
        <f t="shared" si="5"/>
        <v>70716</v>
      </c>
      <c r="U21" s="53">
        <v>609</v>
      </c>
      <c r="V21" s="57">
        <v>8</v>
      </c>
      <c r="W21" s="55">
        <f t="shared" si="6"/>
        <v>4872</v>
      </c>
      <c r="X21" s="53">
        <v>139</v>
      </c>
      <c r="Y21" s="57">
        <v>12</v>
      </c>
      <c r="Z21" s="55">
        <f t="shared" si="7"/>
        <v>1668</v>
      </c>
      <c r="AA21" s="53">
        <v>507</v>
      </c>
      <c r="AB21" s="57">
        <v>10</v>
      </c>
      <c r="AC21" s="55">
        <f t="shared" si="8"/>
        <v>5070</v>
      </c>
      <c r="AD21" s="53">
        <v>196</v>
      </c>
      <c r="AE21" s="57">
        <v>25</v>
      </c>
      <c r="AF21" s="55">
        <f t="shared" si="9"/>
        <v>4900</v>
      </c>
      <c r="AG21" s="53">
        <v>143</v>
      </c>
      <c r="AH21" s="57">
        <v>7.5</v>
      </c>
      <c r="AI21" s="55">
        <f t="shared" si="10"/>
        <v>1072.5</v>
      </c>
      <c r="AJ21" s="53"/>
      <c r="AK21" s="56">
        <v>15</v>
      </c>
      <c r="AL21" s="55">
        <f t="shared" si="11"/>
        <v>0</v>
      </c>
      <c r="AM21" s="53">
        <v>252</v>
      </c>
      <c r="AN21" s="57">
        <v>10</v>
      </c>
      <c r="AO21" s="55">
        <f t="shared" si="12"/>
        <v>2520</v>
      </c>
      <c r="AP21" s="53">
        <f t="shared" si="13"/>
        <v>7739</v>
      </c>
      <c r="AQ21" s="53"/>
      <c r="AR21" s="61"/>
      <c r="AS21" s="53"/>
      <c r="AT21" s="53"/>
      <c r="AU21" s="55"/>
      <c r="AV21" s="53"/>
      <c r="AW21" s="53"/>
      <c r="AX21" s="66">
        <f>206+790+87+48+50+74</f>
        <v>1255</v>
      </c>
      <c r="AY21" s="53"/>
      <c r="AZ21" s="68">
        <f t="shared" si="14"/>
        <v>0.86242711370262393</v>
      </c>
      <c r="BA21" s="68">
        <f t="shared" si="15"/>
        <v>1.410167638483965</v>
      </c>
      <c r="BB21" s="68">
        <f t="shared" si="16"/>
        <v>0.26515951827593492</v>
      </c>
      <c r="BC21" s="55">
        <f t="shared" si="17"/>
        <v>361626</v>
      </c>
      <c r="BD21" s="55">
        <f t="shared" si="18"/>
        <v>350016</v>
      </c>
      <c r="BE21" s="55">
        <f t="shared" si="19"/>
        <v>361626</v>
      </c>
      <c r="BF21" s="55">
        <f t="shared" si="20"/>
        <v>362698.5</v>
      </c>
      <c r="BG21" s="62">
        <v>446221.5</v>
      </c>
      <c r="BH21" s="63">
        <v>295731.8</v>
      </c>
      <c r="BI21" s="69">
        <f t="shared" si="21"/>
        <v>66.274664040168389</v>
      </c>
      <c r="BJ21" s="70">
        <f t="shared" si="22"/>
        <v>40930.5</v>
      </c>
      <c r="BK21" s="71">
        <f t="shared" si="23"/>
        <v>9.1726866589799019E-2</v>
      </c>
      <c r="BL21" s="72">
        <f t="shared" si="24"/>
        <v>4</v>
      </c>
      <c r="BM21" s="61">
        <f t="shared" si="25"/>
        <v>35012.5</v>
      </c>
      <c r="BN21" s="69">
        <f t="shared" si="26"/>
        <v>4.334572795430204</v>
      </c>
      <c r="BO21" s="73">
        <f t="shared" si="27"/>
        <v>2812.5</v>
      </c>
      <c r="BP21" s="69">
        <f t="shared" si="28"/>
        <v>53.960615111111117</v>
      </c>
      <c r="BQ21" s="61">
        <f t="shared" si="29"/>
        <v>35000</v>
      </c>
      <c r="BR21" s="69">
        <f t="shared" si="30"/>
        <v>4.3361208571428573</v>
      </c>
      <c r="BS21" s="64">
        <f t="shared" si="31"/>
        <v>38008.73000000001</v>
      </c>
      <c r="BT21" s="69">
        <f t="shared" si="32"/>
        <v>3.9928782150837443</v>
      </c>
      <c r="BU21" s="65">
        <v>151764.23000000001</v>
      </c>
      <c r="BV21" s="74">
        <f t="shared" si="33"/>
        <v>34.010963165154529</v>
      </c>
      <c r="BW21" s="75">
        <f t="shared" si="43"/>
        <v>-1274.5299999999988</v>
      </c>
      <c r="BX21" s="69">
        <f t="shared" si="35"/>
        <v>-0.28562720532291669</v>
      </c>
      <c r="BY21" s="55">
        <v>18526.5</v>
      </c>
      <c r="BZ21" s="55">
        <v>9546</v>
      </c>
      <c r="CA21" s="55">
        <v>9618</v>
      </c>
      <c r="CB21" s="55">
        <v>3240</v>
      </c>
      <c r="CC21" s="64">
        <v>35012.5</v>
      </c>
      <c r="CD21" s="64">
        <v>2812.5</v>
      </c>
      <c r="CE21" s="64">
        <v>35000</v>
      </c>
      <c r="CF21" s="76">
        <f t="shared" si="36"/>
        <v>4.1518617995771161E-2</v>
      </c>
      <c r="CG21" s="76">
        <f t="shared" si="37"/>
        <v>2.1392962911917064E-2</v>
      </c>
      <c r="CH21" s="76">
        <f t="shared" si="38"/>
        <v>2.1554317754747362E-2</v>
      </c>
      <c r="CI21" s="76">
        <f t="shared" si="39"/>
        <v>7.2609679273634284E-3</v>
      </c>
      <c r="CJ21" s="76">
        <f t="shared" si="40"/>
        <v>7.8464394924941991E-2</v>
      </c>
      <c r="CK21" s="63">
        <f t="shared" si="41"/>
        <v>-254.90599999999978</v>
      </c>
      <c r="CL21" s="77">
        <f t="shared" si="42"/>
        <v>-1147.0769999999991</v>
      </c>
    </row>
    <row r="22" spans="1:90" ht="18.75" customHeight="1" x14ac:dyDescent="0.35">
      <c r="A22" s="50">
        <f t="shared" si="0"/>
        <v>15</v>
      </c>
      <c r="B22" s="58">
        <v>9</v>
      </c>
      <c r="C22" s="52" t="s">
        <v>98</v>
      </c>
      <c r="D22" s="52"/>
      <c r="E22" s="52"/>
      <c r="F22" s="53"/>
      <c r="G22" s="54">
        <v>40</v>
      </c>
      <c r="H22" s="55">
        <f t="shared" si="1"/>
        <v>0</v>
      </c>
      <c r="I22" s="53">
        <v>21071</v>
      </c>
      <c r="J22" s="56">
        <v>50</v>
      </c>
      <c r="K22" s="55">
        <f t="shared" si="2"/>
        <v>1053550</v>
      </c>
      <c r="L22" s="53"/>
      <c r="M22" s="57">
        <v>60</v>
      </c>
      <c r="N22" s="55">
        <f t="shared" si="3"/>
        <v>0</v>
      </c>
      <c r="O22" s="53">
        <v>20026</v>
      </c>
      <c r="P22" s="57">
        <v>12</v>
      </c>
      <c r="Q22" s="55">
        <f t="shared" si="4"/>
        <v>240312</v>
      </c>
      <c r="R22" s="53"/>
      <c r="S22" s="59">
        <v>12</v>
      </c>
      <c r="T22" s="55">
        <f t="shared" si="5"/>
        <v>0</v>
      </c>
      <c r="U22" s="53">
        <v>3559</v>
      </c>
      <c r="V22" s="57">
        <v>8</v>
      </c>
      <c r="W22" s="55">
        <f t="shared" si="6"/>
        <v>28472</v>
      </c>
      <c r="X22" s="53">
        <v>728</v>
      </c>
      <c r="Y22" s="57">
        <v>12</v>
      </c>
      <c r="Z22" s="55">
        <f t="shared" si="7"/>
        <v>8736</v>
      </c>
      <c r="AA22" s="53">
        <v>2279</v>
      </c>
      <c r="AB22" s="57">
        <v>10</v>
      </c>
      <c r="AC22" s="55">
        <f t="shared" si="8"/>
        <v>22790</v>
      </c>
      <c r="AD22" s="53">
        <v>1370</v>
      </c>
      <c r="AE22" s="57">
        <v>25</v>
      </c>
      <c r="AF22" s="55">
        <f t="shared" si="9"/>
        <v>34250</v>
      </c>
      <c r="AG22" s="53">
        <v>300</v>
      </c>
      <c r="AH22" s="57">
        <v>7.5</v>
      </c>
      <c r="AI22" s="55">
        <f t="shared" si="10"/>
        <v>2250</v>
      </c>
      <c r="AJ22" s="53"/>
      <c r="AK22" s="56">
        <v>15</v>
      </c>
      <c r="AL22" s="55">
        <f t="shared" si="11"/>
        <v>0</v>
      </c>
      <c r="AM22" s="53">
        <v>872</v>
      </c>
      <c r="AN22" s="57">
        <v>10</v>
      </c>
      <c r="AO22" s="55">
        <f t="shared" si="12"/>
        <v>8720</v>
      </c>
      <c r="AP22" s="53">
        <f t="shared" si="13"/>
        <v>9108</v>
      </c>
      <c r="AQ22" s="53"/>
      <c r="AR22" s="61"/>
      <c r="AS22" s="53"/>
      <c r="AT22" s="53"/>
      <c r="AU22" s="55"/>
      <c r="AV22" s="53"/>
      <c r="AW22" s="53"/>
      <c r="AX22" s="66">
        <f>1375+4336+953+692+197+408+210</f>
        <v>8171</v>
      </c>
      <c r="AY22" s="53"/>
      <c r="AZ22" s="68">
        <f t="shared" si="14"/>
        <v>0.95040577096483314</v>
      </c>
      <c r="BA22" s="68">
        <f t="shared" si="15"/>
        <v>0.43225285938019076</v>
      </c>
      <c r="BB22" s="68">
        <f t="shared" si="16"/>
        <v>0.40801957455308102</v>
      </c>
      <c r="BC22" s="55">
        <f t="shared" si="17"/>
        <v>1147798</v>
      </c>
      <c r="BD22" s="55">
        <f t="shared" si="18"/>
        <v>1087800</v>
      </c>
      <c r="BE22" s="55">
        <f t="shared" si="19"/>
        <v>1147798</v>
      </c>
      <c r="BF22" s="55">
        <f t="shared" si="20"/>
        <v>1150048</v>
      </c>
      <c r="BG22" s="62">
        <v>1554635</v>
      </c>
      <c r="BH22" s="63">
        <v>1047941</v>
      </c>
      <c r="BI22" s="69">
        <f t="shared" si="21"/>
        <v>67.407526525518847</v>
      </c>
      <c r="BJ22" s="70">
        <f t="shared" si="22"/>
        <v>98120</v>
      </c>
      <c r="BK22" s="71">
        <f t="shared" si="23"/>
        <v>6.3114493112531242E-2</v>
      </c>
      <c r="BL22" s="72">
        <f t="shared" si="24"/>
        <v>9</v>
      </c>
      <c r="BM22" s="61">
        <f t="shared" si="25"/>
        <v>102550</v>
      </c>
      <c r="BN22" s="69">
        <f t="shared" si="26"/>
        <v>3.5860066309117502</v>
      </c>
      <c r="BO22" s="73">
        <f t="shared" si="27"/>
        <v>125</v>
      </c>
      <c r="BP22" s="69">
        <f t="shared" si="28"/>
        <v>2941.95984</v>
      </c>
      <c r="BQ22" s="61">
        <f t="shared" si="29"/>
        <v>69457.5</v>
      </c>
      <c r="BR22" s="69">
        <f t="shared" si="30"/>
        <v>5.294532339920095</v>
      </c>
      <c r="BS22" s="64">
        <f t="shared" si="31"/>
        <v>97492.479999999981</v>
      </c>
      <c r="BT22" s="69">
        <f t="shared" si="32"/>
        <v>3.7720343148517719</v>
      </c>
      <c r="BU22" s="65">
        <v>367744.98</v>
      </c>
      <c r="BV22" s="74">
        <f t="shared" si="33"/>
        <v>23.654747255786727</v>
      </c>
      <c r="BW22" s="75">
        <f t="shared" si="43"/>
        <v>138949.02000000002</v>
      </c>
      <c r="BX22" s="69">
        <f t="shared" si="35"/>
        <v>8.9377262186944204</v>
      </c>
      <c r="BY22" s="55">
        <v>43130</v>
      </c>
      <c r="BZ22" s="55">
        <v>19092</v>
      </c>
      <c r="CA22" s="55">
        <v>30228</v>
      </c>
      <c r="CB22" s="55">
        <v>5670</v>
      </c>
      <c r="CC22" s="64">
        <v>102550</v>
      </c>
      <c r="CD22" s="64">
        <v>125</v>
      </c>
      <c r="CE22" s="64">
        <v>69457.5</v>
      </c>
      <c r="CF22" s="76">
        <f t="shared" si="36"/>
        <v>2.7742846391596743E-2</v>
      </c>
      <c r="CG22" s="76">
        <f t="shared" si="37"/>
        <v>1.2280696111949107E-2</v>
      </c>
      <c r="CH22" s="76">
        <f t="shared" si="38"/>
        <v>1.9443792272784286E-2</v>
      </c>
      <c r="CI22" s="76">
        <f t="shared" si="39"/>
        <v>3.6471583362011019E-3</v>
      </c>
      <c r="CJ22" s="76">
        <f t="shared" si="40"/>
        <v>6.5964036574501408E-2</v>
      </c>
      <c r="CK22" s="63">
        <f t="shared" si="41"/>
        <v>27789.804000000004</v>
      </c>
      <c r="CL22" s="77">
        <f t="shared" si="42"/>
        <v>125054.11800000002</v>
      </c>
    </row>
    <row r="23" spans="1:90" ht="18.75" customHeight="1" x14ac:dyDescent="0.35">
      <c r="A23" s="50">
        <f t="shared" si="0"/>
        <v>16</v>
      </c>
      <c r="B23" s="58">
        <v>6</v>
      </c>
      <c r="C23" s="52" t="s">
        <v>117</v>
      </c>
      <c r="D23" s="52"/>
      <c r="E23" s="52"/>
      <c r="F23" s="53"/>
      <c r="G23" s="54">
        <v>40</v>
      </c>
      <c r="H23" s="55">
        <f t="shared" si="1"/>
        <v>0</v>
      </c>
      <c r="I23" s="53">
        <v>13889</v>
      </c>
      <c r="J23" s="56">
        <v>50</v>
      </c>
      <c r="K23" s="55">
        <f t="shared" si="2"/>
        <v>694450</v>
      </c>
      <c r="L23" s="53"/>
      <c r="M23" s="57">
        <v>60</v>
      </c>
      <c r="N23" s="55">
        <f t="shared" si="3"/>
        <v>0</v>
      </c>
      <c r="O23" s="53">
        <v>5735</v>
      </c>
      <c r="P23" s="57">
        <v>12</v>
      </c>
      <c r="Q23" s="55">
        <f t="shared" si="4"/>
        <v>68820</v>
      </c>
      <c r="R23" s="53"/>
      <c r="S23" s="59">
        <v>12</v>
      </c>
      <c r="T23" s="55">
        <f t="shared" si="5"/>
        <v>0</v>
      </c>
      <c r="U23" s="53">
        <v>614</v>
      </c>
      <c r="V23" s="57">
        <v>8</v>
      </c>
      <c r="W23" s="55">
        <f t="shared" si="6"/>
        <v>4912</v>
      </c>
      <c r="X23" s="53">
        <v>540</v>
      </c>
      <c r="Y23" s="57">
        <v>12</v>
      </c>
      <c r="Z23" s="55">
        <f t="shared" si="7"/>
        <v>6480</v>
      </c>
      <c r="AA23" s="53">
        <v>1149</v>
      </c>
      <c r="AB23" s="57">
        <v>10</v>
      </c>
      <c r="AC23" s="55">
        <f t="shared" si="8"/>
        <v>11490</v>
      </c>
      <c r="AD23" s="53">
        <v>174</v>
      </c>
      <c r="AE23" s="57">
        <v>25</v>
      </c>
      <c r="AF23" s="55">
        <f t="shared" si="9"/>
        <v>4350</v>
      </c>
      <c r="AG23" s="53">
        <v>41</v>
      </c>
      <c r="AH23" s="57">
        <v>7.5</v>
      </c>
      <c r="AI23" s="55">
        <f t="shared" si="10"/>
        <v>307.5</v>
      </c>
      <c r="AJ23" s="53"/>
      <c r="AK23" s="56">
        <v>15</v>
      </c>
      <c r="AL23" s="55">
        <f t="shared" si="11"/>
        <v>0</v>
      </c>
      <c r="AM23" s="53"/>
      <c r="AN23" s="57">
        <v>10</v>
      </c>
      <c r="AO23" s="55">
        <f t="shared" si="12"/>
        <v>0</v>
      </c>
      <c r="AP23" s="53">
        <f t="shared" si="13"/>
        <v>2518</v>
      </c>
      <c r="AQ23" s="53"/>
      <c r="AR23" s="61"/>
      <c r="AS23" s="53"/>
      <c r="AT23" s="53"/>
      <c r="AU23" s="55"/>
      <c r="AV23" s="53"/>
      <c r="AW23" s="53"/>
      <c r="AX23" s="66">
        <f>1784+267+768+144</f>
        <v>2963</v>
      </c>
      <c r="AY23" s="53"/>
      <c r="AZ23" s="68">
        <f t="shared" si="14"/>
        <v>0.41291669666642666</v>
      </c>
      <c r="BA23" s="68">
        <f t="shared" si="15"/>
        <v>0.18129454964360286</v>
      </c>
      <c r="BB23" s="68">
        <f t="shared" si="16"/>
        <v>0.51665213600697468</v>
      </c>
      <c r="BC23" s="55">
        <f t="shared" si="17"/>
        <v>721682</v>
      </c>
      <c r="BD23" s="55">
        <f t="shared" si="18"/>
        <v>698800</v>
      </c>
      <c r="BE23" s="55">
        <f t="shared" si="19"/>
        <v>721682</v>
      </c>
      <c r="BF23" s="55">
        <f t="shared" si="20"/>
        <v>721989.5</v>
      </c>
      <c r="BG23" s="62">
        <v>847684.5</v>
      </c>
      <c r="BH23" s="63">
        <v>565774.87</v>
      </c>
      <c r="BI23" s="69">
        <f t="shared" si="21"/>
        <v>66.743566739748104</v>
      </c>
      <c r="BJ23" s="70">
        <f t="shared" si="22"/>
        <v>61502.5</v>
      </c>
      <c r="BK23" s="71">
        <f t="shared" si="23"/>
        <v>7.2553526695368381E-2</v>
      </c>
      <c r="BL23" s="72">
        <f t="shared" si="24"/>
        <v>6</v>
      </c>
      <c r="BM23" s="61">
        <f t="shared" si="25"/>
        <v>67275</v>
      </c>
      <c r="BN23" s="69">
        <f t="shared" si="26"/>
        <v>3.5313858045336306</v>
      </c>
      <c r="BO23" s="73">
        <f t="shared" si="27"/>
        <v>0</v>
      </c>
      <c r="BP23" s="69" t="e">
        <f t="shared" si="28"/>
        <v>#DIV/0!</v>
      </c>
      <c r="BQ23" s="61">
        <f t="shared" si="29"/>
        <v>38250</v>
      </c>
      <c r="BR23" s="69">
        <f t="shared" si="30"/>
        <v>6.2110844444444444</v>
      </c>
      <c r="BS23" s="64">
        <f t="shared" si="31"/>
        <v>70546.48000000001</v>
      </c>
      <c r="BT23" s="69">
        <f t="shared" si="32"/>
        <v>3.3676234448550795</v>
      </c>
      <c r="BU23" s="65">
        <v>237573.98</v>
      </c>
      <c r="BV23" s="74">
        <f t="shared" si="33"/>
        <v>28.02622673883975</v>
      </c>
      <c r="BW23" s="75">
        <f t="shared" si="43"/>
        <v>44335.649999999994</v>
      </c>
      <c r="BX23" s="69">
        <f t="shared" si="35"/>
        <v>5.2302065214121525</v>
      </c>
      <c r="BY23" s="55">
        <v>24756.5</v>
      </c>
      <c r="BZ23" s="55">
        <v>11137</v>
      </c>
      <c r="CA23" s="55">
        <v>19399</v>
      </c>
      <c r="CB23" s="55">
        <v>6210</v>
      </c>
      <c r="CC23" s="64">
        <v>67275</v>
      </c>
      <c r="CD23" s="64"/>
      <c r="CE23" s="64">
        <v>38250</v>
      </c>
      <c r="CF23" s="76">
        <f t="shared" si="36"/>
        <v>2.9204851569186414E-2</v>
      </c>
      <c r="CG23" s="76">
        <f t="shared" si="37"/>
        <v>1.313814278779428E-2</v>
      </c>
      <c r="CH23" s="76">
        <f t="shared" si="38"/>
        <v>2.2884693538692758E-2</v>
      </c>
      <c r="CI23" s="76">
        <f t="shared" si="39"/>
        <v>7.3258387996949339E-3</v>
      </c>
      <c r="CJ23" s="76">
        <f t="shared" si="40"/>
        <v>7.9363253663361777E-2</v>
      </c>
      <c r="CK23" s="63">
        <f t="shared" si="41"/>
        <v>8867.1299999999992</v>
      </c>
      <c r="CL23" s="77">
        <f t="shared" si="42"/>
        <v>39902.084999999999</v>
      </c>
    </row>
    <row r="24" spans="1:90" ht="18.75" customHeight="1" x14ac:dyDescent="0.35">
      <c r="A24" s="50">
        <f t="shared" si="0"/>
        <v>17</v>
      </c>
      <c r="B24" s="51">
        <v>4</v>
      </c>
      <c r="C24" s="52" t="s">
        <v>213</v>
      </c>
      <c r="D24" s="52"/>
      <c r="E24" s="52"/>
      <c r="F24" s="53"/>
      <c r="G24" s="54">
        <v>40</v>
      </c>
      <c r="H24" s="55">
        <f t="shared" si="1"/>
        <v>0</v>
      </c>
      <c r="I24" s="53">
        <v>6621</v>
      </c>
      <c r="J24" s="56">
        <v>50</v>
      </c>
      <c r="K24" s="55">
        <f t="shared" si="2"/>
        <v>331050</v>
      </c>
      <c r="L24" s="53"/>
      <c r="M24" s="57">
        <v>60</v>
      </c>
      <c r="N24" s="55">
        <f t="shared" si="3"/>
        <v>0</v>
      </c>
      <c r="O24" s="53">
        <v>2848</v>
      </c>
      <c r="P24" s="57">
        <v>12</v>
      </c>
      <c r="Q24" s="55">
        <f t="shared" si="4"/>
        <v>34176</v>
      </c>
      <c r="R24" s="53">
        <v>229</v>
      </c>
      <c r="S24" s="59">
        <v>12</v>
      </c>
      <c r="T24" s="55">
        <f t="shared" si="5"/>
        <v>2748</v>
      </c>
      <c r="U24" s="53">
        <v>291</v>
      </c>
      <c r="V24" s="57">
        <v>8</v>
      </c>
      <c r="W24" s="55">
        <f t="shared" si="6"/>
        <v>2328</v>
      </c>
      <c r="X24" s="53">
        <v>189</v>
      </c>
      <c r="Y24" s="57">
        <v>12</v>
      </c>
      <c r="Z24" s="55">
        <f t="shared" si="7"/>
        <v>2268</v>
      </c>
      <c r="AA24" s="53">
        <v>584</v>
      </c>
      <c r="AB24" s="57">
        <v>10</v>
      </c>
      <c r="AC24" s="55">
        <f t="shared" si="8"/>
        <v>5840</v>
      </c>
      <c r="AD24" s="53">
        <v>90</v>
      </c>
      <c r="AE24" s="57">
        <v>25</v>
      </c>
      <c r="AF24" s="55">
        <f t="shared" si="9"/>
        <v>2250</v>
      </c>
      <c r="AG24" s="53">
        <v>23</v>
      </c>
      <c r="AH24" s="57">
        <v>7.5</v>
      </c>
      <c r="AI24" s="55">
        <f t="shared" si="10"/>
        <v>172.5</v>
      </c>
      <c r="AJ24" s="53"/>
      <c r="AK24" s="56">
        <v>15</v>
      </c>
      <c r="AL24" s="55">
        <f t="shared" si="11"/>
        <v>0</v>
      </c>
      <c r="AM24" s="53"/>
      <c r="AN24" s="57">
        <v>10</v>
      </c>
      <c r="AO24" s="55">
        <f t="shared" si="12"/>
        <v>0</v>
      </c>
      <c r="AP24" s="53">
        <f t="shared" si="13"/>
        <v>1406</v>
      </c>
      <c r="AQ24" s="53"/>
      <c r="AR24" s="61"/>
      <c r="AS24" s="53"/>
      <c r="AT24" s="53"/>
      <c r="AU24" s="55"/>
      <c r="AV24" s="53"/>
      <c r="AW24" s="53"/>
      <c r="AX24" s="66">
        <f>682+98+395</f>
        <v>1175</v>
      </c>
      <c r="AY24" s="53"/>
      <c r="AZ24" s="68">
        <f t="shared" si="14"/>
        <v>0.43014650354931278</v>
      </c>
      <c r="BA24" s="68">
        <f t="shared" si="15"/>
        <v>0.2123546292100891</v>
      </c>
      <c r="BB24" s="68">
        <f t="shared" si="16"/>
        <v>0.4125702247191011</v>
      </c>
      <c r="BC24" s="55">
        <f t="shared" si="17"/>
        <v>346484</v>
      </c>
      <c r="BD24" s="55">
        <f t="shared" si="18"/>
        <v>336048</v>
      </c>
      <c r="BE24" s="55">
        <f t="shared" si="19"/>
        <v>346484</v>
      </c>
      <c r="BF24" s="55">
        <f t="shared" si="20"/>
        <v>346656.5</v>
      </c>
      <c r="BG24" s="62">
        <v>402853.5</v>
      </c>
      <c r="BH24" s="63">
        <v>269692.67</v>
      </c>
      <c r="BI24" s="69">
        <f t="shared" si="21"/>
        <v>66.945594366190193</v>
      </c>
      <c r="BJ24" s="70">
        <f t="shared" si="22"/>
        <v>36188</v>
      </c>
      <c r="BK24" s="71">
        <f t="shared" si="23"/>
        <v>8.9829181079474296E-2</v>
      </c>
      <c r="BL24" s="72">
        <f t="shared" si="24"/>
        <v>4</v>
      </c>
      <c r="BM24" s="61">
        <f t="shared" si="25"/>
        <v>41550</v>
      </c>
      <c r="BN24" s="69">
        <f t="shared" si="26"/>
        <v>3.1872267148014437</v>
      </c>
      <c r="BO24" s="73">
        <f t="shared" si="27"/>
        <v>0</v>
      </c>
      <c r="BP24" s="69" t="e">
        <f t="shared" si="28"/>
        <v>#DIV/0!</v>
      </c>
      <c r="BQ24" s="61">
        <f t="shared" si="29"/>
        <v>10000</v>
      </c>
      <c r="BR24" s="69">
        <f t="shared" si="30"/>
        <v>13.242926999999998</v>
      </c>
      <c r="BS24" s="64">
        <f t="shared" si="31"/>
        <v>44691.26999999999</v>
      </c>
      <c r="BT24" s="69">
        <f t="shared" si="32"/>
        <v>2.9632022092905399</v>
      </c>
      <c r="BU24" s="65">
        <v>132429.26999999999</v>
      </c>
      <c r="BV24" s="74">
        <f t="shared" si="33"/>
        <v>32.87281108393001</v>
      </c>
      <c r="BW24" s="75">
        <f t="shared" si="43"/>
        <v>731.56000000002678</v>
      </c>
      <c r="BX24" s="69">
        <f t="shared" si="35"/>
        <v>0.18159454987980167</v>
      </c>
      <c r="BY24" s="55">
        <v>12463</v>
      </c>
      <c r="BZ24" s="55">
        <v>11137</v>
      </c>
      <c r="CA24" s="55">
        <v>9618</v>
      </c>
      <c r="CB24" s="55">
        <v>2970</v>
      </c>
      <c r="CC24" s="64">
        <v>41550</v>
      </c>
      <c r="CD24" s="64"/>
      <c r="CE24" s="64">
        <v>10000</v>
      </c>
      <c r="CF24" s="76">
        <f t="shared" si="36"/>
        <v>3.0936804570395937E-2</v>
      </c>
      <c r="CG24" s="76">
        <f t="shared" si="37"/>
        <v>2.7645285444957039E-2</v>
      </c>
      <c r="CH24" s="76">
        <f t="shared" si="38"/>
        <v>2.3874683973206141E-2</v>
      </c>
      <c r="CI24" s="76">
        <f t="shared" si="39"/>
        <v>7.3724070909151835E-3</v>
      </c>
      <c r="CJ24" s="76">
        <f t="shared" si="40"/>
        <v>0.10313923051431848</v>
      </c>
      <c r="CK24" s="63">
        <f t="shared" si="41"/>
        <v>146.31200000000536</v>
      </c>
      <c r="CL24" s="77">
        <f t="shared" si="42"/>
        <v>658.4040000000241</v>
      </c>
    </row>
    <row r="25" spans="1:90" ht="18.75" customHeight="1" x14ac:dyDescent="0.35">
      <c r="A25" s="50">
        <f t="shared" si="0"/>
        <v>18</v>
      </c>
      <c r="B25" s="51">
        <v>6</v>
      </c>
      <c r="C25" s="52" t="s">
        <v>112</v>
      </c>
      <c r="D25" s="52"/>
      <c r="E25" s="52"/>
      <c r="F25" s="53"/>
      <c r="G25" s="54">
        <v>40</v>
      </c>
      <c r="H25" s="55">
        <f t="shared" si="1"/>
        <v>0</v>
      </c>
      <c r="I25" s="53">
        <v>14961</v>
      </c>
      <c r="J25" s="56">
        <v>50</v>
      </c>
      <c r="K25" s="55">
        <f t="shared" si="2"/>
        <v>748050</v>
      </c>
      <c r="L25" s="53"/>
      <c r="M25" s="57">
        <v>60</v>
      </c>
      <c r="N25" s="55">
        <f t="shared" si="3"/>
        <v>0</v>
      </c>
      <c r="O25" s="53">
        <v>7127</v>
      </c>
      <c r="P25" s="57">
        <v>12</v>
      </c>
      <c r="Q25" s="55">
        <f t="shared" si="4"/>
        <v>85524</v>
      </c>
      <c r="R25" s="53">
        <v>1047</v>
      </c>
      <c r="S25" s="59">
        <v>12</v>
      </c>
      <c r="T25" s="55">
        <f t="shared" si="5"/>
        <v>12564</v>
      </c>
      <c r="U25" s="53">
        <v>1009</v>
      </c>
      <c r="V25" s="57">
        <v>8</v>
      </c>
      <c r="W25" s="55">
        <f t="shared" si="6"/>
        <v>8072</v>
      </c>
      <c r="X25" s="53">
        <v>344</v>
      </c>
      <c r="Y25" s="57">
        <v>12</v>
      </c>
      <c r="Z25" s="55">
        <f t="shared" si="7"/>
        <v>4128</v>
      </c>
      <c r="AA25" s="53">
        <v>1193</v>
      </c>
      <c r="AB25" s="57">
        <v>10</v>
      </c>
      <c r="AC25" s="55">
        <f t="shared" si="8"/>
        <v>11930</v>
      </c>
      <c r="AD25" s="53">
        <v>237</v>
      </c>
      <c r="AE25" s="57">
        <v>25</v>
      </c>
      <c r="AF25" s="55">
        <f t="shared" si="9"/>
        <v>5925</v>
      </c>
      <c r="AG25" s="53">
        <v>92</v>
      </c>
      <c r="AH25" s="57">
        <v>7.5</v>
      </c>
      <c r="AI25" s="55">
        <f t="shared" si="10"/>
        <v>690</v>
      </c>
      <c r="AJ25" s="53"/>
      <c r="AK25" s="56">
        <v>15</v>
      </c>
      <c r="AL25" s="55">
        <f t="shared" si="11"/>
        <v>0</v>
      </c>
      <c r="AM25" s="53">
        <v>123</v>
      </c>
      <c r="AN25" s="57">
        <v>10</v>
      </c>
      <c r="AO25" s="55">
        <f t="shared" si="12"/>
        <v>1230</v>
      </c>
      <c r="AP25" s="53">
        <f t="shared" si="13"/>
        <v>4045</v>
      </c>
      <c r="AQ25" s="53"/>
      <c r="AR25" s="61"/>
      <c r="AS25" s="53"/>
      <c r="AT25" s="53"/>
      <c r="AU25" s="55"/>
      <c r="AV25" s="53"/>
      <c r="AW25" s="53"/>
      <c r="AX25" s="66">
        <v>2532</v>
      </c>
      <c r="AY25" s="53"/>
      <c r="AZ25" s="68">
        <f t="shared" si="14"/>
        <v>0.47637190027404586</v>
      </c>
      <c r="BA25" s="68">
        <f t="shared" si="15"/>
        <v>0.27036962769868322</v>
      </c>
      <c r="BB25" s="68">
        <f t="shared" si="16"/>
        <v>0.35526869650624388</v>
      </c>
      <c r="BC25" s="55">
        <f t="shared" si="17"/>
        <v>790669</v>
      </c>
      <c r="BD25" s="55">
        <f t="shared" si="18"/>
        <v>766539</v>
      </c>
      <c r="BE25" s="55">
        <f t="shared" si="19"/>
        <v>790669</v>
      </c>
      <c r="BF25" s="55">
        <f t="shared" si="20"/>
        <v>791359</v>
      </c>
      <c r="BG25" s="62">
        <v>927368</v>
      </c>
      <c r="BH25" s="63">
        <v>634167.31000000006</v>
      </c>
      <c r="BI25" s="69">
        <f t="shared" si="21"/>
        <v>68.383566178690657</v>
      </c>
      <c r="BJ25" s="70">
        <f t="shared" si="22"/>
        <v>64222</v>
      </c>
      <c r="BK25" s="71">
        <f t="shared" si="23"/>
        <v>6.9251904314144991E-2</v>
      </c>
      <c r="BL25" s="72">
        <f t="shared" si="24"/>
        <v>6</v>
      </c>
      <c r="BM25" s="61">
        <f t="shared" si="25"/>
        <v>73500</v>
      </c>
      <c r="BN25" s="69">
        <f t="shared" si="26"/>
        <v>3.1111201360544216</v>
      </c>
      <c r="BO25" s="73">
        <f t="shared" si="27"/>
        <v>375</v>
      </c>
      <c r="BP25" s="69">
        <f t="shared" si="28"/>
        <v>609.77954666666665</v>
      </c>
      <c r="BQ25" s="61">
        <f t="shared" si="29"/>
        <v>25000</v>
      </c>
      <c r="BR25" s="69">
        <f t="shared" si="30"/>
        <v>9.1466931999999996</v>
      </c>
      <c r="BS25" s="64">
        <f t="shared" si="31"/>
        <v>65570.329999999987</v>
      </c>
      <c r="BT25" s="69">
        <f t="shared" si="32"/>
        <v>3.4873597555479745</v>
      </c>
      <c r="BU25" s="65">
        <v>228667.33</v>
      </c>
      <c r="BV25" s="74">
        <f t="shared" si="33"/>
        <v>24.657668800303654</v>
      </c>
      <c r="BW25" s="75">
        <f t="shared" si="43"/>
        <v>64533.359999999957</v>
      </c>
      <c r="BX25" s="69">
        <f t="shared" si="35"/>
        <v>6.9587650210056804</v>
      </c>
      <c r="BY25" s="55">
        <v>28666</v>
      </c>
      <c r="BZ25" s="55">
        <v>9546</v>
      </c>
      <c r="CA25" s="55">
        <v>20610</v>
      </c>
      <c r="CB25" s="55">
        <v>5400</v>
      </c>
      <c r="CC25" s="64">
        <v>73500</v>
      </c>
      <c r="CD25" s="64">
        <v>375</v>
      </c>
      <c r="CE25" s="64">
        <v>25000</v>
      </c>
      <c r="CF25" s="76">
        <f t="shared" si="36"/>
        <v>3.0911137757610788E-2</v>
      </c>
      <c r="CG25" s="76">
        <f t="shared" si="37"/>
        <v>1.029364826045324E-2</v>
      </c>
      <c r="CH25" s="76">
        <f t="shared" si="38"/>
        <v>2.2224187161946497E-2</v>
      </c>
      <c r="CI25" s="76">
        <f t="shared" si="39"/>
        <v>5.8229311341344535E-3</v>
      </c>
      <c r="CJ25" s="76">
        <f t="shared" si="40"/>
        <v>7.9256562659052288E-2</v>
      </c>
      <c r="CK25" s="63">
        <f t="shared" si="41"/>
        <v>12906.671999999991</v>
      </c>
      <c r="CL25" s="77">
        <f t="shared" si="42"/>
        <v>58080.023999999961</v>
      </c>
    </row>
    <row r="26" spans="1:90" ht="18.75" customHeight="1" x14ac:dyDescent="0.35">
      <c r="A26" s="50">
        <f t="shared" si="0"/>
        <v>19</v>
      </c>
      <c r="B26" s="58">
        <v>9</v>
      </c>
      <c r="C26" s="52" t="s">
        <v>104</v>
      </c>
      <c r="D26" s="52"/>
      <c r="E26" s="52"/>
      <c r="F26" s="53"/>
      <c r="G26" s="54">
        <v>40</v>
      </c>
      <c r="H26" s="55">
        <f t="shared" si="1"/>
        <v>0</v>
      </c>
      <c r="I26" s="53">
        <v>21809</v>
      </c>
      <c r="J26" s="56">
        <v>50</v>
      </c>
      <c r="K26" s="55">
        <f t="shared" si="2"/>
        <v>1090450</v>
      </c>
      <c r="L26" s="53"/>
      <c r="M26" s="57">
        <v>60</v>
      </c>
      <c r="N26" s="55">
        <f t="shared" si="3"/>
        <v>0</v>
      </c>
      <c r="O26" s="53">
        <v>21201</v>
      </c>
      <c r="P26" s="57">
        <v>12</v>
      </c>
      <c r="Q26" s="55">
        <f t="shared" si="4"/>
        <v>254412</v>
      </c>
      <c r="R26" s="53"/>
      <c r="S26" s="59">
        <v>12</v>
      </c>
      <c r="T26" s="55">
        <f t="shared" si="5"/>
        <v>0</v>
      </c>
      <c r="U26" s="53">
        <v>2979</v>
      </c>
      <c r="V26" s="57">
        <v>8</v>
      </c>
      <c r="W26" s="55">
        <f t="shared" si="6"/>
        <v>23832</v>
      </c>
      <c r="X26" s="53">
        <v>1321</v>
      </c>
      <c r="Y26" s="57">
        <v>12</v>
      </c>
      <c r="Z26" s="55">
        <f t="shared" si="7"/>
        <v>15852</v>
      </c>
      <c r="AA26" s="53">
        <v>2755</v>
      </c>
      <c r="AB26" s="57">
        <v>10</v>
      </c>
      <c r="AC26" s="55">
        <f t="shared" si="8"/>
        <v>27550</v>
      </c>
      <c r="AD26" s="53">
        <v>800</v>
      </c>
      <c r="AE26" s="57">
        <v>25</v>
      </c>
      <c r="AF26" s="55">
        <f t="shared" si="9"/>
        <v>20000</v>
      </c>
      <c r="AG26" s="53">
        <v>288</v>
      </c>
      <c r="AH26" s="57">
        <v>7.5</v>
      </c>
      <c r="AI26" s="55">
        <f t="shared" si="10"/>
        <v>2160</v>
      </c>
      <c r="AJ26" s="53"/>
      <c r="AK26" s="56">
        <v>15</v>
      </c>
      <c r="AL26" s="55">
        <f t="shared" si="11"/>
        <v>0</v>
      </c>
      <c r="AM26" s="53">
        <v>679</v>
      </c>
      <c r="AN26" s="57">
        <v>10</v>
      </c>
      <c r="AO26" s="55">
        <f t="shared" si="12"/>
        <v>6790</v>
      </c>
      <c r="AP26" s="53">
        <f t="shared" si="13"/>
        <v>8822</v>
      </c>
      <c r="AQ26" s="53"/>
      <c r="AR26" s="61"/>
      <c r="AS26" s="53"/>
      <c r="AT26" s="53"/>
      <c r="AU26" s="55"/>
      <c r="AV26" s="53"/>
      <c r="AW26" s="53"/>
      <c r="AX26" s="66">
        <f>311+3483+581+729+91+353+142</f>
        <v>5690</v>
      </c>
      <c r="AY26" s="53"/>
      <c r="AZ26" s="68">
        <f t="shared" si="14"/>
        <v>0.97212160117382729</v>
      </c>
      <c r="BA26" s="68">
        <f t="shared" si="15"/>
        <v>0.40451189875739374</v>
      </c>
      <c r="BB26" s="68">
        <f t="shared" si="16"/>
        <v>0.26838356681288617</v>
      </c>
      <c r="BC26" s="55">
        <f t="shared" si="17"/>
        <v>1177684</v>
      </c>
      <c r="BD26" s="55">
        <f t="shared" si="18"/>
        <v>1110450</v>
      </c>
      <c r="BE26" s="55">
        <f t="shared" si="19"/>
        <v>1177684</v>
      </c>
      <c r="BF26" s="55">
        <f t="shared" si="20"/>
        <v>1179844</v>
      </c>
      <c r="BG26" s="62">
        <v>1553324</v>
      </c>
      <c r="BH26" s="63">
        <v>1051941.8799999999</v>
      </c>
      <c r="BI26" s="69">
        <f t="shared" si="21"/>
        <v>67.721987170738359</v>
      </c>
      <c r="BJ26" s="70">
        <f t="shared" si="22"/>
        <v>100325</v>
      </c>
      <c r="BK26" s="71">
        <f t="shared" si="23"/>
        <v>6.4587297949429745E-2</v>
      </c>
      <c r="BL26" s="72">
        <f t="shared" si="24"/>
        <v>9</v>
      </c>
      <c r="BM26" s="61">
        <f t="shared" si="25"/>
        <v>94287.5</v>
      </c>
      <c r="BN26" s="69">
        <f t="shared" si="26"/>
        <v>3.3990271244862789</v>
      </c>
      <c r="BO26" s="73">
        <f t="shared" si="27"/>
        <v>0</v>
      </c>
      <c r="BP26" s="69" t="e">
        <f t="shared" si="28"/>
        <v>#DIV/0!</v>
      </c>
      <c r="BQ26" s="61">
        <f t="shared" si="29"/>
        <v>35280</v>
      </c>
      <c r="BR26" s="69">
        <f t="shared" si="30"/>
        <v>9.0840637755102041</v>
      </c>
      <c r="BS26" s="64">
        <f t="shared" si="31"/>
        <v>90593.270000000019</v>
      </c>
      <c r="BT26" s="69">
        <f t="shared" si="32"/>
        <v>3.5376333142627479</v>
      </c>
      <c r="BU26" s="65">
        <v>320485.77</v>
      </c>
      <c r="BV26" s="74">
        <f t="shared" si="33"/>
        <v>20.63225508651125</v>
      </c>
      <c r="BW26" s="75">
        <f t="shared" si="43"/>
        <v>180896.35000000009</v>
      </c>
      <c r="BX26" s="69">
        <f t="shared" si="35"/>
        <v>11.645757742750392</v>
      </c>
      <c r="BY26" s="55">
        <v>37221</v>
      </c>
      <c r="BZ26" s="55">
        <v>22274</v>
      </c>
      <c r="CA26" s="55">
        <v>34350</v>
      </c>
      <c r="CB26" s="55">
        <v>6480</v>
      </c>
      <c r="CC26" s="64">
        <v>94287.5</v>
      </c>
      <c r="CD26" s="64"/>
      <c r="CE26" s="64">
        <v>35280</v>
      </c>
      <c r="CF26" s="76">
        <f t="shared" si="36"/>
        <v>2.3962161146032637E-2</v>
      </c>
      <c r="CG26" s="76">
        <f t="shared" si="37"/>
        <v>1.4339571139054054E-2</v>
      </c>
      <c r="CH26" s="76">
        <f t="shared" si="38"/>
        <v>2.2113866778598671E-2</v>
      </c>
      <c r="CI26" s="76">
        <f t="shared" si="39"/>
        <v>4.1716988857443777E-3</v>
      </c>
      <c r="CJ26" s="76">
        <f t="shared" si="40"/>
        <v>6.0700472020003553E-2</v>
      </c>
      <c r="CK26" s="63">
        <f t="shared" si="41"/>
        <v>36179.270000000019</v>
      </c>
      <c r="CL26" s="77">
        <f t="shared" si="42"/>
        <v>162806.71500000008</v>
      </c>
    </row>
    <row r="27" spans="1:90" ht="18.75" customHeight="1" x14ac:dyDescent="0.35">
      <c r="A27" s="50">
        <f t="shared" si="0"/>
        <v>20</v>
      </c>
      <c r="B27" s="51">
        <v>5</v>
      </c>
      <c r="C27" s="52" t="s">
        <v>206</v>
      </c>
      <c r="D27" s="52"/>
      <c r="E27" s="52"/>
      <c r="F27" s="53"/>
      <c r="G27" s="54">
        <v>40</v>
      </c>
      <c r="H27" s="55">
        <f t="shared" si="1"/>
        <v>0</v>
      </c>
      <c r="I27" s="53">
        <v>10400</v>
      </c>
      <c r="J27" s="56">
        <v>50</v>
      </c>
      <c r="K27" s="55">
        <f t="shared" si="2"/>
        <v>520000</v>
      </c>
      <c r="L27" s="53"/>
      <c r="M27" s="57">
        <v>60</v>
      </c>
      <c r="N27" s="55">
        <f t="shared" si="3"/>
        <v>0</v>
      </c>
      <c r="O27" s="53">
        <v>4359</v>
      </c>
      <c r="P27" s="57">
        <v>12</v>
      </c>
      <c r="Q27" s="55">
        <f t="shared" si="4"/>
        <v>52308</v>
      </c>
      <c r="R27" s="53">
        <v>1530</v>
      </c>
      <c r="S27" s="59">
        <v>12</v>
      </c>
      <c r="T27" s="55">
        <f t="shared" si="5"/>
        <v>18360</v>
      </c>
      <c r="U27" s="53">
        <v>1019</v>
      </c>
      <c r="V27" s="57">
        <v>8</v>
      </c>
      <c r="W27" s="55">
        <f t="shared" si="6"/>
        <v>8152</v>
      </c>
      <c r="X27" s="53">
        <v>253</v>
      </c>
      <c r="Y27" s="57">
        <v>12</v>
      </c>
      <c r="Z27" s="55">
        <f t="shared" si="7"/>
        <v>3036</v>
      </c>
      <c r="AA27" s="53">
        <v>858</v>
      </c>
      <c r="AB27" s="57">
        <v>10</v>
      </c>
      <c r="AC27" s="55">
        <f t="shared" si="8"/>
        <v>8580</v>
      </c>
      <c r="AD27" s="53">
        <v>147</v>
      </c>
      <c r="AE27" s="57">
        <v>25</v>
      </c>
      <c r="AF27" s="55">
        <f t="shared" si="9"/>
        <v>3675</v>
      </c>
      <c r="AG27" s="53">
        <v>76</v>
      </c>
      <c r="AH27" s="57">
        <v>7.5</v>
      </c>
      <c r="AI27" s="55">
        <f t="shared" si="10"/>
        <v>570</v>
      </c>
      <c r="AJ27" s="53"/>
      <c r="AK27" s="56">
        <v>15</v>
      </c>
      <c r="AL27" s="55">
        <f t="shared" si="11"/>
        <v>0</v>
      </c>
      <c r="AM27" s="53">
        <v>103</v>
      </c>
      <c r="AN27" s="57">
        <v>10</v>
      </c>
      <c r="AO27" s="55">
        <f t="shared" si="12"/>
        <v>1030</v>
      </c>
      <c r="AP27" s="53">
        <f t="shared" si="13"/>
        <v>3986</v>
      </c>
      <c r="AQ27" s="53"/>
      <c r="AR27" s="61"/>
      <c r="AS27" s="53"/>
      <c r="AT27" s="53"/>
      <c r="AU27" s="55"/>
      <c r="AV27" s="53"/>
      <c r="AW27" s="53"/>
      <c r="AX27" s="66">
        <f>417+1472+300+292+47+237+53+28</f>
        <v>2846</v>
      </c>
      <c r="AY27" s="53"/>
      <c r="AZ27" s="68">
        <f t="shared" si="14"/>
        <v>0.41913461538461538</v>
      </c>
      <c r="BA27" s="68">
        <f t="shared" si="15"/>
        <v>0.38326923076923075</v>
      </c>
      <c r="BB27" s="68">
        <f t="shared" si="16"/>
        <v>0.65290204175269562</v>
      </c>
      <c r="BC27" s="55">
        <f t="shared" si="17"/>
        <v>561803</v>
      </c>
      <c r="BD27" s="55">
        <f t="shared" si="18"/>
        <v>542035</v>
      </c>
      <c r="BE27" s="55">
        <f t="shared" si="19"/>
        <v>561803</v>
      </c>
      <c r="BF27" s="55">
        <f t="shared" si="20"/>
        <v>562373</v>
      </c>
      <c r="BG27" s="62">
        <v>671776</v>
      </c>
      <c r="BH27" s="63">
        <v>450399.7</v>
      </c>
      <c r="BI27" s="69">
        <f t="shared" si="21"/>
        <v>67.046113585480867</v>
      </c>
      <c r="BJ27" s="70">
        <f t="shared" si="22"/>
        <v>60379.5</v>
      </c>
      <c r="BK27" s="71">
        <f t="shared" si="23"/>
        <v>8.9880406564092796E-2</v>
      </c>
      <c r="BL27" s="72">
        <f t="shared" si="24"/>
        <v>5</v>
      </c>
      <c r="BM27" s="61">
        <f t="shared" si="25"/>
        <v>45050</v>
      </c>
      <c r="BN27" s="69">
        <f t="shared" si="26"/>
        <v>3.886729189789123</v>
      </c>
      <c r="BO27" s="73">
        <f t="shared" si="27"/>
        <v>0</v>
      </c>
      <c r="BP27" s="69" t="e">
        <f t="shared" si="28"/>
        <v>#DIV/0!</v>
      </c>
      <c r="BQ27" s="61">
        <f t="shared" si="29"/>
        <v>16000</v>
      </c>
      <c r="BR27" s="69">
        <f t="shared" si="30"/>
        <v>10.943571875</v>
      </c>
      <c r="BS27" s="64">
        <f t="shared" si="31"/>
        <v>53667.649999999994</v>
      </c>
      <c r="BT27" s="69">
        <f t="shared" si="32"/>
        <v>3.2626200327385306</v>
      </c>
      <c r="BU27" s="65">
        <v>175097.15</v>
      </c>
      <c r="BV27" s="74">
        <f t="shared" si="33"/>
        <v>26.064811782498925</v>
      </c>
      <c r="BW27" s="75">
        <f t="shared" si="43"/>
        <v>46279.149999999994</v>
      </c>
      <c r="BX27" s="69">
        <f t="shared" si="35"/>
        <v>6.8890746320201961</v>
      </c>
      <c r="BY27" s="55">
        <v>28217.5</v>
      </c>
      <c r="BZ27" s="55">
        <v>12728</v>
      </c>
      <c r="CA27" s="55">
        <v>15114</v>
      </c>
      <c r="CB27" s="55">
        <v>4320</v>
      </c>
      <c r="CC27" s="55">
        <v>45050</v>
      </c>
      <c r="CD27" s="64"/>
      <c r="CE27" s="64">
        <v>16000</v>
      </c>
      <c r="CF27" s="76">
        <f t="shared" si="36"/>
        <v>4.2004328823893676E-2</v>
      </c>
      <c r="CG27" s="76">
        <f t="shared" si="37"/>
        <v>1.8946791787738771E-2</v>
      </c>
      <c r="CH27" s="76">
        <f t="shared" si="38"/>
        <v>2.2498570952222168E-2</v>
      </c>
      <c r="CI27" s="76">
        <f t="shared" si="39"/>
        <v>6.430715000238175E-3</v>
      </c>
      <c r="CJ27" s="76">
        <f t="shared" si="40"/>
        <v>6.7061044157576341E-2</v>
      </c>
      <c r="CK27" s="63">
        <f t="shared" si="41"/>
        <v>9255.83</v>
      </c>
      <c r="CL27" s="77">
        <f t="shared" si="42"/>
        <v>41651.234999999993</v>
      </c>
    </row>
    <row r="28" spans="1:90" ht="18.75" customHeight="1" x14ac:dyDescent="0.35">
      <c r="A28" s="50">
        <f t="shared" si="0"/>
        <v>21</v>
      </c>
      <c r="B28" s="51">
        <v>4</v>
      </c>
      <c r="C28" s="52" t="s">
        <v>215</v>
      </c>
      <c r="D28" s="52"/>
      <c r="E28" s="52"/>
      <c r="F28" s="53"/>
      <c r="G28" s="54">
        <v>40</v>
      </c>
      <c r="H28" s="55">
        <f t="shared" si="1"/>
        <v>0</v>
      </c>
      <c r="I28" s="53">
        <v>6912</v>
      </c>
      <c r="J28" s="56">
        <v>50</v>
      </c>
      <c r="K28" s="55">
        <f t="shared" si="2"/>
        <v>345600</v>
      </c>
      <c r="L28" s="53"/>
      <c r="M28" s="57">
        <v>60</v>
      </c>
      <c r="N28" s="55">
        <f t="shared" si="3"/>
        <v>0</v>
      </c>
      <c r="O28" s="53">
        <v>2932</v>
      </c>
      <c r="P28" s="57">
        <v>12</v>
      </c>
      <c r="Q28" s="55">
        <f t="shared" si="4"/>
        <v>35184</v>
      </c>
      <c r="R28" s="53">
        <v>3060</v>
      </c>
      <c r="S28" s="59">
        <v>12</v>
      </c>
      <c r="T28" s="55">
        <f t="shared" si="5"/>
        <v>36720</v>
      </c>
      <c r="U28" s="53">
        <v>729</v>
      </c>
      <c r="V28" s="57">
        <v>8</v>
      </c>
      <c r="W28" s="55">
        <f t="shared" si="6"/>
        <v>5832</v>
      </c>
      <c r="X28" s="53">
        <v>803</v>
      </c>
      <c r="Y28" s="57">
        <v>12</v>
      </c>
      <c r="Z28" s="55">
        <f t="shared" si="7"/>
        <v>9636</v>
      </c>
      <c r="AA28" s="53">
        <v>1105</v>
      </c>
      <c r="AB28" s="57">
        <v>10</v>
      </c>
      <c r="AC28" s="55">
        <f t="shared" si="8"/>
        <v>11050</v>
      </c>
      <c r="AD28" s="53">
        <v>319</v>
      </c>
      <c r="AE28" s="57">
        <v>25</v>
      </c>
      <c r="AF28" s="55">
        <f t="shared" si="9"/>
        <v>7975</v>
      </c>
      <c r="AG28" s="53">
        <v>115</v>
      </c>
      <c r="AH28" s="57">
        <v>7.5</v>
      </c>
      <c r="AI28" s="55">
        <f t="shared" si="10"/>
        <v>862.5</v>
      </c>
      <c r="AJ28" s="53"/>
      <c r="AK28" s="56">
        <v>15</v>
      </c>
      <c r="AL28" s="55">
        <f t="shared" si="11"/>
        <v>0</v>
      </c>
      <c r="AM28" s="53">
        <v>83</v>
      </c>
      <c r="AN28" s="57">
        <v>10</v>
      </c>
      <c r="AO28" s="55">
        <f t="shared" si="12"/>
        <v>830</v>
      </c>
      <c r="AP28" s="53">
        <f t="shared" si="13"/>
        <v>6214</v>
      </c>
      <c r="AQ28" s="53"/>
      <c r="AR28" s="61"/>
      <c r="AS28" s="53"/>
      <c r="AT28" s="53"/>
      <c r="AU28" s="55"/>
      <c r="AV28" s="53"/>
      <c r="AW28" s="53"/>
      <c r="AX28" s="66">
        <f>386+744+71+24+202+118+78</f>
        <v>1623</v>
      </c>
      <c r="AY28" s="53"/>
      <c r="AZ28" s="68">
        <f t="shared" si="14"/>
        <v>0.42418981481481483</v>
      </c>
      <c r="BA28" s="68">
        <f t="shared" si="15"/>
        <v>0.89901620370370372</v>
      </c>
      <c r="BB28" s="68">
        <f t="shared" si="16"/>
        <v>0.55354706684856758</v>
      </c>
      <c r="BC28" s="55">
        <f t="shared" si="17"/>
        <v>416813</v>
      </c>
      <c r="BD28" s="55">
        <f t="shared" si="18"/>
        <v>390295</v>
      </c>
      <c r="BE28" s="55">
        <f t="shared" si="19"/>
        <v>416813</v>
      </c>
      <c r="BF28" s="55">
        <f t="shared" si="20"/>
        <v>417675.5</v>
      </c>
      <c r="BG28" s="62">
        <v>484776.5</v>
      </c>
      <c r="BH28" s="63">
        <v>325049.37</v>
      </c>
      <c r="BI28" s="69">
        <f t="shared" si="21"/>
        <v>67.051387598202467</v>
      </c>
      <c r="BJ28" s="70">
        <f t="shared" si="22"/>
        <v>43972</v>
      </c>
      <c r="BK28" s="71">
        <f t="shared" si="23"/>
        <v>9.0705716964415553E-2</v>
      </c>
      <c r="BL28" s="72">
        <f t="shared" si="24"/>
        <v>4</v>
      </c>
      <c r="BM28" s="61">
        <f t="shared" si="25"/>
        <v>49100</v>
      </c>
      <c r="BN28" s="69">
        <f t="shared" si="26"/>
        <v>3.0910718940936865</v>
      </c>
      <c r="BO28" s="73">
        <f t="shared" si="27"/>
        <v>0</v>
      </c>
      <c r="BP28" s="69" t="e">
        <f t="shared" si="28"/>
        <v>#DIV/0!</v>
      </c>
      <c r="BQ28" s="61">
        <f t="shared" si="29"/>
        <v>12000</v>
      </c>
      <c r="BR28" s="69">
        <f t="shared" si="30"/>
        <v>12.647635833333334</v>
      </c>
      <c r="BS28" s="64">
        <f t="shared" si="31"/>
        <v>46699.630000000005</v>
      </c>
      <c r="BT28" s="69">
        <f t="shared" si="32"/>
        <v>3.2499535863560371</v>
      </c>
      <c r="BU28" s="65">
        <v>151771.63</v>
      </c>
      <c r="BV28" s="74">
        <f t="shared" si="33"/>
        <v>31.307546879850818</v>
      </c>
      <c r="BW28" s="75">
        <f t="shared" si="43"/>
        <v>7955.5</v>
      </c>
      <c r="BX28" s="69">
        <f t="shared" si="35"/>
        <v>1.6410655219467114</v>
      </c>
      <c r="BY28" s="55">
        <v>22216</v>
      </c>
      <c r="BZ28" s="55">
        <v>6920</v>
      </c>
      <c r="CA28" s="55">
        <v>9716</v>
      </c>
      <c r="CB28" s="55">
        <v>5120</v>
      </c>
      <c r="CC28" s="64">
        <v>49100</v>
      </c>
      <c r="CD28" s="64"/>
      <c r="CE28" s="64">
        <v>12000</v>
      </c>
      <c r="CF28" s="76">
        <f t="shared" si="36"/>
        <v>4.5827303922529247E-2</v>
      </c>
      <c r="CG28" s="76">
        <f t="shared" si="37"/>
        <v>1.4274619334889377E-2</v>
      </c>
      <c r="CH28" s="76">
        <f t="shared" si="38"/>
        <v>2.0042225644188609E-2</v>
      </c>
      <c r="CI28" s="76">
        <f t="shared" si="39"/>
        <v>1.0561568062808325E-2</v>
      </c>
      <c r="CJ28" s="76">
        <f t="shared" si="40"/>
        <v>0.10128378747732203</v>
      </c>
      <c r="CK28" s="63">
        <f t="shared" si="41"/>
        <v>1591.1000000000001</v>
      </c>
      <c r="CL28" s="77">
        <f t="shared" si="42"/>
        <v>7159.95</v>
      </c>
    </row>
    <row r="29" spans="1:90" ht="18.75" customHeight="1" x14ac:dyDescent="0.35">
      <c r="A29" s="50">
        <f t="shared" si="0"/>
        <v>22</v>
      </c>
      <c r="B29" s="58">
        <v>7</v>
      </c>
      <c r="C29" s="52" t="s">
        <v>103</v>
      </c>
      <c r="D29" s="52"/>
      <c r="E29" s="52"/>
      <c r="F29" s="53"/>
      <c r="G29" s="54">
        <v>40</v>
      </c>
      <c r="H29" s="55">
        <f t="shared" si="1"/>
        <v>0</v>
      </c>
      <c r="I29" s="53">
        <v>25531</v>
      </c>
      <c r="J29" s="56">
        <v>50</v>
      </c>
      <c r="K29" s="55">
        <f t="shared" si="2"/>
        <v>1276550</v>
      </c>
      <c r="L29" s="53"/>
      <c r="M29" s="57">
        <v>60</v>
      </c>
      <c r="N29" s="55">
        <f t="shared" si="3"/>
        <v>0</v>
      </c>
      <c r="O29" s="53">
        <v>7925</v>
      </c>
      <c r="P29" s="57">
        <v>12</v>
      </c>
      <c r="Q29" s="55">
        <f t="shared" si="4"/>
        <v>95100</v>
      </c>
      <c r="R29" s="53">
        <v>1130</v>
      </c>
      <c r="S29" s="59">
        <v>12</v>
      </c>
      <c r="T29" s="55">
        <f t="shared" si="5"/>
        <v>13560</v>
      </c>
      <c r="U29" s="53">
        <v>1110</v>
      </c>
      <c r="V29" s="57">
        <v>8</v>
      </c>
      <c r="W29" s="55">
        <f t="shared" si="6"/>
        <v>8880</v>
      </c>
      <c r="X29" s="53">
        <v>627</v>
      </c>
      <c r="Y29" s="57">
        <v>12</v>
      </c>
      <c r="Z29" s="55">
        <f t="shared" si="7"/>
        <v>7524</v>
      </c>
      <c r="AA29" s="53">
        <v>1446</v>
      </c>
      <c r="AB29" s="57">
        <v>10</v>
      </c>
      <c r="AC29" s="55">
        <f t="shared" si="8"/>
        <v>14460</v>
      </c>
      <c r="AD29" s="53">
        <v>391</v>
      </c>
      <c r="AE29" s="57">
        <v>25</v>
      </c>
      <c r="AF29" s="55">
        <f t="shared" si="9"/>
        <v>9775</v>
      </c>
      <c r="AG29" s="53">
        <v>229</v>
      </c>
      <c r="AH29" s="57">
        <v>7.5</v>
      </c>
      <c r="AI29" s="55">
        <f t="shared" si="10"/>
        <v>1717.5</v>
      </c>
      <c r="AJ29" s="53"/>
      <c r="AK29" s="56">
        <v>15</v>
      </c>
      <c r="AL29" s="55">
        <f t="shared" si="11"/>
        <v>0</v>
      </c>
      <c r="AM29" s="53">
        <v>363</v>
      </c>
      <c r="AN29" s="57">
        <v>10</v>
      </c>
      <c r="AO29" s="55">
        <f t="shared" si="12"/>
        <v>3630</v>
      </c>
      <c r="AP29" s="53">
        <f t="shared" si="13"/>
        <v>5296</v>
      </c>
      <c r="AQ29" s="53"/>
      <c r="AR29" s="61"/>
      <c r="AS29" s="53"/>
      <c r="AT29" s="53"/>
      <c r="AU29" s="55"/>
      <c r="AV29" s="53"/>
      <c r="AW29" s="53"/>
      <c r="AX29" s="66">
        <f>859+2314+821+184+196</f>
        <v>4374</v>
      </c>
      <c r="AY29" s="53"/>
      <c r="AZ29" s="68">
        <f t="shared" si="14"/>
        <v>0.31040695624926562</v>
      </c>
      <c r="BA29" s="68">
        <f t="shared" si="15"/>
        <v>0.20743409972190671</v>
      </c>
      <c r="BB29" s="68">
        <f t="shared" si="16"/>
        <v>0.55192429022082024</v>
      </c>
      <c r="BC29" s="55">
        <f t="shared" si="17"/>
        <v>1330749</v>
      </c>
      <c r="BD29" s="55">
        <f t="shared" si="18"/>
        <v>1299885</v>
      </c>
      <c r="BE29" s="55">
        <f t="shared" si="19"/>
        <v>1330749</v>
      </c>
      <c r="BF29" s="55">
        <f t="shared" si="20"/>
        <v>1332466.5</v>
      </c>
      <c r="BG29" s="62">
        <v>1516419.5</v>
      </c>
      <c r="BH29" s="63">
        <v>1024197.55</v>
      </c>
      <c r="BI29" s="69">
        <f t="shared" si="21"/>
        <v>67.540515668652375</v>
      </c>
      <c r="BJ29" s="70">
        <f t="shared" si="22"/>
        <v>112681</v>
      </c>
      <c r="BK29" s="71">
        <f t="shared" si="23"/>
        <v>7.4307274471213283E-2</v>
      </c>
      <c r="BL29" s="72">
        <f t="shared" si="24"/>
        <v>7</v>
      </c>
      <c r="BM29" s="61">
        <f t="shared" si="25"/>
        <v>88200</v>
      </c>
      <c r="BN29" s="69">
        <f t="shared" si="26"/>
        <v>3.8312752834467116</v>
      </c>
      <c r="BO29" s="73">
        <f t="shared" si="27"/>
        <v>68.75</v>
      </c>
      <c r="BP29" s="69">
        <f t="shared" si="28"/>
        <v>4915.1778909090908</v>
      </c>
      <c r="BQ29" s="61">
        <f t="shared" si="29"/>
        <v>20000</v>
      </c>
      <c r="BR29" s="69">
        <f t="shared" si="30"/>
        <v>16.895924000000001</v>
      </c>
      <c r="BS29" s="64">
        <f t="shared" si="31"/>
        <v>116968.72999999998</v>
      </c>
      <c r="BT29" s="69">
        <f t="shared" si="32"/>
        <v>2.8889642556604662</v>
      </c>
      <c r="BU29" s="65">
        <v>337918.48</v>
      </c>
      <c r="BV29" s="74">
        <f t="shared" si="33"/>
        <v>22.283970893278543</v>
      </c>
      <c r="BW29" s="75">
        <f t="shared" si="43"/>
        <v>154303.46999999997</v>
      </c>
      <c r="BX29" s="69">
        <f t="shared" si="35"/>
        <v>10.175513438069082</v>
      </c>
      <c r="BY29" s="55">
        <v>48876</v>
      </c>
      <c r="BZ29" s="55">
        <v>24220</v>
      </c>
      <c r="CA29" s="55">
        <v>33185</v>
      </c>
      <c r="CB29" s="55">
        <v>6400</v>
      </c>
      <c r="CC29" s="64">
        <v>88200</v>
      </c>
      <c r="CD29" s="64">
        <v>68.75</v>
      </c>
      <c r="CE29" s="64">
        <v>20000</v>
      </c>
      <c r="CF29" s="76">
        <f t="shared" si="36"/>
        <v>3.2231186686797419E-2</v>
      </c>
      <c r="CG29" s="76">
        <f t="shared" si="37"/>
        <v>1.5971833651572009E-2</v>
      </c>
      <c r="CH29" s="76">
        <f t="shared" si="38"/>
        <v>2.1883786115913177E-2</v>
      </c>
      <c r="CI29" s="76">
        <f t="shared" si="39"/>
        <v>4.2204680169306711E-3</v>
      </c>
      <c r="CJ29" s="76">
        <f t="shared" si="40"/>
        <v>5.8163324858325816E-2</v>
      </c>
      <c r="CK29" s="63">
        <f t="shared" si="41"/>
        <v>30860.693999999996</v>
      </c>
      <c r="CL29" s="77">
        <f t="shared" si="42"/>
        <v>138873.12299999999</v>
      </c>
    </row>
    <row r="30" spans="1:90" ht="18.75" customHeight="1" x14ac:dyDescent="0.35">
      <c r="A30" s="50">
        <f t="shared" si="0"/>
        <v>23</v>
      </c>
      <c r="B30" s="58">
        <v>2</v>
      </c>
      <c r="C30" s="52" t="s">
        <v>217</v>
      </c>
      <c r="D30" s="52"/>
      <c r="E30" s="52"/>
      <c r="F30" s="53"/>
      <c r="G30" s="54">
        <v>40</v>
      </c>
      <c r="H30" s="55">
        <f t="shared" si="1"/>
        <v>0</v>
      </c>
      <c r="I30" s="53">
        <v>6484</v>
      </c>
      <c r="J30" s="56">
        <v>50</v>
      </c>
      <c r="K30" s="55">
        <f t="shared" si="2"/>
        <v>324200</v>
      </c>
      <c r="L30" s="53"/>
      <c r="M30" s="57">
        <v>60</v>
      </c>
      <c r="N30" s="55">
        <f t="shared" si="3"/>
        <v>0</v>
      </c>
      <c r="O30" s="53">
        <v>2678</v>
      </c>
      <c r="P30" s="57">
        <v>12</v>
      </c>
      <c r="Q30" s="55">
        <f t="shared" si="4"/>
        <v>32136</v>
      </c>
      <c r="R30" s="53">
        <v>2780</v>
      </c>
      <c r="S30" s="59">
        <v>12</v>
      </c>
      <c r="T30" s="55">
        <f t="shared" si="5"/>
        <v>33360</v>
      </c>
      <c r="U30" s="53">
        <v>321</v>
      </c>
      <c r="V30" s="57">
        <v>8</v>
      </c>
      <c r="W30" s="55">
        <f t="shared" si="6"/>
        <v>2568</v>
      </c>
      <c r="X30" s="53">
        <v>261</v>
      </c>
      <c r="Y30" s="57">
        <v>12</v>
      </c>
      <c r="Z30" s="55">
        <f t="shared" si="7"/>
        <v>3132</v>
      </c>
      <c r="AA30" s="53">
        <v>380</v>
      </c>
      <c r="AB30" s="57">
        <v>10</v>
      </c>
      <c r="AC30" s="55">
        <f t="shared" si="8"/>
        <v>3800</v>
      </c>
      <c r="AD30" s="53">
        <v>11</v>
      </c>
      <c r="AE30" s="57">
        <v>25</v>
      </c>
      <c r="AF30" s="55">
        <f t="shared" si="9"/>
        <v>275</v>
      </c>
      <c r="AG30" s="53">
        <v>113</v>
      </c>
      <c r="AH30" s="57">
        <v>7.5</v>
      </c>
      <c r="AI30" s="55">
        <f t="shared" si="10"/>
        <v>847.5</v>
      </c>
      <c r="AJ30" s="53"/>
      <c r="AK30" s="56">
        <v>15</v>
      </c>
      <c r="AL30" s="55">
        <f t="shared" si="11"/>
        <v>0</v>
      </c>
      <c r="AM30" s="53"/>
      <c r="AN30" s="57">
        <v>10</v>
      </c>
      <c r="AO30" s="55">
        <f t="shared" si="12"/>
        <v>0</v>
      </c>
      <c r="AP30" s="53">
        <f t="shared" si="13"/>
        <v>3866</v>
      </c>
      <c r="AQ30" s="53"/>
      <c r="AR30" s="61"/>
      <c r="AS30" s="53"/>
      <c r="AT30" s="53"/>
      <c r="AU30" s="55"/>
      <c r="AV30" s="53"/>
      <c r="AW30" s="53"/>
      <c r="AX30" s="66">
        <f>397+471+32+30+41</f>
        <v>971</v>
      </c>
      <c r="AY30" s="53"/>
      <c r="AZ30" s="68">
        <f t="shared" si="14"/>
        <v>0.41301665638494756</v>
      </c>
      <c r="BA30" s="68">
        <f t="shared" si="15"/>
        <v>0.59623689080814313</v>
      </c>
      <c r="BB30" s="68">
        <f t="shared" si="16"/>
        <v>0.36258401792382378</v>
      </c>
      <c r="BC30" s="55">
        <f t="shared" si="17"/>
        <v>367335</v>
      </c>
      <c r="BD30" s="55">
        <f t="shared" si="18"/>
        <v>357835</v>
      </c>
      <c r="BE30" s="55">
        <f t="shared" si="19"/>
        <v>367335</v>
      </c>
      <c r="BF30" s="55">
        <f t="shared" si="20"/>
        <v>368182.5</v>
      </c>
      <c r="BG30" s="62">
        <v>419809.5</v>
      </c>
      <c r="BH30" s="63">
        <v>278503.40000000002</v>
      </c>
      <c r="BI30" s="69">
        <f t="shared" si="21"/>
        <v>66.340423453971383</v>
      </c>
      <c r="BJ30" s="70">
        <f t="shared" si="22"/>
        <v>47986</v>
      </c>
      <c r="BK30" s="71">
        <f t="shared" si="23"/>
        <v>0.11430422608349738</v>
      </c>
      <c r="BL30" s="72">
        <f t="shared" si="24"/>
        <v>2</v>
      </c>
      <c r="BM30" s="61">
        <f t="shared" si="25"/>
        <v>34800</v>
      </c>
      <c r="BN30" s="69">
        <f t="shared" si="26"/>
        <v>4.0448951149425287</v>
      </c>
      <c r="BO30" s="73">
        <f t="shared" si="27"/>
        <v>0</v>
      </c>
      <c r="BP30" s="69" t="e">
        <f t="shared" si="28"/>
        <v>#DIV/0!</v>
      </c>
      <c r="BQ30" s="61">
        <f t="shared" si="29"/>
        <v>14000</v>
      </c>
      <c r="BR30" s="69">
        <f t="shared" si="30"/>
        <v>10.054453571428573</v>
      </c>
      <c r="BS30" s="64">
        <f t="shared" si="31"/>
        <v>43976.350000000006</v>
      </c>
      <c r="BT30" s="69">
        <f t="shared" si="32"/>
        <v>3.200864783002682</v>
      </c>
      <c r="BU30" s="65">
        <v>140762.35</v>
      </c>
      <c r="BV30" s="74">
        <f t="shared" si="33"/>
        <v>33.530053512366919</v>
      </c>
      <c r="BW30" s="75">
        <f t="shared" si="43"/>
        <v>543.7499999999709</v>
      </c>
      <c r="BX30" s="69">
        <f t="shared" si="35"/>
        <v>0.1295230336616896</v>
      </c>
      <c r="BY30" s="55">
        <v>24438</v>
      </c>
      <c r="BZ30" s="55">
        <v>10380</v>
      </c>
      <c r="CA30" s="55">
        <v>9648</v>
      </c>
      <c r="CB30" s="55">
        <v>3520</v>
      </c>
      <c r="CC30" s="64">
        <v>34800</v>
      </c>
      <c r="CD30" s="64"/>
      <c r="CE30" s="64">
        <v>14000</v>
      </c>
      <c r="CF30" s="76">
        <f t="shared" si="36"/>
        <v>5.8212117639072004E-2</v>
      </c>
      <c r="CG30" s="76">
        <f t="shared" si="37"/>
        <v>2.4725500494867315E-2</v>
      </c>
      <c r="CH30" s="76">
        <f t="shared" si="38"/>
        <v>2.2981852483090544E-2</v>
      </c>
      <c r="CI30" s="76">
        <f t="shared" si="39"/>
        <v>8.3847554664675285E-3</v>
      </c>
      <c r="CJ30" s="76">
        <f t="shared" si="40"/>
        <v>8.2894741543485792E-2</v>
      </c>
      <c r="CK30" s="63">
        <f t="shared" si="41"/>
        <v>108.74999999999419</v>
      </c>
      <c r="CL30" s="77">
        <f t="shared" si="42"/>
        <v>489.3749999999738</v>
      </c>
    </row>
    <row r="31" spans="1:90" ht="18.75" customHeight="1" x14ac:dyDescent="0.35">
      <c r="A31" s="50">
        <f t="shared" si="0"/>
        <v>24</v>
      </c>
      <c r="B31" s="58">
        <v>5</v>
      </c>
      <c r="C31" s="52" t="s">
        <v>211</v>
      </c>
      <c r="D31" s="52"/>
      <c r="E31" s="52"/>
      <c r="F31" s="53"/>
      <c r="G31" s="54">
        <v>40</v>
      </c>
      <c r="H31" s="55">
        <f t="shared" si="1"/>
        <v>0</v>
      </c>
      <c r="I31" s="53">
        <v>8808</v>
      </c>
      <c r="J31" s="56">
        <v>50</v>
      </c>
      <c r="K31" s="55">
        <f t="shared" si="2"/>
        <v>440400</v>
      </c>
      <c r="L31" s="53"/>
      <c r="M31" s="57">
        <v>60</v>
      </c>
      <c r="N31" s="55">
        <f t="shared" si="3"/>
        <v>0</v>
      </c>
      <c r="O31" s="53">
        <v>3597</v>
      </c>
      <c r="P31" s="57">
        <v>12</v>
      </c>
      <c r="Q31" s="55">
        <f t="shared" si="4"/>
        <v>43164</v>
      </c>
      <c r="R31" s="53">
        <v>4070</v>
      </c>
      <c r="S31" s="59">
        <v>12</v>
      </c>
      <c r="T31" s="55">
        <f t="shared" si="5"/>
        <v>48840</v>
      </c>
      <c r="U31" s="53">
        <v>436</v>
      </c>
      <c r="V31" s="57">
        <v>8</v>
      </c>
      <c r="W31" s="55">
        <f t="shared" si="6"/>
        <v>3488</v>
      </c>
      <c r="X31" s="53">
        <v>536</v>
      </c>
      <c r="Y31" s="57">
        <v>12</v>
      </c>
      <c r="Z31" s="55">
        <f t="shared" si="7"/>
        <v>6432</v>
      </c>
      <c r="AA31" s="53">
        <v>669</v>
      </c>
      <c r="AB31" s="57">
        <v>10</v>
      </c>
      <c r="AC31" s="55">
        <f t="shared" si="8"/>
        <v>6690</v>
      </c>
      <c r="AD31" s="53">
        <v>265</v>
      </c>
      <c r="AE31" s="57">
        <v>25</v>
      </c>
      <c r="AF31" s="55">
        <f t="shared" si="9"/>
        <v>6625</v>
      </c>
      <c r="AG31" s="53">
        <v>147</v>
      </c>
      <c r="AH31" s="57">
        <v>7.5</v>
      </c>
      <c r="AI31" s="55">
        <f t="shared" si="10"/>
        <v>1102.5</v>
      </c>
      <c r="AJ31" s="53"/>
      <c r="AK31" s="56">
        <v>15</v>
      </c>
      <c r="AL31" s="55">
        <f t="shared" si="11"/>
        <v>0</v>
      </c>
      <c r="AM31" s="53">
        <v>184</v>
      </c>
      <c r="AN31" s="57">
        <v>10</v>
      </c>
      <c r="AO31" s="55">
        <f t="shared" si="12"/>
        <v>1840</v>
      </c>
      <c r="AP31" s="53">
        <f t="shared" si="13"/>
        <v>6307</v>
      </c>
      <c r="AQ31" s="53"/>
      <c r="AR31" s="61"/>
      <c r="AS31" s="53"/>
      <c r="AT31" s="53"/>
      <c r="AU31" s="55"/>
      <c r="AV31" s="53"/>
      <c r="AW31" s="53"/>
      <c r="AX31" s="66">
        <f>227+651+65+60+81</f>
        <v>1084</v>
      </c>
      <c r="AY31" s="53"/>
      <c r="AZ31" s="68">
        <f t="shared" si="14"/>
        <v>0.40837874659400547</v>
      </c>
      <c r="BA31" s="68">
        <f t="shared" si="15"/>
        <v>0.71605358764759308</v>
      </c>
      <c r="BB31" s="68">
        <f t="shared" si="16"/>
        <v>0.30136224631637476</v>
      </c>
      <c r="BC31" s="55">
        <f t="shared" si="17"/>
        <v>512475</v>
      </c>
      <c r="BD31" s="55">
        <f t="shared" si="18"/>
        <v>495865</v>
      </c>
      <c r="BE31" s="55">
        <f t="shared" si="19"/>
        <v>512475</v>
      </c>
      <c r="BF31" s="55">
        <f t="shared" si="20"/>
        <v>513577.5</v>
      </c>
      <c r="BG31" s="62">
        <v>579899.5</v>
      </c>
      <c r="BH31" s="63">
        <v>388437.33</v>
      </c>
      <c r="BI31" s="69">
        <f t="shared" si="21"/>
        <v>66.983560082393595</v>
      </c>
      <c r="BJ31" s="70">
        <f t="shared" si="22"/>
        <v>51258</v>
      </c>
      <c r="BK31" s="71">
        <f t="shared" si="23"/>
        <v>8.8391178126554698E-2</v>
      </c>
      <c r="BL31" s="72">
        <f t="shared" si="24"/>
        <v>5</v>
      </c>
      <c r="BM31" s="61">
        <f t="shared" si="25"/>
        <v>57412.5</v>
      </c>
      <c r="BN31" s="69">
        <f t="shared" si="26"/>
        <v>3.2869476159372959</v>
      </c>
      <c r="BO31" s="73">
        <f t="shared" si="27"/>
        <v>275</v>
      </c>
      <c r="BP31" s="69">
        <f t="shared" si="28"/>
        <v>686.2250181818182</v>
      </c>
      <c r="BQ31" s="61">
        <f t="shared" si="29"/>
        <v>15000</v>
      </c>
      <c r="BR31" s="69">
        <f t="shared" si="30"/>
        <v>12.580792000000001</v>
      </c>
      <c r="BS31" s="64">
        <f t="shared" si="31"/>
        <v>64766.380000000005</v>
      </c>
      <c r="BT31" s="69">
        <f t="shared" si="32"/>
        <v>2.9137320937189943</v>
      </c>
      <c r="BU31" s="65">
        <v>188711.88</v>
      </c>
      <c r="BV31" s="74">
        <f t="shared" si="33"/>
        <v>32.542169807009664</v>
      </c>
      <c r="BW31" s="75">
        <f t="shared" si="43"/>
        <v>2750.289999999979</v>
      </c>
      <c r="BX31" s="69">
        <f t="shared" si="35"/>
        <v>0.47427011059674634</v>
      </c>
      <c r="BY31" s="55">
        <v>24442</v>
      </c>
      <c r="BZ31" s="55">
        <v>10380</v>
      </c>
      <c r="CA31" s="55">
        <v>9716</v>
      </c>
      <c r="CB31" s="55">
        <v>6720</v>
      </c>
      <c r="CC31" s="64">
        <v>57412.5</v>
      </c>
      <c r="CD31" s="64">
        <v>275</v>
      </c>
      <c r="CE31" s="64">
        <v>15000</v>
      </c>
      <c r="CF31" s="76">
        <f t="shared" si="36"/>
        <v>4.2148682659667751E-2</v>
      </c>
      <c r="CG31" s="76">
        <f t="shared" si="37"/>
        <v>1.789965330199457E-2</v>
      </c>
      <c r="CH31" s="76">
        <f t="shared" si="38"/>
        <v>1.6754627310421891E-2</v>
      </c>
      <c r="CI31" s="76">
        <f t="shared" si="39"/>
        <v>1.1588214854470473E-2</v>
      </c>
      <c r="CJ31" s="76">
        <f t="shared" si="40"/>
        <v>9.9004224007780653E-2</v>
      </c>
      <c r="CK31" s="63">
        <f t="shared" si="41"/>
        <v>550.05799999999579</v>
      </c>
      <c r="CL31" s="77">
        <f t="shared" si="42"/>
        <v>2475.2609999999813</v>
      </c>
    </row>
    <row r="32" spans="1:90" ht="18.75" customHeight="1" x14ac:dyDescent="0.35">
      <c r="A32" s="50">
        <f t="shared" si="0"/>
        <v>25</v>
      </c>
      <c r="B32" s="58">
        <v>6</v>
      </c>
      <c r="C32" s="52" t="s">
        <v>210</v>
      </c>
      <c r="D32" s="52"/>
      <c r="E32" s="52"/>
      <c r="F32" s="53"/>
      <c r="G32" s="54">
        <v>40</v>
      </c>
      <c r="H32" s="55">
        <f t="shared" si="1"/>
        <v>0</v>
      </c>
      <c r="I32" s="53">
        <v>10234</v>
      </c>
      <c r="J32" s="56">
        <v>50</v>
      </c>
      <c r="K32" s="55">
        <f t="shared" si="2"/>
        <v>511700</v>
      </c>
      <c r="L32" s="53"/>
      <c r="M32" s="57">
        <v>60</v>
      </c>
      <c r="N32" s="55">
        <f t="shared" si="3"/>
        <v>0</v>
      </c>
      <c r="O32" s="53">
        <v>6138</v>
      </c>
      <c r="P32" s="57">
        <v>12</v>
      </c>
      <c r="Q32" s="55">
        <f t="shared" si="4"/>
        <v>73656</v>
      </c>
      <c r="R32" s="53">
        <v>2260</v>
      </c>
      <c r="S32" s="59">
        <v>12</v>
      </c>
      <c r="T32" s="55">
        <f t="shared" si="5"/>
        <v>27120</v>
      </c>
      <c r="U32" s="53">
        <v>1010</v>
      </c>
      <c r="V32" s="57">
        <v>8</v>
      </c>
      <c r="W32" s="55">
        <f t="shared" si="6"/>
        <v>8080</v>
      </c>
      <c r="X32" s="53">
        <v>669</v>
      </c>
      <c r="Y32" s="57">
        <v>12</v>
      </c>
      <c r="Z32" s="55">
        <f t="shared" si="7"/>
        <v>8028</v>
      </c>
      <c r="AA32" s="53">
        <v>1261</v>
      </c>
      <c r="AB32" s="57">
        <v>10</v>
      </c>
      <c r="AC32" s="55">
        <f t="shared" si="8"/>
        <v>12610</v>
      </c>
      <c r="AD32" s="53">
        <v>298</v>
      </c>
      <c r="AE32" s="57">
        <v>25</v>
      </c>
      <c r="AF32" s="55">
        <f t="shared" si="9"/>
        <v>7450</v>
      </c>
      <c r="AG32" s="53">
        <v>205</v>
      </c>
      <c r="AH32" s="57">
        <v>7.5</v>
      </c>
      <c r="AI32" s="55">
        <f t="shared" si="10"/>
        <v>1537.5</v>
      </c>
      <c r="AJ32" s="53"/>
      <c r="AK32" s="56">
        <v>15</v>
      </c>
      <c r="AL32" s="55">
        <f t="shared" si="11"/>
        <v>0</v>
      </c>
      <c r="AM32" s="53">
        <v>129</v>
      </c>
      <c r="AN32" s="57">
        <v>10</v>
      </c>
      <c r="AO32" s="55">
        <f t="shared" si="12"/>
        <v>1290</v>
      </c>
      <c r="AP32" s="53">
        <f t="shared" si="13"/>
        <v>5832</v>
      </c>
      <c r="AQ32" s="53"/>
      <c r="AR32" s="61"/>
      <c r="AS32" s="53"/>
      <c r="AT32" s="53"/>
      <c r="AU32" s="55"/>
      <c r="AV32" s="53"/>
      <c r="AW32" s="53"/>
      <c r="AX32" s="66">
        <f>431+1588+316+36+323+156</f>
        <v>2850</v>
      </c>
      <c r="AY32" s="53"/>
      <c r="AZ32" s="68">
        <f t="shared" si="14"/>
        <v>0.59976548759038495</v>
      </c>
      <c r="BA32" s="68">
        <f t="shared" si="15"/>
        <v>0.56986515536447135</v>
      </c>
      <c r="BB32" s="68">
        <f t="shared" si="16"/>
        <v>0.46432062561094817</v>
      </c>
      <c r="BC32" s="55">
        <f t="shared" si="17"/>
        <v>574988</v>
      </c>
      <c r="BD32" s="55">
        <f t="shared" si="18"/>
        <v>546270</v>
      </c>
      <c r="BE32" s="55">
        <f t="shared" si="19"/>
        <v>574988</v>
      </c>
      <c r="BF32" s="55">
        <f t="shared" si="20"/>
        <v>576525.5</v>
      </c>
      <c r="BG32" s="62">
        <v>709058.5</v>
      </c>
      <c r="BH32" s="63">
        <v>469216.94</v>
      </c>
      <c r="BI32" s="69">
        <f t="shared" si="21"/>
        <v>66.174644264189766</v>
      </c>
      <c r="BJ32" s="70">
        <f t="shared" si="22"/>
        <v>64610</v>
      </c>
      <c r="BK32" s="71">
        <f t="shared" si="23"/>
        <v>9.1120831355945953E-2</v>
      </c>
      <c r="BL32" s="72">
        <f t="shared" si="24"/>
        <v>6</v>
      </c>
      <c r="BM32" s="61">
        <f t="shared" si="25"/>
        <v>84197.5</v>
      </c>
      <c r="BN32" s="69">
        <f t="shared" si="26"/>
        <v>2.4977641853974286</v>
      </c>
      <c r="BO32" s="73">
        <f t="shared" si="27"/>
        <v>0</v>
      </c>
      <c r="BP32" s="69" t="e">
        <f t="shared" si="28"/>
        <v>#DIV/0!</v>
      </c>
      <c r="BQ32" s="61">
        <f t="shared" si="29"/>
        <v>8997</v>
      </c>
      <c r="BR32" s="69">
        <f t="shared" si="30"/>
        <v>23.375069467600312</v>
      </c>
      <c r="BS32" s="64">
        <f t="shared" si="31"/>
        <v>52501</v>
      </c>
      <c r="BT32" s="69">
        <f t="shared" si="32"/>
        <v>4.0057427477571856</v>
      </c>
      <c r="BU32" s="65">
        <v>210305.5</v>
      </c>
      <c r="BV32" s="74">
        <f t="shared" si="33"/>
        <v>29.659823554756059</v>
      </c>
      <c r="BW32" s="75">
        <f t="shared" si="43"/>
        <v>29536.059999999998</v>
      </c>
      <c r="BX32" s="69">
        <f t="shared" si="35"/>
        <v>4.1655321810541723</v>
      </c>
      <c r="BY32" s="55">
        <v>31068</v>
      </c>
      <c r="BZ32" s="55">
        <v>13840</v>
      </c>
      <c r="CA32" s="55">
        <v>13942</v>
      </c>
      <c r="CB32" s="55">
        <v>5760</v>
      </c>
      <c r="CC32" s="64">
        <v>84197.5</v>
      </c>
      <c r="CD32" s="64"/>
      <c r="CE32" s="64">
        <v>8997</v>
      </c>
      <c r="CF32" s="76">
        <f t="shared" si="36"/>
        <v>4.3815848762831275E-2</v>
      </c>
      <c r="CG32" s="76">
        <f t="shared" si="37"/>
        <v>1.9518840829071227E-2</v>
      </c>
      <c r="CH32" s="76">
        <f t="shared" si="38"/>
        <v>1.9662693557724785E-2</v>
      </c>
      <c r="CI32" s="76">
        <f t="shared" si="39"/>
        <v>8.1234482063186602E-3</v>
      </c>
      <c r="CJ32" s="76">
        <f t="shared" si="40"/>
        <v>0.11874549138047143</v>
      </c>
      <c r="CK32" s="63">
        <f t="shared" si="41"/>
        <v>5907.2119999999995</v>
      </c>
      <c r="CL32" s="77">
        <f t="shared" si="42"/>
        <v>26582.453999999998</v>
      </c>
    </row>
    <row r="33" spans="1:91" ht="18.75" customHeight="1" x14ac:dyDescent="0.35">
      <c r="A33" s="50">
        <f t="shared" si="0"/>
        <v>26</v>
      </c>
      <c r="B33" s="58">
        <v>4</v>
      </c>
      <c r="C33" s="52" t="s">
        <v>216</v>
      </c>
      <c r="D33" s="52"/>
      <c r="E33" s="52"/>
      <c r="F33" s="53"/>
      <c r="G33" s="54">
        <v>40</v>
      </c>
      <c r="H33" s="55">
        <f t="shared" si="1"/>
        <v>0</v>
      </c>
      <c r="I33" s="53">
        <v>8920</v>
      </c>
      <c r="J33" s="56">
        <v>50</v>
      </c>
      <c r="K33" s="55">
        <f t="shared" si="2"/>
        <v>446000</v>
      </c>
      <c r="L33" s="53"/>
      <c r="M33" s="57">
        <v>60</v>
      </c>
      <c r="N33" s="55">
        <f t="shared" si="3"/>
        <v>0</v>
      </c>
      <c r="O33" s="53">
        <v>2858</v>
      </c>
      <c r="P33" s="57">
        <v>12</v>
      </c>
      <c r="Q33" s="55">
        <f t="shared" si="4"/>
        <v>34296</v>
      </c>
      <c r="R33" s="53">
        <v>2180</v>
      </c>
      <c r="S33" s="59">
        <v>12</v>
      </c>
      <c r="T33" s="55">
        <f t="shared" si="5"/>
        <v>26160</v>
      </c>
      <c r="U33" s="53">
        <v>404</v>
      </c>
      <c r="V33" s="57">
        <v>8</v>
      </c>
      <c r="W33" s="55">
        <f t="shared" si="6"/>
        <v>3232</v>
      </c>
      <c r="X33" s="53">
        <v>562</v>
      </c>
      <c r="Y33" s="57">
        <v>12</v>
      </c>
      <c r="Z33" s="55">
        <f t="shared" si="7"/>
        <v>6744</v>
      </c>
      <c r="AA33" s="53">
        <v>760</v>
      </c>
      <c r="AB33" s="57">
        <v>10</v>
      </c>
      <c r="AC33" s="55">
        <f t="shared" si="8"/>
        <v>7600</v>
      </c>
      <c r="AD33" s="53">
        <v>182</v>
      </c>
      <c r="AE33" s="57">
        <v>25</v>
      </c>
      <c r="AF33" s="55">
        <f t="shared" si="9"/>
        <v>4550</v>
      </c>
      <c r="AG33" s="53">
        <v>186</v>
      </c>
      <c r="AH33" s="57">
        <v>7.5</v>
      </c>
      <c r="AI33" s="55">
        <f t="shared" si="10"/>
        <v>1395</v>
      </c>
      <c r="AJ33" s="53"/>
      <c r="AK33" s="56">
        <v>15</v>
      </c>
      <c r="AL33" s="55">
        <f t="shared" si="11"/>
        <v>0</v>
      </c>
      <c r="AM33" s="53">
        <v>127</v>
      </c>
      <c r="AN33" s="57">
        <v>10</v>
      </c>
      <c r="AO33" s="55">
        <f t="shared" si="12"/>
        <v>1270</v>
      </c>
      <c r="AP33" s="53">
        <f t="shared" si="13"/>
        <v>4401</v>
      </c>
      <c r="AQ33" s="53"/>
      <c r="AR33" s="61"/>
      <c r="AS33" s="53"/>
      <c r="AT33" s="53"/>
      <c r="AU33" s="55"/>
      <c r="AV33" s="53"/>
      <c r="AW33" s="53"/>
      <c r="AX33" s="66">
        <f>144+432+89+243+65+48</f>
        <v>1021</v>
      </c>
      <c r="AY33" s="53"/>
      <c r="AZ33" s="68">
        <f t="shared" si="14"/>
        <v>0.3204035874439462</v>
      </c>
      <c r="BA33" s="68">
        <f t="shared" si="15"/>
        <v>0.49338565022421527</v>
      </c>
      <c r="BB33" s="68">
        <f t="shared" si="16"/>
        <v>0.35724282715185446</v>
      </c>
      <c r="BC33" s="55">
        <f t="shared" si="17"/>
        <v>494286</v>
      </c>
      <c r="BD33" s="55">
        <f t="shared" si="18"/>
        <v>476710</v>
      </c>
      <c r="BE33" s="55">
        <f t="shared" si="19"/>
        <v>494286</v>
      </c>
      <c r="BF33" s="55">
        <f t="shared" si="20"/>
        <v>495681</v>
      </c>
      <c r="BG33" s="62">
        <v>550893</v>
      </c>
      <c r="BH33" s="63">
        <v>373138.57</v>
      </c>
      <c r="BI33" s="69">
        <f t="shared" si="21"/>
        <v>67.73340194919885</v>
      </c>
      <c r="BJ33" s="70">
        <f t="shared" si="22"/>
        <v>52548</v>
      </c>
      <c r="BK33" s="71">
        <f t="shared" si="23"/>
        <v>9.5386944470160259E-2</v>
      </c>
      <c r="BL33" s="72">
        <f t="shared" si="24"/>
        <v>4</v>
      </c>
      <c r="BM33" s="61">
        <f t="shared" si="25"/>
        <v>49375</v>
      </c>
      <c r="BN33" s="69">
        <f t="shared" si="26"/>
        <v>3.5341618227848097</v>
      </c>
      <c r="BO33" s="73">
        <f t="shared" si="27"/>
        <v>0</v>
      </c>
      <c r="BP33" s="69" t="e">
        <f t="shared" si="28"/>
        <v>#DIV/0!</v>
      </c>
      <c r="BQ33" s="61">
        <f t="shared" si="29"/>
        <v>30000</v>
      </c>
      <c r="BR33" s="69">
        <f t="shared" si="30"/>
        <v>5.8166413333333331</v>
      </c>
      <c r="BS33" s="64">
        <f t="shared" si="31"/>
        <v>42576.239999999991</v>
      </c>
      <c r="BT33" s="69">
        <f t="shared" si="32"/>
        <v>4.0985122218401635</v>
      </c>
      <c r="BU33" s="65">
        <v>174499.24</v>
      </c>
      <c r="BV33" s="74">
        <f t="shared" si="33"/>
        <v>31.675704719428271</v>
      </c>
      <c r="BW33" s="75">
        <f t="shared" si="43"/>
        <v>3255.1900000000023</v>
      </c>
      <c r="BX33" s="69">
        <f t="shared" si="35"/>
        <v>0.59089333137288047</v>
      </c>
      <c r="BY33" s="55">
        <v>29568</v>
      </c>
      <c r="BZ33" s="55">
        <v>10380</v>
      </c>
      <c r="CA33" s="55">
        <v>8440</v>
      </c>
      <c r="CB33" s="55">
        <v>4160</v>
      </c>
      <c r="CC33" s="64">
        <v>49375</v>
      </c>
      <c r="CD33" s="64">
        <v>0</v>
      </c>
      <c r="CE33" s="64">
        <v>30000</v>
      </c>
      <c r="CF33" s="76">
        <f t="shared" si="36"/>
        <v>5.3672854801204588E-2</v>
      </c>
      <c r="CG33" s="76">
        <f t="shared" si="37"/>
        <v>1.8842134497987814E-2</v>
      </c>
      <c r="CH33" s="76">
        <f t="shared" si="38"/>
        <v>1.5320579495473713E-2</v>
      </c>
      <c r="CI33" s="76">
        <f t="shared" si="39"/>
        <v>7.5513756754941519E-3</v>
      </c>
      <c r="CJ33" s="76">
        <f t="shared" si="40"/>
        <v>8.9627205283058592E-2</v>
      </c>
      <c r="CK33" s="63">
        <f t="shared" si="41"/>
        <v>651.03800000000047</v>
      </c>
      <c r="CL33" s="77">
        <f t="shared" si="42"/>
        <v>2929.6710000000021</v>
      </c>
    </row>
    <row r="34" spans="1:91" ht="18.75" customHeight="1" x14ac:dyDescent="0.35">
      <c r="A34" s="50">
        <f t="shared" si="0"/>
        <v>27</v>
      </c>
      <c r="B34" s="58">
        <v>4</v>
      </c>
      <c r="C34" s="52" t="s">
        <v>214</v>
      </c>
      <c r="D34" s="52"/>
      <c r="E34" s="52"/>
      <c r="F34" s="53"/>
      <c r="G34" s="54">
        <v>40</v>
      </c>
      <c r="H34" s="55">
        <f t="shared" si="1"/>
        <v>0</v>
      </c>
      <c r="I34" s="53">
        <v>8064</v>
      </c>
      <c r="J34" s="56">
        <v>50</v>
      </c>
      <c r="K34" s="55">
        <f t="shared" si="2"/>
        <v>403200</v>
      </c>
      <c r="L34" s="53"/>
      <c r="M34" s="57">
        <v>60</v>
      </c>
      <c r="N34" s="55">
        <f t="shared" si="3"/>
        <v>0</v>
      </c>
      <c r="O34" s="53">
        <v>3443</v>
      </c>
      <c r="P34" s="57">
        <v>12</v>
      </c>
      <c r="Q34" s="55">
        <f t="shared" si="4"/>
        <v>41316</v>
      </c>
      <c r="R34" s="53">
        <v>2040</v>
      </c>
      <c r="S34" s="59">
        <v>12</v>
      </c>
      <c r="T34" s="55">
        <f t="shared" si="5"/>
        <v>24480</v>
      </c>
      <c r="U34" s="53">
        <v>602</v>
      </c>
      <c r="V34" s="57">
        <v>8</v>
      </c>
      <c r="W34" s="55">
        <f t="shared" si="6"/>
        <v>4816</v>
      </c>
      <c r="X34" s="53">
        <v>707</v>
      </c>
      <c r="Y34" s="57">
        <v>12</v>
      </c>
      <c r="Z34" s="55">
        <f t="shared" si="7"/>
        <v>8484</v>
      </c>
      <c r="AA34" s="53">
        <v>985</v>
      </c>
      <c r="AB34" s="57">
        <v>10</v>
      </c>
      <c r="AC34" s="55">
        <f t="shared" si="8"/>
        <v>9850</v>
      </c>
      <c r="AD34" s="53">
        <v>135</v>
      </c>
      <c r="AE34" s="57">
        <v>25</v>
      </c>
      <c r="AF34" s="55">
        <f t="shared" si="9"/>
        <v>3375</v>
      </c>
      <c r="AG34" s="53">
        <v>268</v>
      </c>
      <c r="AH34" s="57">
        <v>7.5</v>
      </c>
      <c r="AI34" s="55">
        <f t="shared" si="10"/>
        <v>2010</v>
      </c>
      <c r="AJ34" s="53"/>
      <c r="AK34" s="56">
        <v>15</v>
      </c>
      <c r="AL34" s="55">
        <f t="shared" si="11"/>
        <v>0</v>
      </c>
      <c r="AM34" s="53">
        <v>145</v>
      </c>
      <c r="AN34" s="57">
        <v>10</v>
      </c>
      <c r="AO34" s="55">
        <f t="shared" si="12"/>
        <v>1450</v>
      </c>
      <c r="AP34" s="53">
        <f t="shared" si="13"/>
        <v>4882</v>
      </c>
      <c r="AQ34" s="53"/>
      <c r="AR34" s="61"/>
      <c r="AS34" s="53"/>
      <c r="AT34" s="53"/>
      <c r="AU34" s="55"/>
      <c r="AV34" s="53"/>
      <c r="AW34" s="53"/>
      <c r="AX34" s="66">
        <v>1639</v>
      </c>
      <c r="AY34" s="53"/>
      <c r="AZ34" s="68">
        <f t="shared" si="14"/>
        <v>0.42695932539682541</v>
      </c>
      <c r="BA34" s="68">
        <f t="shared" si="15"/>
        <v>0.60540674603174605</v>
      </c>
      <c r="BB34" s="68">
        <f t="shared" si="16"/>
        <v>0.47603833865814699</v>
      </c>
      <c r="BC34" s="55">
        <f t="shared" si="17"/>
        <v>454205</v>
      </c>
      <c r="BD34" s="55">
        <f t="shared" si="18"/>
        <v>431055</v>
      </c>
      <c r="BE34" s="55">
        <f t="shared" si="19"/>
        <v>454205</v>
      </c>
      <c r="BF34" s="55">
        <f t="shared" si="20"/>
        <v>456215</v>
      </c>
      <c r="BG34" s="62">
        <v>709058.5</v>
      </c>
      <c r="BH34" s="63">
        <v>469216.94</v>
      </c>
      <c r="BI34" s="69">
        <f t="shared" si="21"/>
        <v>66.174644264189766</v>
      </c>
      <c r="BJ34" s="70">
        <f t="shared" si="22"/>
        <v>57452</v>
      </c>
      <c r="BK34" s="71">
        <f t="shared" si="23"/>
        <v>8.1025754574552022E-2</v>
      </c>
      <c r="BL34" s="72">
        <f t="shared" si="24"/>
        <v>4</v>
      </c>
      <c r="BM34" s="61">
        <f t="shared" si="25"/>
        <v>55482.5</v>
      </c>
      <c r="BN34" s="69">
        <f t="shared" si="26"/>
        <v>3.7904834857838057</v>
      </c>
      <c r="BO34" s="73">
        <f t="shared" si="27"/>
        <v>275</v>
      </c>
      <c r="BP34" s="69">
        <f t="shared" si="28"/>
        <v>764.74727272727273</v>
      </c>
      <c r="BQ34" s="61">
        <f t="shared" si="29"/>
        <v>21000</v>
      </c>
      <c r="BR34" s="69">
        <f t="shared" si="30"/>
        <v>10.014547619047619</v>
      </c>
      <c r="BS34" s="64">
        <f t="shared" si="31"/>
        <v>76096</v>
      </c>
      <c r="BT34" s="69">
        <f t="shared" si="32"/>
        <v>2.763686658957107</v>
      </c>
      <c r="BU34" s="65">
        <v>210305.5</v>
      </c>
      <c r="BV34" s="74">
        <f t="shared" si="33"/>
        <v>29.659823554756059</v>
      </c>
      <c r="BW34" s="75">
        <f t="shared" si="43"/>
        <v>29536.059999999998</v>
      </c>
      <c r="BX34" s="69">
        <f t="shared" si="35"/>
        <v>4.1655321810541723</v>
      </c>
      <c r="BY34" s="55">
        <v>29568</v>
      </c>
      <c r="BZ34" s="55">
        <v>10380</v>
      </c>
      <c r="CA34" s="55">
        <v>11104</v>
      </c>
      <c r="CB34" s="55">
        <v>6400</v>
      </c>
      <c r="CC34" s="55">
        <v>55482.5</v>
      </c>
      <c r="CD34" s="64">
        <v>275</v>
      </c>
      <c r="CE34" s="64">
        <v>21000</v>
      </c>
      <c r="CF34" s="76">
        <f t="shared" si="36"/>
        <v>4.170036745910246E-2</v>
      </c>
      <c r="CG34" s="76">
        <f t="shared" si="37"/>
        <v>1.463913062180342E-2</v>
      </c>
      <c r="CH34" s="76">
        <f t="shared" si="38"/>
        <v>1.5660202931069862E-2</v>
      </c>
      <c r="CI34" s="76">
        <f t="shared" si="39"/>
        <v>9.0260535625762903E-3</v>
      </c>
      <c r="CJ34" s="76">
        <f t="shared" si="40"/>
        <v>7.8248127622756097E-2</v>
      </c>
      <c r="CK34" s="63">
        <f t="shared" si="41"/>
        <v>5907.2119999999995</v>
      </c>
      <c r="CL34" s="77">
        <f t="shared" si="42"/>
        <v>26582.453999999998</v>
      </c>
    </row>
    <row r="35" spans="1:91" ht="18.75" customHeight="1" x14ac:dyDescent="0.35">
      <c r="A35" s="50">
        <f t="shared" si="0"/>
        <v>28</v>
      </c>
      <c r="B35" s="58">
        <v>2</v>
      </c>
      <c r="C35" s="52" t="s">
        <v>218</v>
      </c>
      <c r="D35" s="52"/>
      <c r="E35" s="52"/>
      <c r="F35" s="53"/>
      <c r="G35" s="54">
        <v>40</v>
      </c>
      <c r="H35" s="55">
        <f t="shared" si="1"/>
        <v>0</v>
      </c>
      <c r="I35" s="53">
        <v>3578</v>
      </c>
      <c r="J35" s="56">
        <v>50</v>
      </c>
      <c r="K35" s="55">
        <f t="shared" si="2"/>
        <v>178900</v>
      </c>
      <c r="L35" s="53"/>
      <c r="M35" s="57">
        <v>60</v>
      </c>
      <c r="N35" s="55">
        <f t="shared" si="3"/>
        <v>0</v>
      </c>
      <c r="O35" s="53">
        <v>1904</v>
      </c>
      <c r="P35" s="57">
        <v>12</v>
      </c>
      <c r="Q35" s="55">
        <f t="shared" si="4"/>
        <v>22848</v>
      </c>
      <c r="R35" s="53">
        <v>1035</v>
      </c>
      <c r="S35" s="59">
        <v>12</v>
      </c>
      <c r="T35" s="55">
        <f t="shared" si="5"/>
        <v>12420</v>
      </c>
      <c r="U35" s="53">
        <v>866</v>
      </c>
      <c r="V35" s="57">
        <v>8</v>
      </c>
      <c r="W35" s="55">
        <f t="shared" si="6"/>
        <v>6928</v>
      </c>
      <c r="X35" s="53">
        <v>658</v>
      </c>
      <c r="Y35" s="57">
        <v>12</v>
      </c>
      <c r="Z35" s="55">
        <f t="shared" si="7"/>
        <v>7896</v>
      </c>
      <c r="AA35" s="53">
        <v>628</v>
      </c>
      <c r="AB35" s="57">
        <v>10</v>
      </c>
      <c r="AC35" s="55">
        <f t="shared" si="8"/>
        <v>6280</v>
      </c>
      <c r="AD35" s="53">
        <v>213</v>
      </c>
      <c r="AE35" s="57">
        <v>25</v>
      </c>
      <c r="AF35" s="55">
        <f t="shared" si="9"/>
        <v>5325</v>
      </c>
      <c r="AG35" s="53">
        <v>165</v>
      </c>
      <c r="AH35" s="57">
        <v>7.5</v>
      </c>
      <c r="AI35" s="55">
        <f t="shared" si="10"/>
        <v>1237.5</v>
      </c>
      <c r="AJ35" s="53"/>
      <c r="AK35" s="56">
        <v>15</v>
      </c>
      <c r="AL35" s="55">
        <f t="shared" si="11"/>
        <v>0</v>
      </c>
      <c r="AM35" s="53"/>
      <c r="AN35" s="57">
        <v>10</v>
      </c>
      <c r="AO35" s="55">
        <f t="shared" si="12"/>
        <v>0</v>
      </c>
      <c r="AP35" s="53">
        <f t="shared" si="13"/>
        <v>3565</v>
      </c>
      <c r="AQ35" s="53"/>
      <c r="AR35" s="61"/>
      <c r="AS35" s="53"/>
      <c r="AT35" s="53"/>
      <c r="AU35" s="55"/>
      <c r="AV35" s="53"/>
      <c r="AW35" s="53"/>
      <c r="AX35" s="66">
        <v>1021</v>
      </c>
      <c r="AY35" s="53"/>
      <c r="AZ35" s="68">
        <f t="shared" si="14"/>
        <v>0.53214086081609835</v>
      </c>
      <c r="BA35" s="68">
        <f t="shared" si="15"/>
        <v>0.9963666852990497</v>
      </c>
      <c r="BB35" s="68">
        <f t="shared" si="16"/>
        <v>0.53623949579831931</v>
      </c>
      <c r="BC35" s="55">
        <f t="shared" si="17"/>
        <v>217749</v>
      </c>
      <c r="BD35" s="55">
        <f t="shared" si="18"/>
        <v>196645</v>
      </c>
      <c r="BE35" s="55">
        <f t="shared" si="19"/>
        <v>217749</v>
      </c>
      <c r="BF35" s="55">
        <f t="shared" si="20"/>
        <v>218986.5</v>
      </c>
      <c r="BG35" s="62">
        <v>262201.5</v>
      </c>
      <c r="BH35" s="63">
        <v>174435.52</v>
      </c>
      <c r="BI35" s="69">
        <f t="shared" si="21"/>
        <v>66.527277685291651</v>
      </c>
      <c r="BJ35" s="70">
        <f t="shared" si="22"/>
        <v>25297</v>
      </c>
      <c r="BK35" s="71">
        <f t="shared" si="23"/>
        <v>9.6479234481877493E-2</v>
      </c>
      <c r="BL35" s="72">
        <f t="shared" si="24"/>
        <v>2</v>
      </c>
      <c r="BM35" s="61">
        <f t="shared" si="25"/>
        <v>25850</v>
      </c>
      <c r="BN35" s="69">
        <f t="shared" si="26"/>
        <v>3.3998468085106381</v>
      </c>
      <c r="BO35" s="73">
        <f t="shared" si="27"/>
        <v>4000</v>
      </c>
      <c r="BP35" s="69">
        <f t="shared" si="28"/>
        <v>21.971509999999999</v>
      </c>
      <c r="BQ35" s="61">
        <f t="shared" si="29"/>
        <v>12000</v>
      </c>
      <c r="BR35" s="69">
        <f t="shared" si="30"/>
        <v>7.3238366666666659</v>
      </c>
      <c r="BS35" s="64">
        <f t="shared" si="31"/>
        <v>20739.039999999994</v>
      </c>
      <c r="BT35" s="69">
        <f t="shared" si="32"/>
        <v>4.2377101350882214</v>
      </c>
      <c r="BU35" s="65">
        <v>87886.04</v>
      </c>
      <c r="BV35" s="74">
        <f t="shared" si="33"/>
        <v>33.518511526440541</v>
      </c>
      <c r="BW35" s="75">
        <f t="shared" si="43"/>
        <v>-120.05999999998312</v>
      </c>
      <c r="BX35" s="69">
        <f t="shared" si="35"/>
        <v>-4.5789211732191894E-2</v>
      </c>
      <c r="BY35" s="55">
        <v>12552</v>
      </c>
      <c r="BZ35" s="55">
        <v>4773</v>
      </c>
      <c r="CA35" s="55">
        <v>6622</v>
      </c>
      <c r="CB35" s="55">
        <v>1350</v>
      </c>
      <c r="CC35" s="64">
        <v>25850</v>
      </c>
      <c r="CD35" s="64">
        <v>4000</v>
      </c>
      <c r="CE35" s="64">
        <v>12000</v>
      </c>
      <c r="CF35" s="76">
        <f t="shared" si="36"/>
        <v>4.787157968203843E-2</v>
      </c>
      <c r="CG35" s="76">
        <f t="shared" si="37"/>
        <v>1.820355718788794E-2</v>
      </c>
      <c r="CH35" s="76">
        <f t="shared" si="38"/>
        <v>2.5255385648060746E-2</v>
      </c>
      <c r="CI35" s="76">
        <f t="shared" si="39"/>
        <v>5.1487119638903671E-3</v>
      </c>
      <c r="CJ35" s="76">
        <f t="shared" si="40"/>
        <v>9.8588299456715545E-2</v>
      </c>
      <c r="CK35" s="63">
        <f t="shared" si="41"/>
        <v>-24.011999999996625</v>
      </c>
      <c r="CL35" s="77">
        <f t="shared" si="42"/>
        <v>-108.05399999998481</v>
      </c>
    </row>
    <row r="36" spans="1:91" ht="18.75" customHeight="1" x14ac:dyDescent="0.35">
      <c r="A36" s="50">
        <f t="shared" si="0"/>
        <v>29</v>
      </c>
      <c r="B36" s="51">
        <v>2</v>
      </c>
      <c r="C36" s="52" t="s">
        <v>220</v>
      </c>
      <c r="D36" s="52"/>
      <c r="E36" s="52"/>
      <c r="F36" s="53"/>
      <c r="G36" s="54">
        <v>40</v>
      </c>
      <c r="H36" s="55">
        <f t="shared" si="1"/>
        <v>0</v>
      </c>
      <c r="I36" s="53">
        <v>3436</v>
      </c>
      <c r="J36" s="56">
        <v>50</v>
      </c>
      <c r="K36" s="55">
        <f t="shared" si="2"/>
        <v>171800</v>
      </c>
      <c r="L36" s="53"/>
      <c r="M36" s="57">
        <v>60</v>
      </c>
      <c r="N36" s="55">
        <f t="shared" si="3"/>
        <v>0</v>
      </c>
      <c r="O36" s="53">
        <v>1243</v>
      </c>
      <c r="P36" s="57">
        <v>12</v>
      </c>
      <c r="Q36" s="55">
        <f t="shared" si="4"/>
        <v>14916</v>
      </c>
      <c r="R36" s="53">
        <v>3060</v>
      </c>
      <c r="S36" s="59">
        <v>12</v>
      </c>
      <c r="T36" s="55">
        <f t="shared" si="5"/>
        <v>36720</v>
      </c>
      <c r="U36" s="53">
        <v>245</v>
      </c>
      <c r="V36" s="57">
        <v>8</v>
      </c>
      <c r="W36" s="55">
        <f t="shared" si="6"/>
        <v>1960</v>
      </c>
      <c r="X36" s="53">
        <v>188</v>
      </c>
      <c r="Y36" s="57">
        <v>12</v>
      </c>
      <c r="Z36" s="55">
        <f t="shared" si="7"/>
        <v>2256</v>
      </c>
      <c r="AA36" s="53">
        <v>293</v>
      </c>
      <c r="AB36" s="57">
        <v>10</v>
      </c>
      <c r="AC36" s="55">
        <f t="shared" si="8"/>
        <v>2930</v>
      </c>
      <c r="AD36" s="53">
        <v>122</v>
      </c>
      <c r="AE36" s="57">
        <v>25</v>
      </c>
      <c r="AF36" s="55">
        <f t="shared" si="9"/>
        <v>3050</v>
      </c>
      <c r="AG36" s="53"/>
      <c r="AH36" s="57">
        <v>7.5</v>
      </c>
      <c r="AI36" s="55">
        <f t="shared" si="10"/>
        <v>0</v>
      </c>
      <c r="AJ36" s="53"/>
      <c r="AK36" s="56">
        <v>15</v>
      </c>
      <c r="AL36" s="55">
        <f t="shared" si="11"/>
        <v>0</v>
      </c>
      <c r="AM36" s="53"/>
      <c r="AN36" s="57">
        <v>10</v>
      </c>
      <c r="AO36" s="55">
        <f t="shared" si="12"/>
        <v>0</v>
      </c>
      <c r="AP36" s="53">
        <f t="shared" si="13"/>
        <v>3908</v>
      </c>
      <c r="AQ36" s="53"/>
      <c r="AR36" s="61"/>
      <c r="AS36" s="53"/>
      <c r="AT36" s="53"/>
      <c r="AU36" s="55"/>
      <c r="AV36" s="53"/>
      <c r="AW36" s="53"/>
      <c r="AX36" s="66">
        <v>363</v>
      </c>
      <c r="AY36" s="53"/>
      <c r="AZ36" s="68">
        <f t="shared" si="14"/>
        <v>0.36175785797438881</v>
      </c>
      <c r="BA36" s="68">
        <f t="shared" si="15"/>
        <v>1.1373690337601863</v>
      </c>
      <c r="BB36" s="68">
        <f t="shared" si="16"/>
        <v>0.29203539823008851</v>
      </c>
      <c r="BC36" s="55">
        <f t="shared" si="17"/>
        <v>218716</v>
      </c>
      <c r="BD36" s="55">
        <f t="shared" si="18"/>
        <v>211570</v>
      </c>
      <c r="BE36" s="55">
        <f t="shared" si="19"/>
        <v>218716</v>
      </c>
      <c r="BF36" s="55">
        <f t="shared" si="20"/>
        <v>218716</v>
      </c>
      <c r="BG36" s="62">
        <v>240772</v>
      </c>
      <c r="BH36" s="63">
        <v>160539.28</v>
      </c>
      <c r="BI36" s="69">
        <f t="shared" si="21"/>
        <v>66.676889339291947</v>
      </c>
      <c r="BJ36" s="70">
        <f t="shared" si="22"/>
        <v>25017</v>
      </c>
      <c r="BK36" s="71">
        <f t="shared" si="23"/>
        <v>0.10390327778977622</v>
      </c>
      <c r="BL36" s="72">
        <f t="shared" si="24"/>
        <v>2</v>
      </c>
      <c r="BM36" s="61">
        <f t="shared" si="25"/>
        <v>25750</v>
      </c>
      <c r="BN36" s="69">
        <f t="shared" si="26"/>
        <v>3.2939553398058257</v>
      </c>
      <c r="BO36" s="73">
        <f t="shared" si="27"/>
        <v>4624</v>
      </c>
      <c r="BP36" s="69">
        <f t="shared" si="28"/>
        <v>18.343285034602076</v>
      </c>
      <c r="BQ36" s="61">
        <f t="shared" si="29"/>
        <v>10000</v>
      </c>
      <c r="BR36" s="69">
        <f t="shared" si="30"/>
        <v>8.481935</v>
      </c>
      <c r="BS36" s="64">
        <f t="shared" si="31"/>
        <v>19428.350000000006</v>
      </c>
      <c r="BT36" s="69">
        <f t="shared" si="32"/>
        <v>4.3657515949630294</v>
      </c>
      <c r="BU36" s="65">
        <v>84819.35</v>
      </c>
      <c r="BV36" s="74">
        <f t="shared" si="33"/>
        <v>35.228078846377493</v>
      </c>
      <c r="BW36" s="75">
        <f t="shared" si="43"/>
        <v>-4586.6300000000047</v>
      </c>
      <c r="BX36" s="69">
        <f t="shared" si="35"/>
        <v>-1.904968185669432</v>
      </c>
      <c r="BY36" s="55">
        <v>12294</v>
      </c>
      <c r="BZ36" s="55">
        <v>4773</v>
      </c>
      <c r="CA36" s="55">
        <v>6870</v>
      </c>
      <c r="CB36" s="55">
        <v>1080</v>
      </c>
      <c r="CC36" s="64">
        <v>25750</v>
      </c>
      <c r="CD36" s="64">
        <v>4624</v>
      </c>
      <c r="CE36" s="64">
        <v>10000</v>
      </c>
      <c r="CF36" s="76">
        <f t="shared" si="36"/>
        <v>5.1060754572790856E-2</v>
      </c>
      <c r="CG36" s="76">
        <f t="shared" si="37"/>
        <v>1.9823733656737494E-2</v>
      </c>
      <c r="CH36" s="76">
        <f t="shared" si="38"/>
        <v>2.8533218148289668E-2</v>
      </c>
      <c r="CI36" s="76">
        <f t="shared" si="39"/>
        <v>4.4855714119582009E-3</v>
      </c>
      <c r="CJ36" s="76">
        <f t="shared" si="40"/>
        <v>0.1069476517202997</v>
      </c>
      <c r="CK36" s="63">
        <f t="shared" si="41"/>
        <v>-917.32600000000093</v>
      </c>
      <c r="CL36" s="77">
        <f t="shared" si="42"/>
        <v>-4127.9670000000042</v>
      </c>
    </row>
    <row r="37" spans="1:91" ht="18.75" customHeight="1" x14ac:dyDescent="0.35">
      <c r="A37" s="50">
        <f t="shared" si="0"/>
        <v>30</v>
      </c>
      <c r="B37" s="51">
        <v>5</v>
      </c>
      <c r="C37" s="52" t="s">
        <v>209</v>
      </c>
      <c r="D37" s="52"/>
      <c r="E37" s="52"/>
      <c r="F37" s="53"/>
      <c r="G37" s="54">
        <v>40</v>
      </c>
      <c r="H37" s="55">
        <f t="shared" si="1"/>
        <v>0</v>
      </c>
      <c r="I37" s="53">
        <v>8341</v>
      </c>
      <c r="J37" s="56">
        <v>50</v>
      </c>
      <c r="K37" s="55">
        <f t="shared" si="2"/>
        <v>417050</v>
      </c>
      <c r="L37" s="53"/>
      <c r="M37" s="57">
        <v>60</v>
      </c>
      <c r="N37" s="55">
        <f t="shared" si="3"/>
        <v>0</v>
      </c>
      <c r="O37" s="53">
        <v>7426</v>
      </c>
      <c r="P37" s="57">
        <v>12</v>
      </c>
      <c r="Q37" s="55">
        <f t="shared" si="4"/>
        <v>89112</v>
      </c>
      <c r="R37" s="53">
        <v>7850</v>
      </c>
      <c r="S37" s="59">
        <v>12</v>
      </c>
      <c r="T37" s="55">
        <f t="shared" si="5"/>
        <v>94200</v>
      </c>
      <c r="U37" s="53">
        <v>572</v>
      </c>
      <c r="V37" s="57">
        <v>8</v>
      </c>
      <c r="W37" s="55">
        <f t="shared" si="6"/>
        <v>4576</v>
      </c>
      <c r="X37" s="53">
        <v>300</v>
      </c>
      <c r="Y37" s="57">
        <v>12</v>
      </c>
      <c r="Z37" s="55">
        <f t="shared" si="7"/>
        <v>3600</v>
      </c>
      <c r="AA37" s="53">
        <v>713</v>
      </c>
      <c r="AB37" s="57">
        <v>10</v>
      </c>
      <c r="AC37" s="55">
        <f t="shared" si="8"/>
        <v>7130</v>
      </c>
      <c r="AD37" s="53">
        <v>283</v>
      </c>
      <c r="AE37" s="57">
        <v>25</v>
      </c>
      <c r="AF37" s="55">
        <f t="shared" si="9"/>
        <v>7075</v>
      </c>
      <c r="AG37" s="53">
        <v>270</v>
      </c>
      <c r="AH37" s="57">
        <v>7.5</v>
      </c>
      <c r="AI37" s="55">
        <f t="shared" si="10"/>
        <v>2025</v>
      </c>
      <c r="AJ37" s="53"/>
      <c r="AK37" s="56">
        <v>15</v>
      </c>
      <c r="AL37" s="55">
        <f t="shared" si="11"/>
        <v>0</v>
      </c>
      <c r="AM37" s="53">
        <v>395</v>
      </c>
      <c r="AN37" s="57">
        <v>10</v>
      </c>
      <c r="AO37" s="55">
        <f t="shared" si="12"/>
        <v>3950</v>
      </c>
      <c r="AP37" s="53">
        <f t="shared" si="13"/>
        <v>10383</v>
      </c>
      <c r="AQ37" s="53"/>
      <c r="AR37" s="61"/>
      <c r="AS37" s="53"/>
      <c r="AT37" s="53"/>
      <c r="AU37" s="55"/>
      <c r="AV37" s="53"/>
      <c r="AW37" s="53"/>
      <c r="AX37" s="66">
        <v>2972</v>
      </c>
      <c r="AY37" s="53"/>
      <c r="AZ37" s="68">
        <f t="shared" si="14"/>
        <v>0.89030092315070131</v>
      </c>
      <c r="BA37" s="68">
        <f t="shared" si="15"/>
        <v>1.2448147704112216</v>
      </c>
      <c r="BB37" s="68">
        <f t="shared" si="16"/>
        <v>0.40021545919741447</v>
      </c>
      <c r="BC37" s="55">
        <f t="shared" si="17"/>
        <v>533631</v>
      </c>
      <c r="BD37" s="55">
        <f t="shared" si="18"/>
        <v>518325</v>
      </c>
      <c r="BE37" s="55">
        <f t="shared" si="19"/>
        <v>533631</v>
      </c>
      <c r="BF37" s="55">
        <f t="shared" si="20"/>
        <v>535656</v>
      </c>
      <c r="BG37" s="62">
        <v>685176</v>
      </c>
      <c r="BH37" s="63">
        <v>452367.92</v>
      </c>
      <c r="BI37" s="69">
        <f t="shared" si="21"/>
        <v>66.0221490536738</v>
      </c>
      <c r="BJ37" s="70">
        <f t="shared" si="22"/>
        <v>54149</v>
      </c>
      <c r="BK37" s="71">
        <f t="shared" si="23"/>
        <v>7.9029329690473687E-2</v>
      </c>
      <c r="BL37" s="72">
        <f t="shared" si="24"/>
        <v>5</v>
      </c>
      <c r="BM37" s="61">
        <f t="shared" si="25"/>
        <v>65100</v>
      </c>
      <c r="BN37" s="69">
        <f t="shared" si="26"/>
        <v>3.3467476190476191</v>
      </c>
      <c r="BO37" s="73">
        <f t="shared" si="27"/>
        <v>1300</v>
      </c>
      <c r="BP37" s="69">
        <f t="shared" si="28"/>
        <v>167.59482307692306</v>
      </c>
      <c r="BQ37" s="61">
        <f t="shared" si="29"/>
        <v>44000</v>
      </c>
      <c r="BR37" s="69">
        <f t="shared" si="30"/>
        <v>4.9516652272727271</v>
      </c>
      <c r="BS37" s="64">
        <f t="shared" si="31"/>
        <v>53324.26999999999</v>
      </c>
      <c r="BT37" s="69">
        <f t="shared" si="32"/>
        <v>4.0858181462212242</v>
      </c>
      <c r="BU37" s="65">
        <v>217873.27</v>
      </c>
      <c r="BV37" s="74">
        <f t="shared" si="33"/>
        <v>31.798146753534855</v>
      </c>
      <c r="BW37" s="75">
        <f t="shared" si="43"/>
        <v>14934.810000000027</v>
      </c>
      <c r="BX37" s="69">
        <f t="shared" si="35"/>
        <v>2.1797041927913452</v>
      </c>
      <c r="BY37" s="55">
        <v>24926</v>
      </c>
      <c r="BZ37" s="55">
        <v>14319</v>
      </c>
      <c r="CA37" s="55">
        <v>11664</v>
      </c>
      <c r="CB37" s="55">
        <v>3240</v>
      </c>
      <c r="CC37" s="64">
        <v>65100</v>
      </c>
      <c r="CD37" s="64">
        <v>1300</v>
      </c>
      <c r="CE37" s="64">
        <v>44000</v>
      </c>
      <c r="CF37" s="76">
        <f t="shared" si="36"/>
        <v>3.6378974161383353E-2</v>
      </c>
      <c r="CG37" s="76">
        <f t="shared" si="37"/>
        <v>2.0898280149917684E-2</v>
      </c>
      <c r="CH37" s="76">
        <f t="shared" si="38"/>
        <v>1.7023363340222076E-2</v>
      </c>
      <c r="CI37" s="76">
        <f t="shared" si="39"/>
        <v>4.7287120389505758E-3</v>
      </c>
      <c r="CJ37" s="76">
        <f t="shared" si="40"/>
        <v>9.5012084486321757E-2</v>
      </c>
      <c r="CK37" s="63">
        <f t="shared" si="41"/>
        <v>2986.9620000000054</v>
      </c>
      <c r="CL37" s="77">
        <f t="shared" si="42"/>
        <v>13441.329000000025</v>
      </c>
    </row>
    <row r="38" spans="1:91" ht="18.75" customHeight="1" x14ac:dyDescent="0.35">
      <c r="A38" s="50">
        <f t="shared" si="0"/>
        <v>31</v>
      </c>
      <c r="B38" s="51" t="s">
        <v>106</v>
      </c>
      <c r="C38" s="52" t="s">
        <v>107</v>
      </c>
      <c r="D38" s="52"/>
      <c r="E38" s="52"/>
      <c r="F38" s="53"/>
      <c r="G38" s="54">
        <v>40</v>
      </c>
      <c r="H38" s="55">
        <f t="shared" si="1"/>
        <v>0</v>
      </c>
      <c r="I38" s="53">
        <v>22534</v>
      </c>
      <c r="J38" s="56">
        <v>50</v>
      </c>
      <c r="K38" s="55">
        <f t="shared" si="2"/>
        <v>1126700</v>
      </c>
      <c r="L38" s="53"/>
      <c r="M38" s="57">
        <v>60</v>
      </c>
      <c r="N38" s="55">
        <f t="shared" si="3"/>
        <v>0</v>
      </c>
      <c r="O38" s="53">
        <v>11242</v>
      </c>
      <c r="P38" s="57">
        <v>12</v>
      </c>
      <c r="Q38" s="55">
        <f t="shared" si="4"/>
        <v>134904</v>
      </c>
      <c r="R38" s="53">
        <v>220</v>
      </c>
      <c r="S38" s="59">
        <v>12</v>
      </c>
      <c r="T38" s="55">
        <f t="shared" si="5"/>
        <v>2640</v>
      </c>
      <c r="U38" s="53">
        <v>945</v>
      </c>
      <c r="V38" s="57">
        <v>8</v>
      </c>
      <c r="W38" s="55">
        <f t="shared" si="6"/>
        <v>7560</v>
      </c>
      <c r="X38" s="53">
        <v>504</v>
      </c>
      <c r="Y38" s="57">
        <v>12</v>
      </c>
      <c r="Z38" s="55">
        <f t="shared" si="7"/>
        <v>6048</v>
      </c>
      <c r="AA38" s="53">
        <v>1031</v>
      </c>
      <c r="AB38" s="57">
        <v>10</v>
      </c>
      <c r="AC38" s="55">
        <f t="shared" si="8"/>
        <v>10310</v>
      </c>
      <c r="AD38" s="53">
        <v>557</v>
      </c>
      <c r="AE38" s="57">
        <v>25</v>
      </c>
      <c r="AF38" s="55">
        <f t="shared" si="9"/>
        <v>13925</v>
      </c>
      <c r="AG38" s="53">
        <v>102</v>
      </c>
      <c r="AH38" s="57">
        <v>7.5</v>
      </c>
      <c r="AI38" s="55">
        <f t="shared" si="10"/>
        <v>765</v>
      </c>
      <c r="AJ38" s="53"/>
      <c r="AK38" s="56">
        <v>15</v>
      </c>
      <c r="AL38" s="55">
        <f t="shared" si="11"/>
        <v>0</v>
      </c>
      <c r="AM38" s="53">
        <v>303</v>
      </c>
      <c r="AN38" s="57">
        <v>10</v>
      </c>
      <c r="AO38" s="55">
        <f t="shared" si="12"/>
        <v>3030</v>
      </c>
      <c r="AP38" s="53">
        <f t="shared" si="13"/>
        <v>3662</v>
      </c>
      <c r="AQ38" s="53"/>
      <c r="AR38" s="61"/>
      <c r="AS38" s="53"/>
      <c r="AT38" s="53"/>
      <c r="AU38" s="55"/>
      <c r="AV38" s="53"/>
      <c r="AW38" s="53"/>
      <c r="AX38" s="66">
        <v>3528</v>
      </c>
      <c r="AY38" s="53"/>
      <c r="AZ38" s="68">
        <f t="shared" si="14"/>
        <v>0.49889056536788851</v>
      </c>
      <c r="BA38" s="68">
        <f t="shared" si="15"/>
        <v>0.162509984911689</v>
      </c>
      <c r="BB38" s="68">
        <f t="shared" si="16"/>
        <v>0.31382316313823161</v>
      </c>
      <c r="BC38" s="55">
        <f t="shared" si="17"/>
        <v>1167183</v>
      </c>
      <c r="BD38" s="55">
        <f t="shared" si="18"/>
        <v>1143265</v>
      </c>
      <c r="BE38" s="55">
        <f t="shared" si="19"/>
        <v>1167183</v>
      </c>
      <c r="BF38" s="55">
        <f t="shared" si="20"/>
        <v>1167948</v>
      </c>
      <c r="BG38" s="62">
        <v>1374123</v>
      </c>
      <c r="BH38" s="63">
        <v>939992.75</v>
      </c>
      <c r="BI38" s="69">
        <f t="shared" si="21"/>
        <v>68.406740153537925</v>
      </c>
      <c r="BJ38" s="70">
        <f t="shared" si="22"/>
        <v>101577.5</v>
      </c>
      <c r="BK38" s="71">
        <f t="shared" si="23"/>
        <v>7.3921694055044562E-2</v>
      </c>
      <c r="BL38" s="72" t="str">
        <f t="shared" si="24"/>
        <v>,9</v>
      </c>
      <c r="BM38" s="61">
        <f t="shared" si="25"/>
        <v>113350</v>
      </c>
      <c r="BN38" s="69">
        <f t="shared" si="26"/>
        <v>2.7917020732245259</v>
      </c>
      <c r="BO38" s="73">
        <f t="shared" si="27"/>
        <v>925</v>
      </c>
      <c r="BP38" s="69">
        <f t="shared" si="28"/>
        <v>342.0966810810811</v>
      </c>
      <c r="BQ38" s="61">
        <f t="shared" si="29"/>
        <v>30500</v>
      </c>
      <c r="BR38" s="69">
        <f t="shared" si="30"/>
        <v>10.375063278688524</v>
      </c>
      <c r="BS38" s="64">
        <f t="shared" si="31"/>
        <v>70086.929999999993</v>
      </c>
      <c r="BT38" s="69">
        <f t="shared" si="32"/>
        <v>4.5149563549152463</v>
      </c>
      <c r="BU38" s="65">
        <v>316439.43</v>
      </c>
      <c r="BV38" s="74">
        <f t="shared" si="33"/>
        <v>23.028464700758228</v>
      </c>
      <c r="BW38" s="75">
        <f t="shared" si="43"/>
        <v>117690.82</v>
      </c>
      <c r="BX38" s="69">
        <f t="shared" si="35"/>
        <v>8.564795145703842</v>
      </c>
      <c r="BY38" s="55">
        <v>42402.5</v>
      </c>
      <c r="BZ38" s="55">
        <v>23865</v>
      </c>
      <c r="CA38" s="55">
        <v>27480</v>
      </c>
      <c r="CB38" s="55">
        <v>7830</v>
      </c>
      <c r="CC38" s="64">
        <v>113350</v>
      </c>
      <c r="CD38" s="64">
        <v>925</v>
      </c>
      <c r="CE38" s="64">
        <v>30500</v>
      </c>
      <c r="CF38" s="76">
        <f t="shared" si="36"/>
        <v>3.0857863524589867E-2</v>
      </c>
      <c r="CG38" s="76">
        <f t="shared" si="37"/>
        <v>1.7367440905945102E-2</v>
      </c>
      <c r="CH38" s="76">
        <f t="shared" si="38"/>
        <v>1.999820976724791E-2</v>
      </c>
      <c r="CI38" s="76">
        <f t="shared" si="39"/>
        <v>5.6981798572616864E-3</v>
      </c>
      <c r="CJ38" s="76">
        <f t="shared" si="40"/>
        <v>8.248897660544216E-2</v>
      </c>
      <c r="CK38" s="63">
        <f t="shared" si="41"/>
        <v>23538.164000000004</v>
      </c>
      <c r="CL38" s="77">
        <f t="shared" si="42"/>
        <v>105921.73800000001</v>
      </c>
    </row>
    <row r="39" spans="1:91" ht="18.75" customHeight="1" x14ac:dyDescent="0.35">
      <c r="A39" s="50">
        <f t="shared" si="0"/>
        <v>32</v>
      </c>
      <c r="B39" s="58" t="s">
        <v>221</v>
      </c>
      <c r="C39" s="52" t="s">
        <v>222</v>
      </c>
      <c r="D39" s="52"/>
      <c r="E39" s="52"/>
      <c r="F39" s="53"/>
      <c r="G39" s="54">
        <v>40</v>
      </c>
      <c r="H39" s="55">
        <f t="shared" si="1"/>
        <v>0</v>
      </c>
      <c r="I39" s="53">
        <v>3573</v>
      </c>
      <c r="J39" s="56">
        <v>50</v>
      </c>
      <c r="K39" s="55">
        <f t="shared" si="2"/>
        <v>178650</v>
      </c>
      <c r="L39" s="53"/>
      <c r="M39" s="57">
        <v>60</v>
      </c>
      <c r="N39" s="55">
        <f t="shared" si="3"/>
        <v>0</v>
      </c>
      <c r="O39" s="53">
        <v>2200</v>
      </c>
      <c r="P39" s="57">
        <v>12</v>
      </c>
      <c r="Q39" s="55">
        <f t="shared" si="4"/>
        <v>26400</v>
      </c>
      <c r="R39" s="53">
        <v>760</v>
      </c>
      <c r="S39" s="59">
        <v>12</v>
      </c>
      <c r="T39" s="55">
        <f t="shared" si="5"/>
        <v>9120</v>
      </c>
      <c r="U39" s="53">
        <v>250</v>
      </c>
      <c r="V39" s="57">
        <v>8</v>
      </c>
      <c r="W39" s="55">
        <f t="shared" si="6"/>
        <v>2000</v>
      </c>
      <c r="X39" s="53">
        <v>168</v>
      </c>
      <c r="Y39" s="57">
        <v>12</v>
      </c>
      <c r="Z39" s="55">
        <f t="shared" si="7"/>
        <v>2016</v>
      </c>
      <c r="AA39" s="53">
        <v>409</v>
      </c>
      <c r="AB39" s="57">
        <v>10</v>
      </c>
      <c r="AC39" s="55">
        <f t="shared" si="8"/>
        <v>4090</v>
      </c>
      <c r="AD39" s="53">
        <v>99</v>
      </c>
      <c r="AE39" s="57">
        <v>25</v>
      </c>
      <c r="AF39" s="55">
        <f t="shared" si="9"/>
        <v>2475</v>
      </c>
      <c r="AG39" s="53"/>
      <c r="AH39" s="57">
        <v>7.5</v>
      </c>
      <c r="AI39" s="55">
        <f t="shared" si="10"/>
        <v>0</v>
      </c>
      <c r="AJ39" s="53"/>
      <c r="AK39" s="56">
        <v>15</v>
      </c>
      <c r="AL39" s="55">
        <f t="shared" si="11"/>
        <v>0</v>
      </c>
      <c r="AM39" s="53">
        <v>95</v>
      </c>
      <c r="AN39" s="57">
        <v>10</v>
      </c>
      <c r="AO39" s="55">
        <f t="shared" si="12"/>
        <v>950</v>
      </c>
      <c r="AP39" s="53">
        <f t="shared" si="13"/>
        <v>1781</v>
      </c>
      <c r="AQ39" s="53"/>
      <c r="AR39" s="61"/>
      <c r="AS39" s="53"/>
      <c r="AT39" s="53"/>
      <c r="AU39" s="55"/>
      <c r="AV39" s="53"/>
      <c r="AW39" s="53"/>
      <c r="AX39" s="66">
        <v>1050</v>
      </c>
      <c r="AY39" s="53"/>
      <c r="AZ39" s="68">
        <f t="shared" si="14"/>
        <v>0.61572907920514974</v>
      </c>
      <c r="BA39" s="68">
        <f t="shared" si="15"/>
        <v>0.49846067730198712</v>
      </c>
      <c r="BB39" s="68">
        <f t="shared" si="16"/>
        <v>0.47727272727272729</v>
      </c>
      <c r="BC39" s="55">
        <f t="shared" si="17"/>
        <v>198351</v>
      </c>
      <c r="BD39" s="55">
        <f t="shared" si="18"/>
        <v>190245</v>
      </c>
      <c r="BE39" s="55">
        <f t="shared" si="19"/>
        <v>198351</v>
      </c>
      <c r="BF39" s="55">
        <f t="shared" si="20"/>
        <v>198351</v>
      </c>
      <c r="BG39" s="62">
        <v>247171</v>
      </c>
      <c r="BH39" s="63">
        <v>167871.04</v>
      </c>
      <c r="BI39" s="69">
        <f t="shared" si="21"/>
        <v>67.916964368797309</v>
      </c>
      <c r="BJ39" s="70">
        <f t="shared" si="22"/>
        <v>23914</v>
      </c>
      <c r="BK39" s="71">
        <f t="shared" si="23"/>
        <v>9.6750832419660884E-2</v>
      </c>
      <c r="BL39" s="72" t="str">
        <f t="shared" si="24"/>
        <v>,2</v>
      </c>
      <c r="BM39" s="61">
        <f t="shared" si="25"/>
        <v>30487</v>
      </c>
      <c r="BN39" s="69">
        <f t="shared" si="26"/>
        <v>2.9709358087053497</v>
      </c>
      <c r="BO39" s="73">
        <f t="shared" si="27"/>
        <v>0</v>
      </c>
      <c r="BP39" s="69" t="e">
        <f t="shared" si="28"/>
        <v>#DIV/0!</v>
      </c>
      <c r="BQ39" s="61">
        <f t="shared" si="29"/>
        <v>15000</v>
      </c>
      <c r="BR39" s="69">
        <f t="shared" si="30"/>
        <v>6.0383279999999999</v>
      </c>
      <c r="BS39" s="64">
        <f t="shared" si="31"/>
        <v>21173.919999999998</v>
      </c>
      <c r="BT39" s="69">
        <f t="shared" si="32"/>
        <v>4.2776642208906051</v>
      </c>
      <c r="BU39" s="65">
        <v>90574.92</v>
      </c>
      <c r="BV39" s="74">
        <f t="shared" si="33"/>
        <v>36.644638731890069</v>
      </c>
      <c r="BW39" s="75">
        <f t="shared" si="43"/>
        <v>-11274.960000000006</v>
      </c>
      <c r="BX39" s="69">
        <f t="shared" si="35"/>
        <v>-4.561603100687381</v>
      </c>
      <c r="BY39" s="55">
        <v>12295</v>
      </c>
      <c r="BZ39" s="55">
        <v>4773</v>
      </c>
      <c r="CA39" s="55">
        <v>5496</v>
      </c>
      <c r="CB39" s="55">
        <v>1350</v>
      </c>
      <c r="CC39" s="64">
        <v>30487</v>
      </c>
      <c r="CD39" s="64"/>
      <c r="CE39" s="64">
        <v>15000</v>
      </c>
      <c r="CF39" s="76">
        <f t="shared" si="36"/>
        <v>4.9742890549457665E-2</v>
      </c>
      <c r="CG39" s="76">
        <f t="shared" si="37"/>
        <v>1.9310517819647127E-2</v>
      </c>
      <c r="CH39" s="76">
        <f t="shared" si="38"/>
        <v>2.2235618256187011E-2</v>
      </c>
      <c r="CI39" s="76">
        <f t="shared" si="39"/>
        <v>5.4618057943690802E-3</v>
      </c>
      <c r="CJ39" s="76">
        <f t="shared" si="40"/>
        <v>0.12334375796513344</v>
      </c>
      <c r="CK39" s="63">
        <f t="shared" si="41"/>
        <v>-2254.9920000000016</v>
      </c>
      <c r="CL39" s="77">
        <f t="shared" si="42"/>
        <v>-10147.464000000005</v>
      </c>
    </row>
    <row r="40" spans="1:91" ht="18.75" customHeight="1" x14ac:dyDescent="0.35">
      <c r="A40" s="50">
        <f t="shared" si="0"/>
        <v>33</v>
      </c>
      <c r="B40" s="58">
        <v>3</v>
      </c>
      <c r="C40" s="52" t="s">
        <v>212</v>
      </c>
      <c r="D40" s="52"/>
      <c r="E40" s="52"/>
      <c r="F40" s="53"/>
      <c r="G40" s="54">
        <v>40</v>
      </c>
      <c r="H40" s="55">
        <f t="shared" si="1"/>
        <v>0</v>
      </c>
      <c r="I40" s="53">
        <v>9656</v>
      </c>
      <c r="J40" s="56">
        <v>50</v>
      </c>
      <c r="K40" s="55">
        <f t="shared" si="2"/>
        <v>482800</v>
      </c>
      <c r="L40" s="53"/>
      <c r="M40" s="57">
        <v>60</v>
      </c>
      <c r="N40" s="55">
        <f t="shared" si="3"/>
        <v>0</v>
      </c>
      <c r="O40" s="53">
        <v>3451</v>
      </c>
      <c r="P40" s="57">
        <v>12</v>
      </c>
      <c r="Q40" s="55">
        <f t="shared" si="4"/>
        <v>41412</v>
      </c>
      <c r="R40" s="53">
        <v>2140</v>
      </c>
      <c r="S40" s="59">
        <v>12</v>
      </c>
      <c r="T40" s="55">
        <f t="shared" si="5"/>
        <v>25680</v>
      </c>
      <c r="U40" s="53">
        <v>667</v>
      </c>
      <c r="V40" s="57">
        <v>8</v>
      </c>
      <c r="W40" s="55">
        <f t="shared" si="6"/>
        <v>5336</v>
      </c>
      <c r="X40" s="53">
        <v>487</v>
      </c>
      <c r="Y40" s="57">
        <v>12</v>
      </c>
      <c r="Z40" s="55">
        <f t="shared" si="7"/>
        <v>5844</v>
      </c>
      <c r="AA40" s="53">
        <v>863</v>
      </c>
      <c r="AB40" s="57">
        <v>10</v>
      </c>
      <c r="AC40" s="55">
        <f t="shared" si="8"/>
        <v>8630</v>
      </c>
      <c r="AD40" s="53">
        <v>381</v>
      </c>
      <c r="AE40" s="57">
        <v>25</v>
      </c>
      <c r="AF40" s="55">
        <f t="shared" si="9"/>
        <v>9525</v>
      </c>
      <c r="AG40" s="53"/>
      <c r="AH40" s="57">
        <v>7.5</v>
      </c>
      <c r="AI40" s="55">
        <f t="shared" si="10"/>
        <v>0</v>
      </c>
      <c r="AJ40" s="53"/>
      <c r="AK40" s="56">
        <v>15</v>
      </c>
      <c r="AL40" s="55">
        <f t="shared" si="11"/>
        <v>0</v>
      </c>
      <c r="AM40" s="53">
        <v>166</v>
      </c>
      <c r="AN40" s="57">
        <v>10</v>
      </c>
      <c r="AO40" s="55">
        <f t="shared" si="12"/>
        <v>1660</v>
      </c>
      <c r="AP40" s="53">
        <f t="shared" si="13"/>
        <v>4704</v>
      </c>
      <c r="AQ40" s="53"/>
      <c r="AR40" s="61"/>
      <c r="AS40" s="53"/>
      <c r="AT40" s="53"/>
      <c r="AU40" s="55"/>
      <c r="AV40" s="53"/>
      <c r="AW40" s="53"/>
      <c r="AX40" s="66">
        <v>1235</v>
      </c>
      <c r="AY40" s="53"/>
      <c r="AZ40" s="68">
        <f t="shared" si="14"/>
        <v>0.35739436619718312</v>
      </c>
      <c r="BA40" s="68">
        <f t="shared" si="15"/>
        <v>0.4871582435791218</v>
      </c>
      <c r="BB40" s="68">
        <f t="shared" si="16"/>
        <v>0.35786728484497249</v>
      </c>
      <c r="BC40" s="55">
        <f t="shared" si="17"/>
        <v>537815</v>
      </c>
      <c r="BD40" s="55">
        <f t="shared" si="18"/>
        <v>518005</v>
      </c>
      <c r="BE40" s="55">
        <f t="shared" si="19"/>
        <v>537815</v>
      </c>
      <c r="BF40" s="55">
        <f t="shared" si="20"/>
        <v>537815</v>
      </c>
      <c r="BG40" s="62">
        <v>606080</v>
      </c>
      <c r="BH40" s="63">
        <v>407934.33</v>
      </c>
      <c r="BI40" s="69">
        <f t="shared" si="21"/>
        <v>67.307010625659984</v>
      </c>
      <c r="BJ40" s="70">
        <f t="shared" si="22"/>
        <v>51532</v>
      </c>
      <c r="BK40" s="71">
        <f t="shared" si="23"/>
        <v>8.5025079197465686E-2</v>
      </c>
      <c r="BL40" s="72">
        <f t="shared" si="24"/>
        <v>3</v>
      </c>
      <c r="BM40" s="61">
        <f t="shared" si="25"/>
        <v>46600</v>
      </c>
      <c r="BN40" s="69">
        <f t="shared" si="26"/>
        <v>3.3277008583690986</v>
      </c>
      <c r="BO40" s="73">
        <f t="shared" si="27"/>
        <v>437.5</v>
      </c>
      <c r="BP40" s="69">
        <f t="shared" si="28"/>
        <v>354.44767999999999</v>
      </c>
      <c r="BQ40" s="61">
        <f t="shared" si="29"/>
        <v>16500</v>
      </c>
      <c r="BR40" s="69">
        <f t="shared" si="30"/>
        <v>9.398233939393938</v>
      </c>
      <c r="BS40" s="64">
        <f t="shared" si="31"/>
        <v>40001.359999999986</v>
      </c>
      <c r="BT40" s="69">
        <f t="shared" si="32"/>
        <v>3.8766396942503967</v>
      </c>
      <c r="BU40" s="65">
        <v>155070.85999999999</v>
      </c>
      <c r="BV40" s="74">
        <f t="shared" si="33"/>
        <v>25.585873152059133</v>
      </c>
      <c r="BW40" s="75">
        <f t="shared" si="43"/>
        <v>43074.81</v>
      </c>
      <c r="BX40" s="69">
        <f t="shared" si="35"/>
        <v>7.1071162222808866</v>
      </c>
      <c r="BY40" s="55">
        <v>24760</v>
      </c>
      <c r="BZ40" s="55">
        <v>9546</v>
      </c>
      <c r="CA40" s="55">
        <v>12366</v>
      </c>
      <c r="CB40" s="55">
        <v>4860</v>
      </c>
      <c r="CC40" s="64">
        <v>46600</v>
      </c>
      <c r="CD40" s="64">
        <v>437.5</v>
      </c>
      <c r="CE40" s="64">
        <v>16500</v>
      </c>
      <c r="CF40" s="76">
        <f t="shared" si="36"/>
        <v>4.0852692713833155E-2</v>
      </c>
      <c r="CG40" s="76">
        <f t="shared" si="37"/>
        <v>1.5750395987328407E-2</v>
      </c>
      <c r="CH40" s="76">
        <f t="shared" si="38"/>
        <v>2.0403247096092925E-2</v>
      </c>
      <c r="CI40" s="76">
        <f t="shared" si="39"/>
        <v>8.0187434002111941E-3</v>
      </c>
      <c r="CJ40" s="76">
        <f t="shared" si="40"/>
        <v>7.6887539598732846E-2</v>
      </c>
      <c r="CK40" s="63">
        <f t="shared" si="41"/>
        <v>8614.9619999999995</v>
      </c>
      <c r="CL40" s="77">
        <f t="shared" si="42"/>
        <v>38767.328999999998</v>
      </c>
    </row>
    <row r="41" spans="1:91" ht="18.75" customHeight="1" x14ac:dyDescent="0.35">
      <c r="A41" s="50">
        <f t="shared" si="0"/>
        <v>34</v>
      </c>
      <c r="B41" s="51">
        <v>2</v>
      </c>
      <c r="C41" s="52" t="s">
        <v>223</v>
      </c>
      <c r="D41" s="52"/>
      <c r="E41" s="52"/>
      <c r="F41" s="53"/>
      <c r="G41" s="54">
        <v>40</v>
      </c>
      <c r="H41" s="55">
        <f t="shared" si="1"/>
        <v>0</v>
      </c>
      <c r="I41" s="53">
        <v>3792</v>
      </c>
      <c r="J41" s="56">
        <v>50</v>
      </c>
      <c r="K41" s="55">
        <f t="shared" si="2"/>
        <v>189600</v>
      </c>
      <c r="L41" s="53"/>
      <c r="M41" s="57">
        <v>60</v>
      </c>
      <c r="N41" s="55">
        <f t="shared" si="3"/>
        <v>0</v>
      </c>
      <c r="O41" s="53">
        <v>3161</v>
      </c>
      <c r="P41" s="57">
        <v>12</v>
      </c>
      <c r="Q41" s="55">
        <f t="shared" si="4"/>
        <v>37932</v>
      </c>
      <c r="R41" s="53">
        <v>2590</v>
      </c>
      <c r="S41" s="59">
        <v>12</v>
      </c>
      <c r="T41" s="55">
        <f t="shared" si="5"/>
        <v>31080</v>
      </c>
      <c r="U41" s="53">
        <v>254</v>
      </c>
      <c r="V41" s="57">
        <v>8</v>
      </c>
      <c r="W41" s="55">
        <f t="shared" si="6"/>
        <v>2032</v>
      </c>
      <c r="X41" s="53">
        <v>120</v>
      </c>
      <c r="Y41" s="57">
        <v>12</v>
      </c>
      <c r="Z41" s="55">
        <f t="shared" si="7"/>
        <v>1440</v>
      </c>
      <c r="AA41" s="53">
        <v>334</v>
      </c>
      <c r="AB41" s="57">
        <v>10</v>
      </c>
      <c r="AC41" s="55">
        <f t="shared" si="8"/>
        <v>3340</v>
      </c>
      <c r="AD41" s="53">
        <v>99</v>
      </c>
      <c r="AE41" s="57">
        <v>25</v>
      </c>
      <c r="AF41" s="55">
        <f t="shared" si="9"/>
        <v>2475</v>
      </c>
      <c r="AG41" s="53">
        <v>36</v>
      </c>
      <c r="AH41" s="57">
        <v>7.5</v>
      </c>
      <c r="AI41" s="55">
        <f t="shared" si="10"/>
        <v>270</v>
      </c>
      <c r="AJ41" s="53"/>
      <c r="AK41" s="56">
        <v>15</v>
      </c>
      <c r="AL41" s="55">
        <f t="shared" si="11"/>
        <v>0</v>
      </c>
      <c r="AM41" s="53">
        <v>166</v>
      </c>
      <c r="AN41" s="57">
        <v>10</v>
      </c>
      <c r="AO41" s="55">
        <f t="shared" si="12"/>
        <v>1660</v>
      </c>
      <c r="AP41" s="53">
        <f t="shared" si="13"/>
        <v>3599</v>
      </c>
      <c r="AQ41" s="53"/>
      <c r="AR41" s="61"/>
      <c r="AS41" s="53"/>
      <c r="AT41" s="53"/>
      <c r="AU41" s="55"/>
      <c r="AV41" s="53"/>
      <c r="AW41" s="53"/>
      <c r="AX41" s="66">
        <v>799</v>
      </c>
      <c r="AY41" s="53"/>
      <c r="AZ41" s="68">
        <f t="shared" si="14"/>
        <v>0.83359704641350207</v>
      </c>
      <c r="BA41" s="68">
        <f t="shared" si="15"/>
        <v>0.94910337552742619</v>
      </c>
      <c r="BB41" s="68">
        <f t="shared" si="16"/>
        <v>0.25276811135716548</v>
      </c>
      <c r="BC41" s="55">
        <f t="shared" si="17"/>
        <v>229967</v>
      </c>
      <c r="BD41" s="55">
        <f t="shared" si="18"/>
        <v>223155</v>
      </c>
      <c r="BE41" s="55">
        <f t="shared" si="19"/>
        <v>229967</v>
      </c>
      <c r="BF41" s="55">
        <f t="shared" si="20"/>
        <v>230237</v>
      </c>
      <c r="BG41" s="62">
        <v>285645</v>
      </c>
      <c r="BH41" s="63">
        <v>189538.58</v>
      </c>
      <c r="BI41" s="69">
        <f t="shared" si="21"/>
        <v>66.354593989042343</v>
      </c>
      <c r="BJ41" s="70">
        <f t="shared" si="22"/>
        <v>22956</v>
      </c>
      <c r="BK41" s="71">
        <f t="shared" si="23"/>
        <v>8.0365488630993007E-2</v>
      </c>
      <c r="BL41" s="72">
        <f t="shared" si="24"/>
        <v>2</v>
      </c>
      <c r="BM41" s="61">
        <f t="shared" si="25"/>
        <v>27350</v>
      </c>
      <c r="BN41" s="69">
        <f t="shared" si="26"/>
        <v>3.4056446069469839</v>
      </c>
      <c r="BO41" s="73">
        <f t="shared" si="27"/>
        <v>3437.5</v>
      </c>
      <c r="BP41" s="69">
        <f t="shared" si="28"/>
        <v>27.096546909090911</v>
      </c>
      <c r="BQ41" s="61">
        <f t="shared" si="29"/>
        <v>20000</v>
      </c>
      <c r="BR41" s="69">
        <f t="shared" si="30"/>
        <v>4.6572190000000004</v>
      </c>
      <c r="BS41" s="64">
        <f t="shared" si="31"/>
        <v>19400.880000000005</v>
      </c>
      <c r="BT41" s="69">
        <f t="shared" si="32"/>
        <v>4.8010389219458078</v>
      </c>
      <c r="BU41" s="65">
        <v>93144.38</v>
      </c>
      <c r="BV41" s="74">
        <f t="shared" si="33"/>
        <v>32.608440546832611</v>
      </c>
      <c r="BW41" s="75">
        <f t="shared" si="43"/>
        <v>2962.0400000000081</v>
      </c>
      <c r="BX41" s="69">
        <f t="shared" si="35"/>
        <v>1.0369654641250532</v>
      </c>
      <c r="BY41" s="55">
        <v>12295</v>
      </c>
      <c r="BZ41" s="55">
        <v>4773</v>
      </c>
      <c r="CA41" s="55">
        <v>3998</v>
      </c>
      <c r="CB41" s="55">
        <v>1890</v>
      </c>
      <c r="CC41" s="64">
        <v>27350</v>
      </c>
      <c r="CD41" s="64">
        <v>3437.5</v>
      </c>
      <c r="CE41" s="64">
        <v>20000</v>
      </c>
      <c r="CF41" s="76">
        <f t="shared" si="36"/>
        <v>4.304293791244377E-2</v>
      </c>
      <c r="CG41" s="76">
        <f t="shared" si="37"/>
        <v>1.6709552066376095E-2</v>
      </c>
      <c r="CH41" s="76">
        <f t="shared" si="38"/>
        <v>1.3996394125575452E-2</v>
      </c>
      <c r="CI41" s="76">
        <f t="shared" si="39"/>
        <v>6.6166045265977002E-3</v>
      </c>
      <c r="CJ41" s="76">
        <f t="shared" si="40"/>
        <v>9.5748218943093696E-2</v>
      </c>
      <c r="CK41" s="63">
        <f t="shared" si="41"/>
        <v>592.40800000000161</v>
      </c>
      <c r="CL41" s="77">
        <f t="shared" si="42"/>
        <v>2665.8360000000075</v>
      </c>
    </row>
    <row r="42" spans="1:91" ht="18.75" customHeight="1" x14ac:dyDescent="0.35">
      <c r="A42" s="50">
        <f t="shared" si="0"/>
        <v>35</v>
      </c>
      <c r="B42" s="51">
        <v>6</v>
      </c>
      <c r="C42" s="52" t="s">
        <v>115</v>
      </c>
      <c r="D42" s="52"/>
      <c r="E42" s="52"/>
      <c r="F42" s="53"/>
      <c r="G42" s="54">
        <v>40</v>
      </c>
      <c r="H42" s="55">
        <f t="shared" si="1"/>
        <v>0</v>
      </c>
      <c r="I42" s="53">
        <v>15236</v>
      </c>
      <c r="J42" s="56">
        <v>50</v>
      </c>
      <c r="K42" s="55">
        <f t="shared" si="2"/>
        <v>761800</v>
      </c>
      <c r="L42" s="53"/>
      <c r="M42" s="57">
        <v>60</v>
      </c>
      <c r="N42" s="55">
        <f t="shared" si="3"/>
        <v>0</v>
      </c>
      <c r="O42" s="53">
        <v>4927</v>
      </c>
      <c r="P42" s="57">
        <v>12</v>
      </c>
      <c r="Q42" s="55">
        <f t="shared" si="4"/>
        <v>59124</v>
      </c>
      <c r="R42" s="53">
        <v>850</v>
      </c>
      <c r="S42" s="59">
        <v>12</v>
      </c>
      <c r="T42" s="55">
        <f t="shared" si="5"/>
        <v>10200</v>
      </c>
      <c r="U42" s="53">
        <v>672</v>
      </c>
      <c r="V42" s="57">
        <v>8</v>
      </c>
      <c r="W42" s="55">
        <f t="shared" si="6"/>
        <v>5376</v>
      </c>
      <c r="X42" s="53">
        <v>195</v>
      </c>
      <c r="Y42" s="57">
        <v>12</v>
      </c>
      <c r="Z42" s="55">
        <f t="shared" si="7"/>
        <v>2340</v>
      </c>
      <c r="AA42" s="53">
        <v>679</v>
      </c>
      <c r="AB42" s="57">
        <v>10</v>
      </c>
      <c r="AC42" s="55">
        <f t="shared" si="8"/>
        <v>6790</v>
      </c>
      <c r="AD42" s="53">
        <v>285</v>
      </c>
      <c r="AE42" s="57">
        <v>25</v>
      </c>
      <c r="AF42" s="55">
        <f t="shared" si="9"/>
        <v>7125</v>
      </c>
      <c r="AG42" s="53">
        <v>158</v>
      </c>
      <c r="AH42" s="57">
        <v>7.5</v>
      </c>
      <c r="AI42" s="55">
        <f t="shared" si="10"/>
        <v>1185</v>
      </c>
      <c r="AJ42" s="53"/>
      <c r="AK42" s="56">
        <v>15</v>
      </c>
      <c r="AL42" s="55">
        <f t="shared" si="11"/>
        <v>0</v>
      </c>
      <c r="AM42" s="53">
        <v>279</v>
      </c>
      <c r="AN42" s="57">
        <v>10</v>
      </c>
      <c r="AO42" s="55">
        <f t="shared" si="12"/>
        <v>2790</v>
      </c>
      <c r="AP42" s="53">
        <f t="shared" si="13"/>
        <v>3118</v>
      </c>
      <c r="AQ42" s="53"/>
      <c r="AR42" s="61"/>
      <c r="AS42" s="53"/>
      <c r="AT42" s="53"/>
      <c r="AU42" s="55"/>
      <c r="AV42" s="53"/>
      <c r="AW42" s="53"/>
      <c r="AX42" s="66">
        <v>2015</v>
      </c>
      <c r="AY42" s="53"/>
      <c r="AZ42" s="68">
        <f t="shared" si="14"/>
        <v>0.32337883959044367</v>
      </c>
      <c r="BA42" s="68">
        <f t="shared" si="15"/>
        <v>0.20464688894723024</v>
      </c>
      <c r="BB42" s="68">
        <f t="shared" si="16"/>
        <v>0.40897097625329815</v>
      </c>
      <c r="BC42" s="55">
        <f t="shared" si="17"/>
        <v>793631</v>
      </c>
      <c r="BD42" s="55">
        <f t="shared" si="18"/>
        <v>779125</v>
      </c>
      <c r="BE42" s="55">
        <f t="shared" si="19"/>
        <v>793631</v>
      </c>
      <c r="BF42" s="55">
        <f t="shared" si="20"/>
        <v>794816</v>
      </c>
      <c r="BG42" s="62">
        <v>892285</v>
      </c>
      <c r="BH42" s="63">
        <v>608083.44999999995</v>
      </c>
      <c r="BI42" s="69">
        <f t="shared" si="21"/>
        <v>68.149016289638396</v>
      </c>
      <c r="BJ42" s="70">
        <f t="shared" si="22"/>
        <v>68997</v>
      </c>
      <c r="BK42" s="71">
        <f t="shared" si="23"/>
        <v>7.732619062295118E-2</v>
      </c>
      <c r="BL42" s="72">
        <f t="shared" si="24"/>
        <v>6</v>
      </c>
      <c r="BM42" s="61">
        <f t="shared" si="25"/>
        <v>76750</v>
      </c>
      <c r="BN42" s="69">
        <f t="shared" si="26"/>
        <v>2.797527035830619</v>
      </c>
      <c r="BO42" s="73">
        <f t="shared" si="27"/>
        <v>0</v>
      </c>
      <c r="BP42" s="69" t="e">
        <f t="shared" si="28"/>
        <v>#DIV/0!</v>
      </c>
      <c r="BQ42" s="61">
        <f t="shared" si="29"/>
        <v>10000</v>
      </c>
      <c r="BR42" s="69">
        <f t="shared" si="30"/>
        <v>21.471020000000003</v>
      </c>
      <c r="BS42" s="64">
        <f t="shared" si="31"/>
        <v>58963.200000000012</v>
      </c>
      <c r="BT42" s="69">
        <f t="shared" si="32"/>
        <v>3.6414271952675561</v>
      </c>
      <c r="BU42" s="65">
        <v>214710.2</v>
      </c>
      <c r="BV42" s="74">
        <f t="shared" si="33"/>
        <v>24.062961946015008</v>
      </c>
      <c r="BW42" s="75">
        <f t="shared" si="43"/>
        <v>69491.350000000035</v>
      </c>
      <c r="BX42" s="69">
        <f t="shared" si="35"/>
        <v>7.7880217643465972</v>
      </c>
      <c r="BY42" s="55">
        <v>24758</v>
      </c>
      <c r="BZ42" s="55">
        <v>20683</v>
      </c>
      <c r="CA42" s="55">
        <v>19236</v>
      </c>
      <c r="CB42" s="55">
        <v>4320</v>
      </c>
      <c r="CC42" s="64">
        <v>76750</v>
      </c>
      <c r="CD42" s="64"/>
      <c r="CE42" s="64">
        <v>10000</v>
      </c>
      <c r="CF42" s="76">
        <f t="shared" si="36"/>
        <v>2.7746740111063168E-2</v>
      </c>
      <c r="CG42" s="76">
        <f t="shared" si="37"/>
        <v>2.3179813624570625E-2</v>
      </c>
      <c r="CH42" s="76">
        <f t="shared" si="38"/>
        <v>2.15581344525572E-2</v>
      </c>
      <c r="CI42" s="76">
        <f t="shared" si="39"/>
        <v>4.8415024347601941E-3</v>
      </c>
      <c r="CJ42" s="76">
        <f t="shared" si="40"/>
        <v>8.6015118487927061E-2</v>
      </c>
      <c r="CK42" s="63">
        <f t="shared" si="41"/>
        <v>13898.270000000008</v>
      </c>
      <c r="CL42" s="77">
        <f t="shared" si="42"/>
        <v>62542.215000000033</v>
      </c>
    </row>
    <row r="43" spans="1:91" ht="18.75" customHeight="1" x14ac:dyDescent="0.35">
      <c r="A43" s="50">
        <f t="shared" si="0"/>
        <v>36</v>
      </c>
      <c r="B43" s="122"/>
      <c r="C43" s="52" t="s">
        <v>245</v>
      </c>
      <c r="D43" s="52"/>
      <c r="E43" s="52"/>
      <c r="F43" s="53"/>
      <c r="G43" s="54">
        <v>40</v>
      </c>
      <c r="H43" s="55">
        <f t="shared" si="1"/>
        <v>0</v>
      </c>
      <c r="I43" s="53">
        <v>7621</v>
      </c>
      <c r="J43" s="56">
        <v>50</v>
      </c>
      <c r="K43" s="55">
        <f t="shared" si="2"/>
        <v>381050</v>
      </c>
      <c r="L43" s="53"/>
      <c r="M43" s="57">
        <v>60</v>
      </c>
      <c r="N43" s="55">
        <f t="shared" si="3"/>
        <v>0</v>
      </c>
      <c r="O43" s="53">
        <v>3953</v>
      </c>
      <c r="P43" s="57">
        <v>12</v>
      </c>
      <c r="Q43" s="55">
        <f t="shared" si="4"/>
        <v>47436</v>
      </c>
      <c r="R43" s="53">
        <v>310</v>
      </c>
      <c r="S43" s="59">
        <v>12</v>
      </c>
      <c r="T43" s="55">
        <f t="shared" si="5"/>
        <v>3720</v>
      </c>
      <c r="U43" s="53">
        <v>1694</v>
      </c>
      <c r="V43" s="57">
        <v>8</v>
      </c>
      <c r="W43" s="55">
        <f t="shared" si="6"/>
        <v>13552</v>
      </c>
      <c r="X43" s="53">
        <v>2055</v>
      </c>
      <c r="Y43" s="57">
        <v>12</v>
      </c>
      <c r="Z43" s="55">
        <f t="shared" si="7"/>
        <v>24660</v>
      </c>
      <c r="AA43" s="53">
        <v>905</v>
      </c>
      <c r="AB43" s="57">
        <v>10</v>
      </c>
      <c r="AC43" s="55">
        <f t="shared" si="8"/>
        <v>9050</v>
      </c>
      <c r="AD43" s="53">
        <v>984</v>
      </c>
      <c r="AE43" s="57">
        <v>25</v>
      </c>
      <c r="AF43" s="55">
        <f t="shared" si="9"/>
        <v>24600</v>
      </c>
      <c r="AG43" s="53">
        <v>421</v>
      </c>
      <c r="AH43" s="57">
        <v>7.5</v>
      </c>
      <c r="AI43" s="55">
        <f t="shared" si="10"/>
        <v>3157.5</v>
      </c>
      <c r="AJ43" s="53"/>
      <c r="AK43" s="56">
        <v>15</v>
      </c>
      <c r="AL43" s="55">
        <f t="shared" si="11"/>
        <v>0</v>
      </c>
      <c r="AM43" s="53"/>
      <c r="AN43" s="57">
        <v>10</v>
      </c>
      <c r="AO43" s="55">
        <f t="shared" si="12"/>
        <v>0</v>
      </c>
      <c r="AP43" s="53">
        <f t="shared" si="13"/>
        <v>6369</v>
      </c>
      <c r="AQ43" s="53"/>
      <c r="AR43" s="61"/>
      <c r="AS43" s="53"/>
      <c r="AT43" s="53"/>
      <c r="AU43" s="55"/>
      <c r="AV43" s="53"/>
      <c r="AW43" s="53"/>
      <c r="AX43" s="66">
        <f>1220+361+6+174+92</f>
        <v>1853</v>
      </c>
      <c r="AY43" s="53"/>
      <c r="AZ43" s="68">
        <f t="shared" si="14"/>
        <v>0.51869833355202732</v>
      </c>
      <c r="BA43" s="68">
        <f t="shared" si="15"/>
        <v>0.83571709749376721</v>
      </c>
      <c r="BB43" s="68">
        <f t="shared" si="16"/>
        <v>0.46875790538831269</v>
      </c>
      <c r="BC43" s="55">
        <f t="shared" si="17"/>
        <v>456632</v>
      </c>
      <c r="BD43" s="55">
        <f t="shared" si="18"/>
        <v>409370</v>
      </c>
      <c r="BE43" s="55">
        <f t="shared" si="19"/>
        <v>456632</v>
      </c>
      <c r="BF43" s="55">
        <f t="shared" si="20"/>
        <v>459789.5</v>
      </c>
      <c r="BG43" s="62">
        <v>537040.5</v>
      </c>
      <c r="BH43" s="63">
        <v>358425.57</v>
      </c>
      <c r="BI43" s="69">
        <f t="shared" si="21"/>
        <v>66.740882670860017</v>
      </c>
      <c r="BJ43" s="70">
        <f t="shared" si="22"/>
        <v>44523</v>
      </c>
      <c r="BK43" s="71">
        <f t="shared" si="23"/>
        <v>8.2904361961528047E-2</v>
      </c>
      <c r="BL43" s="72">
        <f t="shared" si="24"/>
        <v>0</v>
      </c>
      <c r="BM43" s="61">
        <f t="shared" si="25"/>
        <v>48700</v>
      </c>
      <c r="BN43" s="69">
        <f t="shared" si="26"/>
        <v>3.1837002053388095</v>
      </c>
      <c r="BO43" s="73">
        <f t="shared" si="27"/>
        <v>0</v>
      </c>
      <c r="BP43" s="69" t="e">
        <f t="shared" si="28"/>
        <v>#DIV/0!</v>
      </c>
      <c r="BQ43" s="61">
        <f t="shared" si="29"/>
        <v>18000</v>
      </c>
      <c r="BR43" s="69">
        <f t="shared" si="30"/>
        <v>8.6136777777777791</v>
      </c>
      <c r="BS43" s="64">
        <f t="shared" si="31"/>
        <v>43823.200000000012</v>
      </c>
      <c r="BT43" s="69">
        <f t="shared" si="32"/>
        <v>3.5379935741798856</v>
      </c>
      <c r="BU43" s="65">
        <v>155046.20000000001</v>
      </c>
      <c r="BV43" s="74">
        <f t="shared" si="33"/>
        <v>28.870485559282777</v>
      </c>
      <c r="BW43" s="75">
        <f t="shared" si="43"/>
        <v>23568.729999999981</v>
      </c>
      <c r="BX43" s="69">
        <f t="shared" si="35"/>
        <v>4.3886317698572048</v>
      </c>
      <c r="BY43" s="55">
        <v>18561</v>
      </c>
      <c r="BZ43" s="55">
        <v>9546</v>
      </c>
      <c r="CA43" s="55">
        <v>12366</v>
      </c>
      <c r="CB43" s="55">
        <v>4050</v>
      </c>
      <c r="CC43" s="64">
        <v>48700</v>
      </c>
      <c r="CD43" s="64"/>
      <c r="CE43" s="64">
        <v>18000</v>
      </c>
      <c r="CF43" s="76">
        <f t="shared" si="36"/>
        <v>3.4561639205981674E-2</v>
      </c>
      <c r="CG43" s="76">
        <f t="shared" si="37"/>
        <v>1.7775195725462045E-2</v>
      </c>
      <c r="CH43" s="76">
        <f t="shared" si="38"/>
        <v>2.3026196348320097E-2</v>
      </c>
      <c r="CI43" s="76">
        <f t="shared" si="39"/>
        <v>7.5413306817642247E-3</v>
      </c>
      <c r="CJ43" s="76">
        <f t="shared" si="40"/>
        <v>9.0682173877016728E-2</v>
      </c>
      <c r="CK43" s="63">
        <f t="shared" si="41"/>
        <v>4713.7459999999965</v>
      </c>
      <c r="CL43" s="77">
        <f t="shared" si="42"/>
        <v>21211.856999999985</v>
      </c>
    </row>
    <row r="44" spans="1:91" ht="18.75" customHeight="1" x14ac:dyDescent="0.35">
      <c r="A44" s="50">
        <f t="shared" si="0"/>
        <v>37</v>
      </c>
      <c r="B44" s="122"/>
      <c r="C44" s="52" t="s">
        <v>246</v>
      </c>
      <c r="D44" s="52"/>
      <c r="E44" s="52"/>
      <c r="F44" s="53"/>
      <c r="G44" s="54">
        <v>40</v>
      </c>
      <c r="H44" s="55">
        <f t="shared" si="1"/>
        <v>0</v>
      </c>
      <c r="I44" s="53">
        <v>2549</v>
      </c>
      <c r="J44" s="56">
        <v>50</v>
      </c>
      <c r="K44" s="55">
        <f t="shared" si="2"/>
        <v>127450</v>
      </c>
      <c r="L44" s="53"/>
      <c r="M44" s="57">
        <v>60</v>
      </c>
      <c r="N44" s="55">
        <f t="shared" si="3"/>
        <v>0</v>
      </c>
      <c r="O44" s="53">
        <v>1617</v>
      </c>
      <c r="P44" s="57">
        <v>12</v>
      </c>
      <c r="Q44" s="55">
        <f t="shared" si="4"/>
        <v>19404</v>
      </c>
      <c r="R44" s="53">
        <v>80</v>
      </c>
      <c r="S44" s="59">
        <v>12</v>
      </c>
      <c r="T44" s="55">
        <f t="shared" si="5"/>
        <v>960</v>
      </c>
      <c r="U44" s="53">
        <v>410</v>
      </c>
      <c r="V44" s="57">
        <v>8</v>
      </c>
      <c r="W44" s="55">
        <f t="shared" si="6"/>
        <v>3280</v>
      </c>
      <c r="X44" s="53">
        <v>480</v>
      </c>
      <c r="Y44" s="57">
        <v>12</v>
      </c>
      <c r="Z44" s="55">
        <f t="shared" si="7"/>
        <v>5760</v>
      </c>
      <c r="AA44" s="53">
        <v>480</v>
      </c>
      <c r="AB44" s="57">
        <v>10</v>
      </c>
      <c r="AC44" s="55">
        <f t="shared" si="8"/>
        <v>4800</v>
      </c>
      <c r="AD44" s="53">
        <v>180</v>
      </c>
      <c r="AE44" s="57">
        <v>25</v>
      </c>
      <c r="AF44" s="55">
        <f t="shared" si="9"/>
        <v>4500</v>
      </c>
      <c r="AG44" s="53">
        <v>48</v>
      </c>
      <c r="AH44" s="57">
        <v>7.5</v>
      </c>
      <c r="AI44" s="55">
        <f t="shared" si="10"/>
        <v>360</v>
      </c>
      <c r="AJ44" s="53"/>
      <c r="AK44" s="56">
        <v>15</v>
      </c>
      <c r="AL44" s="55">
        <f t="shared" si="11"/>
        <v>0</v>
      </c>
      <c r="AM44" s="53"/>
      <c r="AN44" s="57">
        <v>10</v>
      </c>
      <c r="AO44" s="55">
        <f t="shared" si="12"/>
        <v>0</v>
      </c>
      <c r="AP44" s="53">
        <f t="shared" si="13"/>
        <v>1678</v>
      </c>
      <c r="AQ44" s="53"/>
      <c r="AR44" s="61"/>
      <c r="AS44" s="53"/>
      <c r="AT44" s="53"/>
      <c r="AU44" s="55"/>
      <c r="AV44" s="53"/>
      <c r="AW44" s="53"/>
      <c r="AX44" s="66">
        <v>651</v>
      </c>
      <c r="AY44" s="53"/>
      <c r="AZ44" s="68">
        <f t="shared" si="14"/>
        <v>0.63436641820321693</v>
      </c>
      <c r="BA44" s="68">
        <f t="shared" si="15"/>
        <v>0.65829737151824241</v>
      </c>
      <c r="BB44" s="68">
        <f t="shared" si="16"/>
        <v>0.40259740259740262</v>
      </c>
      <c r="BC44" s="55">
        <f t="shared" si="17"/>
        <v>146750</v>
      </c>
      <c r="BD44" s="55">
        <f t="shared" si="18"/>
        <v>132910</v>
      </c>
      <c r="BE44" s="55">
        <f t="shared" si="19"/>
        <v>146750</v>
      </c>
      <c r="BF44" s="55">
        <f t="shared" si="20"/>
        <v>147110</v>
      </c>
      <c r="BG44" s="62">
        <v>177772</v>
      </c>
      <c r="BH44" s="63">
        <v>117775.07</v>
      </c>
      <c r="BI44" s="69">
        <f t="shared" si="21"/>
        <v>66.250630020475668</v>
      </c>
      <c r="BJ44" s="70">
        <f t="shared" si="22"/>
        <v>19210</v>
      </c>
      <c r="BK44" s="71">
        <f t="shared" si="23"/>
        <v>0.10805976194226312</v>
      </c>
      <c r="BL44" s="72">
        <v>3</v>
      </c>
      <c r="BM44" s="61">
        <f t="shared" si="25"/>
        <v>12100</v>
      </c>
      <c r="BN44" s="69">
        <f t="shared" si="26"/>
        <v>3.5542462809917352</v>
      </c>
      <c r="BO44" s="73">
        <f t="shared" si="27"/>
        <v>1875</v>
      </c>
      <c r="BP44" s="69">
        <f t="shared" si="28"/>
        <v>22.936736</v>
      </c>
      <c r="BQ44" s="61">
        <f t="shared" si="29"/>
        <v>0</v>
      </c>
      <c r="BR44" s="69" t="e">
        <f t="shared" si="30"/>
        <v>#DIV/0!</v>
      </c>
      <c r="BS44" s="64">
        <f t="shared" si="31"/>
        <v>9821.3799999999974</v>
      </c>
      <c r="BT44" s="69">
        <f t="shared" si="32"/>
        <v>4.3788530736006557</v>
      </c>
      <c r="BU44" s="65">
        <v>43006.38</v>
      </c>
      <c r="BV44" s="74">
        <f t="shared" si="33"/>
        <v>24.191874985937041</v>
      </c>
      <c r="BW44" s="75">
        <f t="shared" si="43"/>
        <v>16990.549999999996</v>
      </c>
      <c r="BX44" s="69">
        <f t="shared" si="35"/>
        <v>9.557494993587289</v>
      </c>
      <c r="BY44" s="55">
        <v>6009</v>
      </c>
      <c r="BZ44" s="55">
        <v>4773</v>
      </c>
      <c r="CA44" s="55">
        <v>6808</v>
      </c>
      <c r="CB44" s="55">
        <v>1620</v>
      </c>
      <c r="CC44" s="64">
        <v>12100</v>
      </c>
      <c r="CD44" s="64">
        <v>1875</v>
      </c>
      <c r="CE44" s="64"/>
      <c r="CF44" s="76">
        <f t="shared" si="36"/>
        <v>3.3801723556015573E-2</v>
      </c>
      <c r="CG44" s="76">
        <f t="shared" si="37"/>
        <v>2.6848997592421753E-2</v>
      </c>
      <c r="CH44" s="76">
        <f t="shared" si="38"/>
        <v>3.8296244627950407E-2</v>
      </c>
      <c r="CI44" s="76">
        <f t="shared" si="39"/>
        <v>9.1127961658753909E-3</v>
      </c>
      <c r="CJ44" s="76">
        <f t="shared" si="40"/>
        <v>6.8064712103143354E-2</v>
      </c>
      <c r="CK44" s="63">
        <f t="shared" si="41"/>
        <v>3398.1099999999992</v>
      </c>
      <c r="CL44" s="77">
        <f t="shared" si="42"/>
        <v>15291.494999999997</v>
      </c>
    </row>
    <row r="45" spans="1:91" ht="18.75" customHeight="1" x14ac:dyDescent="0.35">
      <c r="A45" s="50">
        <f t="shared" si="0"/>
        <v>38</v>
      </c>
      <c r="B45" s="122"/>
      <c r="C45" s="52" t="s">
        <v>247</v>
      </c>
      <c r="D45" s="52"/>
      <c r="E45" s="52"/>
      <c r="F45" s="53"/>
      <c r="G45" s="54">
        <v>40</v>
      </c>
      <c r="H45" s="55">
        <f t="shared" si="1"/>
        <v>0</v>
      </c>
      <c r="I45" s="53">
        <v>779</v>
      </c>
      <c r="J45" s="56">
        <v>50</v>
      </c>
      <c r="K45" s="55">
        <f t="shared" si="2"/>
        <v>38950</v>
      </c>
      <c r="L45" s="53"/>
      <c r="M45" s="57">
        <v>60</v>
      </c>
      <c r="N45" s="55">
        <f t="shared" si="3"/>
        <v>0</v>
      </c>
      <c r="O45" s="53">
        <v>444</v>
      </c>
      <c r="P45" s="57">
        <v>12</v>
      </c>
      <c r="Q45" s="55">
        <f t="shared" si="4"/>
        <v>5328</v>
      </c>
      <c r="R45" s="53">
        <v>30</v>
      </c>
      <c r="S45" s="59">
        <v>12</v>
      </c>
      <c r="T45" s="55">
        <f t="shared" si="5"/>
        <v>360</v>
      </c>
      <c r="U45" s="53">
        <v>65</v>
      </c>
      <c r="V45" s="57">
        <v>8</v>
      </c>
      <c r="W45" s="55">
        <f t="shared" si="6"/>
        <v>520</v>
      </c>
      <c r="X45" s="53">
        <v>54</v>
      </c>
      <c r="Y45" s="57">
        <v>12</v>
      </c>
      <c r="Z45" s="55">
        <f t="shared" si="7"/>
        <v>648</v>
      </c>
      <c r="AA45" s="53">
        <v>61</v>
      </c>
      <c r="AB45" s="57">
        <v>10</v>
      </c>
      <c r="AC45" s="55">
        <f t="shared" si="8"/>
        <v>610</v>
      </c>
      <c r="AD45" s="53">
        <v>25</v>
      </c>
      <c r="AE45" s="57">
        <v>25</v>
      </c>
      <c r="AF45" s="55">
        <f t="shared" si="9"/>
        <v>625</v>
      </c>
      <c r="AG45" s="53">
        <v>46</v>
      </c>
      <c r="AH45" s="57">
        <v>7.5</v>
      </c>
      <c r="AI45" s="55">
        <f t="shared" si="10"/>
        <v>345</v>
      </c>
      <c r="AJ45" s="53"/>
      <c r="AK45" s="56">
        <v>15</v>
      </c>
      <c r="AL45" s="55">
        <f t="shared" si="11"/>
        <v>0</v>
      </c>
      <c r="AM45" s="53"/>
      <c r="AN45" s="57">
        <v>10</v>
      </c>
      <c r="AO45" s="55">
        <f t="shared" si="12"/>
        <v>0</v>
      </c>
      <c r="AP45" s="53">
        <f t="shared" si="13"/>
        <v>281</v>
      </c>
      <c r="AQ45" s="53"/>
      <c r="AR45" s="61"/>
      <c r="AS45" s="53"/>
      <c r="AT45" s="53"/>
      <c r="AU45" s="55"/>
      <c r="AV45" s="53"/>
      <c r="AW45" s="53"/>
      <c r="AX45" s="66">
        <v>51</v>
      </c>
      <c r="AY45" s="53"/>
      <c r="AZ45" s="68">
        <f t="shared" si="14"/>
        <v>0.56996148908857514</v>
      </c>
      <c r="BA45" s="68">
        <f t="shared" si="15"/>
        <v>0.36071887034659822</v>
      </c>
      <c r="BB45" s="68">
        <f t="shared" si="16"/>
        <v>0.11486486486486487</v>
      </c>
      <c r="BC45" s="55">
        <f t="shared" si="17"/>
        <v>41713</v>
      </c>
      <c r="BD45" s="55">
        <f t="shared" si="18"/>
        <v>39935</v>
      </c>
      <c r="BE45" s="55">
        <f t="shared" si="19"/>
        <v>41713</v>
      </c>
      <c r="BF45" s="55">
        <f t="shared" si="20"/>
        <v>42058</v>
      </c>
      <c r="BG45" s="62">
        <v>48215</v>
      </c>
      <c r="BH45" s="63">
        <v>33016.83</v>
      </c>
      <c r="BI45" s="69">
        <f t="shared" si="21"/>
        <v>68.478336617235314</v>
      </c>
      <c r="BJ45" s="70">
        <f t="shared" si="22"/>
        <v>7844</v>
      </c>
      <c r="BK45" s="71">
        <f t="shared" si="23"/>
        <v>0.16268796017836773</v>
      </c>
      <c r="BL45" s="72">
        <f>B45</f>
        <v>0</v>
      </c>
      <c r="BM45" s="61">
        <f t="shared" si="25"/>
        <v>0</v>
      </c>
      <c r="BN45" s="69" t="e">
        <f t="shared" si="26"/>
        <v>#DIV/0!</v>
      </c>
      <c r="BO45" s="73">
        <f t="shared" si="27"/>
        <v>900</v>
      </c>
      <c r="BP45" s="69">
        <f t="shared" si="28"/>
        <v>12.041711111111113</v>
      </c>
      <c r="BQ45" s="61">
        <f t="shared" si="29"/>
        <v>0</v>
      </c>
      <c r="BR45" s="69" t="e">
        <f t="shared" si="30"/>
        <v>#DIV/0!</v>
      </c>
      <c r="BS45" s="64">
        <f t="shared" si="31"/>
        <v>2093.5400000000009</v>
      </c>
      <c r="BT45" s="69">
        <f t="shared" si="32"/>
        <v>5.1766577185054965</v>
      </c>
      <c r="BU45" s="65">
        <v>10837.54</v>
      </c>
      <c r="BV45" s="74">
        <f t="shared" si="33"/>
        <v>22.477527740329776</v>
      </c>
      <c r="BW45" s="75">
        <f t="shared" si="43"/>
        <v>4360.6299999999974</v>
      </c>
      <c r="BX45" s="69">
        <f t="shared" si="35"/>
        <v>9.044135642434922</v>
      </c>
      <c r="BY45" s="55"/>
      <c r="BZ45" s="55">
        <v>3182</v>
      </c>
      <c r="CA45" s="55">
        <v>4122</v>
      </c>
      <c r="CB45" s="55">
        <v>540</v>
      </c>
      <c r="CC45" s="64"/>
      <c r="CD45" s="64">
        <v>900</v>
      </c>
      <c r="CE45" s="64"/>
      <c r="CF45" s="76">
        <f t="shared" si="36"/>
        <v>0</v>
      </c>
      <c r="CG45" s="76">
        <f t="shared" si="37"/>
        <v>6.5996059317639744E-2</v>
      </c>
      <c r="CH45" s="76">
        <f t="shared" si="38"/>
        <v>8.5492066784195783E-2</v>
      </c>
      <c r="CI45" s="76">
        <f t="shared" si="39"/>
        <v>1.11998340765322E-2</v>
      </c>
      <c r="CJ45" s="76">
        <f t="shared" si="40"/>
        <v>0</v>
      </c>
      <c r="CK45" s="63">
        <f t="shared" si="41"/>
        <v>872.12599999999952</v>
      </c>
      <c r="CL45" s="77">
        <f t="shared" si="42"/>
        <v>3924.5669999999977</v>
      </c>
    </row>
    <row r="46" spans="1:91" ht="18.75" customHeight="1" x14ac:dyDescent="0.3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147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14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81"/>
      <c r="BW46" s="78"/>
      <c r="BX46" s="78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78"/>
    </row>
    <row r="47" spans="1:91" ht="18.75" customHeight="1" x14ac:dyDescent="0.35">
      <c r="A47" s="383" t="s">
        <v>224</v>
      </c>
      <c r="B47" s="384"/>
      <c r="C47" s="387" t="s">
        <v>225</v>
      </c>
      <c r="D47" s="83"/>
      <c r="E47" s="83"/>
      <c r="F47" s="388" t="s">
        <v>226</v>
      </c>
      <c r="G47" s="389"/>
      <c r="H47" s="389"/>
      <c r="I47" s="389"/>
      <c r="J47" s="389"/>
      <c r="K47" s="389"/>
      <c r="L47" s="389"/>
      <c r="M47" s="389"/>
      <c r="N47" s="389"/>
      <c r="O47" s="389"/>
      <c r="P47" s="389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M47" s="389"/>
      <c r="AN47" s="389"/>
      <c r="AO47" s="389"/>
      <c r="AP47" s="389"/>
      <c r="AQ47" s="389"/>
      <c r="AR47" s="389"/>
      <c r="AS47" s="389"/>
      <c r="AT47" s="389"/>
      <c r="AU47" s="389"/>
      <c r="AV47" s="389"/>
      <c r="AW47" s="389"/>
      <c r="AX47" s="390"/>
      <c r="AY47" s="84"/>
      <c r="AZ47" s="391"/>
      <c r="BA47" s="391"/>
      <c r="BB47" s="391"/>
      <c r="BC47" s="392" t="s">
        <v>227</v>
      </c>
      <c r="BD47" s="392" t="s">
        <v>228</v>
      </c>
      <c r="BE47" s="392" t="s">
        <v>229</v>
      </c>
      <c r="BF47" s="392" t="s">
        <v>230</v>
      </c>
      <c r="BG47" s="398" t="s">
        <v>231</v>
      </c>
      <c r="BH47" s="400" t="s">
        <v>232</v>
      </c>
      <c r="BI47" s="85"/>
      <c r="BJ47" s="86"/>
      <c r="BK47" s="86"/>
      <c r="BL47" s="86"/>
      <c r="BM47" s="86"/>
      <c r="BN47" s="86"/>
      <c r="BO47" s="86"/>
      <c r="BP47" s="86"/>
      <c r="BQ47" s="86"/>
      <c r="BR47" s="86"/>
      <c r="BS47" s="402"/>
      <c r="BT47" s="87"/>
      <c r="BU47" s="403" t="s">
        <v>64</v>
      </c>
      <c r="BV47" s="88"/>
      <c r="BW47" s="395" t="s">
        <v>233</v>
      </c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396" t="s">
        <v>113</v>
      </c>
      <c r="CL47" s="396" t="s">
        <v>114</v>
      </c>
      <c r="CM47" s="89"/>
    </row>
    <row r="48" spans="1:91" ht="26.25" customHeight="1" x14ac:dyDescent="0.35">
      <c r="A48" s="385"/>
      <c r="B48" s="386"/>
      <c r="C48" s="377"/>
      <c r="D48" s="90"/>
      <c r="E48" s="90"/>
      <c r="F48" s="91" t="s">
        <v>234</v>
      </c>
      <c r="G48" s="92" t="s">
        <v>70</v>
      </c>
      <c r="H48" s="93" t="s">
        <v>71</v>
      </c>
      <c r="I48" s="91" t="s">
        <v>235</v>
      </c>
      <c r="J48" s="94" t="s">
        <v>70</v>
      </c>
      <c r="K48" s="95" t="s">
        <v>71</v>
      </c>
      <c r="L48" s="91" t="s">
        <v>73</v>
      </c>
      <c r="M48" s="94" t="s">
        <v>70</v>
      </c>
      <c r="N48" s="95" t="s">
        <v>71</v>
      </c>
      <c r="O48" s="96" t="s">
        <v>236</v>
      </c>
      <c r="P48" s="92" t="s">
        <v>70</v>
      </c>
      <c r="Q48" s="93" t="s">
        <v>71</v>
      </c>
      <c r="R48" s="96" t="s">
        <v>31</v>
      </c>
      <c r="S48" s="92" t="s">
        <v>70</v>
      </c>
      <c r="T48" s="93" t="s">
        <v>71</v>
      </c>
      <c r="U48" s="91" t="s">
        <v>237</v>
      </c>
      <c r="V48" s="92" t="s">
        <v>70</v>
      </c>
      <c r="W48" s="93" t="s">
        <v>71</v>
      </c>
      <c r="X48" s="91" t="s">
        <v>238</v>
      </c>
      <c r="Y48" s="92" t="s">
        <v>70</v>
      </c>
      <c r="Z48" s="93" t="s">
        <v>71</v>
      </c>
      <c r="AA48" s="91" t="s">
        <v>239</v>
      </c>
      <c r="AB48" s="92" t="s">
        <v>70</v>
      </c>
      <c r="AC48" s="93" t="s">
        <v>71</v>
      </c>
      <c r="AD48" s="91" t="s">
        <v>240</v>
      </c>
      <c r="AE48" s="92" t="s">
        <v>70</v>
      </c>
      <c r="AF48" s="93" t="s">
        <v>71</v>
      </c>
      <c r="AG48" s="97" t="s">
        <v>241</v>
      </c>
      <c r="AH48" s="92" t="s">
        <v>70</v>
      </c>
      <c r="AI48" s="98" t="s">
        <v>71</v>
      </c>
      <c r="AJ48" s="97" t="s">
        <v>82</v>
      </c>
      <c r="AK48" s="99" t="s">
        <v>70</v>
      </c>
      <c r="AL48" s="98" t="s">
        <v>71</v>
      </c>
      <c r="AM48" s="97" t="s">
        <v>83</v>
      </c>
      <c r="AN48" s="99" t="s">
        <v>70</v>
      </c>
      <c r="AO48" s="98" t="s">
        <v>71</v>
      </c>
      <c r="AP48" s="91" t="s">
        <v>242</v>
      </c>
      <c r="AQ48" s="91" t="s">
        <v>84</v>
      </c>
      <c r="AR48" s="94" t="s">
        <v>85</v>
      </c>
      <c r="AS48" s="95" t="s">
        <v>86</v>
      </c>
      <c r="AT48" s="91" t="s">
        <v>87</v>
      </c>
      <c r="AU48" s="94" t="s">
        <v>243</v>
      </c>
      <c r="AV48" s="95" t="s">
        <v>86</v>
      </c>
      <c r="AW48" s="95" t="s">
        <v>41</v>
      </c>
      <c r="AX48" s="91" t="s">
        <v>42</v>
      </c>
      <c r="AY48" s="100" t="s">
        <v>89</v>
      </c>
      <c r="AZ48" s="377"/>
      <c r="BA48" s="377"/>
      <c r="BB48" s="377"/>
      <c r="BC48" s="377"/>
      <c r="BD48" s="377"/>
      <c r="BE48" s="377"/>
      <c r="BF48" s="377"/>
      <c r="BG48" s="399"/>
      <c r="BH48" s="401"/>
      <c r="BI48" s="101"/>
      <c r="BJ48" s="90"/>
      <c r="BK48" s="90"/>
      <c r="BL48" s="90"/>
      <c r="BM48" s="90"/>
      <c r="BN48" s="90"/>
      <c r="BO48" s="90"/>
      <c r="BP48" s="90"/>
      <c r="BQ48" s="90"/>
      <c r="BR48" s="90"/>
      <c r="BS48" s="401"/>
      <c r="BT48" s="102"/>
      <c r="BU48" s="399"/>
      <c r="BV48" s="103"/>
      <c r="BW48" s="377"/>
      <c r="BX48" s="90"/>
      <c r="BY48" s="90"/>
      <c r="BZ48" s="90"/>
      <c r="CA48" s="90"/>
      <c r="CB48" s="90"/>
      <c r="CC48" s="90"/>
      <c r="CD48" s="90"/>
      <c r="CE48" s="90"/>
      <c r="CF48" s="90"/>
      <c r="CG48" s="90"/>
      <c r="CH48" s="90"/>
      <c r="CI48" s="90"/>
      <c r="CJ48" s="90"/>
      <c r="CK48" s="397"/>
      <c r="CL48" s="397"/>
      <c r="CM48" s="104"/>
    </row>
    <row r="49" spans="1:91" ht="18.75" customHeight="1" x14ac:dyDescent="0.35">
      <c r="A49" s="393">
        <f>SUM(B8:B42)</f>
        <v>148</v>
      </c>
      <c r="B49" s="394"/>
      <c r="C49" s="105"/>
      <c r="D49" s="106"/>
      <c r="E49" s="106"/>
      <c r="F49" s="107">
        <f>SUM(F8:F42)</f>
        <v>0</v>
      </c>
      <c r="G49" s="108">
        <v>40</v>
      </c>
      <c r="H49" s="107">
        <f>F49*G49</f>
        <v>0</v>
      </c>
      <c r="I49" s="107">
        <f>SUM(I8:I45)</f>
        <v>344966</v>
      </c>
      <c r="J49" s="109">
        <v>50</v>
      </c>
      <c r="K49" s="107">
        <f>SUM(K8:K45)</f>
        <v>17248300</v>
      </c>
      <c r="L49" s="107">
        <f>SUM(L8:L42)</f>
        <v>0</v>
      </c>
      <c r="M49" s="108">
        <v>60</v>
      </c>
      <c r="N49" s="107">
        <f>M49*L49</f>
        <v>0</v>
      </c>
      <c r="O49" s="110">
        <f>SUM(O8:O42)</f>
        <v>179028</v>
      </c>
      <c r="P49" s="111">
        <v>12</v>
      </c>
      <c r="Q49" s="110">
        <f>O49*P49</f>
        <v>2148336</v>
      </c>
      <c r="R49" s="110">
        <f>SUM(R8:R42)</f>
        <v>65127</v>
      </c>
      <c r="S49" s="112">
        <v>12</v>
      </c>
      <c r="T49" s="110">
        <f>R49*S49</f>
        <v>781524</v>
      </c>
      <c r="U49" s="113">
        <f>SUM(U8:U42)</f>
        <v>27724</v>
      </c>
      <c r="V49" s="111">
        <v>8</v>
      </c>
      <c r="W49" s="110">
        <f>U49*V49</f>
        <v>221792</v>
      </c>
      <c r="X49" s="110">
        <f>SUM(X8:X42)</f>
        <v>14257</v>
      </c>
      <c r="Y49" s="111">
        <v>12</v>
      </c>
      <c r="Z49" s="110">
        <f>X49*Y49</f>
        <v>171084</v>
      </c>
      <c r="AA49" s="110">
        <f>SUM(AA8:AA42)</f>
        <v>29816</v>
      </c>
      <c r="AB49" s="111">
        <v>10</v>
      </c>
      <c r="AC49" s="110">
        <f>AA49*AB49</f>
        <v>298160</v>
      </c>
      <c r="AD49" s="110">
        <f>SUM(AD8:AD42)</f>
        <v>9600</v>
      </c>
      <c r="AE49" s="111">
        <v>25</v>
      </c>
      <c r="AF49" s="110">
        <f>AD49*AE49</f>
        <v>240000</v>
      </c>
      <c r="AG49" s="110">
        <f>SUM(AG8:AG42)</f>
        <v>5938</v>
      </c>
      <c r="AH49" s="111">
        <v>7.5</v>
      </c>
      <c r="AI49" s="110">
        <f>AG49*AH49</f>
        <v>44535</v>
      </c>
      <c r="AJ49" s="110">
        <f>SUM(AJ8:AJ42)</f>
        <v>0</v>
      </c>
      <c r="AK49" s="114">
        <v>15</v>
      </c>
      <c r="AL49" s="110">
        <f>AJ49*AK49</f>
        <v>0</v>
      </c>
      <c r="AM49" s="110">
        <f>SUM(AM8:AM42)</f>
        <v>6918</v>
      </c>
      <c r="AN49" s="111">
        <v>12</v>
      </c>
      <c r="AO49" s="110">
        <f>AM49*AN49</f>
        <v>83016</v>
      </c>
      <c r="AP49" s="110">
        <f>SUM(AM49,AG49,AD49,AA49,X49,U49,R49)</f>
        <v>159380</v>
      </c>
      <c r="AQ49" s="110">
        <f>SUM(AQ8:AQ42)</f>
        <v>0</v>
      </c>
      <c r="AR49" s="115">
        <v>4</v>
      </c>
      <c r="AS49" s="110">
        <f>SUM(AQ49*AR49)</f>
        <v>0</v>
      </c>
      <c r="AT49" s="110">
        <f>SUM(AT8:AT42)</f>
        <v>0</v>
      </c>
      <c r="AU49" s="116">
        <v>6</v>
      </c>
      <c r="AV49" s="110">
        <f>SUM(AT49*AU49)</f>
        <v>0</v>
      </c>
      <c r="AW49" s="110">
        <f>SUM(AW8:AW42)</f>
        <v>0</v>
      </c>
      <c r="AX49" s="110">
        <f>SUM(AS49+AV49+AW49)</f>
        <v>0</v>
      </c>
      <c r="AY49" s="107">
        <f>SUM(AY8:AY42)</f>
        <v>0</v>
      </c>
      <c r="AZ49" s="107"/>
      <c r="BA49" s="107"/>
      <c r="BB49" s="107"/>
      <c r="BC49" s="107">
        <f t="shared" ref="BC49:BF49" si="44">SUM(BC8:BC42)</f>
        <v>18413410</v>
      </c>
      <c r="BD49" s="107">
        <f t="shared" si="44"/>
        <v>17722374</v>
      </c>
      <c r="BE49" s="107">
        <f t="shared" si="44"/>
        <v>18413410</v>
      </c>
      <c r="BF49" s="107">
        <f t="shared" si="44"/>
        <v>18457945</v>
      </c>
      <c r="BG49" s="107">
        <f t="shared" ref="BG49:BH49" si="45">SUM(BG8:BG45)</f>
        <v>22955876</v>
      </c>
      <c r="BH49" s="107">
        <f t="shared" si="45"/>
        <v>15451670.439999998</v>
      </c>
      <c r="BI49" s="119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1"/>
      <c r="BU49" s="107">
        <f>SUM(BU8:BU45)</f>
        <v>6260961.8999999994</v>
      </c>
      <c r="BV49" s="124"/>
      <c r="BW49" s="107">
        <f>SUM(BW8:BW45)</f>
        <v>1233333.6700000004</v>
      </c>
      <c r="BX49" s="126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07">
        <f t="shared" ref="CK49:CL49" si="46">SUM(CK8:CK45)</f>
        <v>246666.73399999997</v>
      </c>
      <c r="CL49" s="107">
        <f t="shared" si="46"/>
        <v>1110000.3030000003</v>
      </c>
      <c r="CM49" s="89"/>
    </row>
    <row r="50" spans="1:91" ht="15" customHeight="1" x14ac:dyDescent="0.35">
      <c r="A50" s="128"/>
      <c r="B50" s="128"/>
      <c r="C50" s="128"/>
      <c r="D50" s="128"/>
      <c r="E50" s="128"/>
      <c r="F50" s="129"/>
      <c r="G50" s="130"/>
      <c r="H50" s="129"/>
      <c r="I50" s="129"/>
      <c r="J50" s="129"/>
      <c r="K50" s="129"/>
      <c r="L50" s="129"/>
      <c r="M50" s="129"/>
      <c r="N50" s="129"/>
      <c r="O50" s="129"/>
      <c r="P50" s="130"/>
      <c r="Q50" s="129"/>
      <c r="R50" s="129"/>
      <c r="S50" s="131"/>
      <c r="T50" s="129"/>
      <c r="U50" s="132"/>
      <c r="V50" s="130"/>
      <c r="W50" s="129"/>
      <c r="X50" s="129"/>
      <c r="Y50" s="130"/>
      <c r="Z50" s="129"/>
      <c r="AA50" s="129"/>
      <c r="AB50" s="130"/>
      <c r="AC50" s="129"/>
      <c r="AD50" s="129"/>
      <c r="AE50" s="130"/>
      <c r="AF50" s="129"/>
      <c r="AG50" s="129"/>
      <c r="AH50" s="130"/>
      <c r="AI50" s="129"/>
      <c r="AJ50" s="129"/>
      <c r="AK50" s="133"/>
      <c r="AL50" s="129"/>
      <c r="AM50" s="129"/>
      <c r="AN50" s="130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34"/>
      <c r="BJ50" s="134"/>
      <c r="BK50" s="134"/>
      <c r="BL50" s="134"/>
      <c r="BM50" s="134"/>
      <c r="BN50" s="134"/>
      <c r="BO50" s="134"/>
      <c r="BP50" s="134"/>
      <c r="BQ50" s="134"/>
      <c r="BR50" s="134"/>
      <c r="BS50" s="134"/>
      <c r="BT50" s="134"/>
      <c r="BU50" s="134"/>
      <c r="BV50" s="135"/>
      <c r="BW50" s="137">
        <f>BW49*20%</f>
        <v>246666.73400000008</v>
      </c>
      <c r="BX50" s="138">
        <v>0.2</v>
      </c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78"/>
    </row>
    <row r="51" spans="1:91" ht="15" customHeight="1" x14ac:dyDescent="0.35">
      <c r="BV51" s="140"/>
      <c r="BY51" s="141"/>
      <c r="BZ51" s="141"/>
      <c r="CA51" s="141"/>
      <c r="CB51" s="141"/>
      <c r="CC51" s="141"/>
      <c r="CD51" s="141"/>
      <c r="CE51" s="141"/>
      <c r="CF51" s="141"/>
      <c r="CG51" s="141"/>
      <c r="CH51" s="141"/>
      <c r="CI51" s="141"/>
      <c r="CJ51" s="141"/>
      <c r="CK51" s="141"/>
      <c r="CL51" s="141"/>
    </row>
    <row r="52" spans="1:91" ht="15" customHeight="1" x14ac:dyDescent="0.35">
      <c r="BV52" s="140"/>
      <c r="BY52" s="141"/>
      <c r="BZ52" s="141"/>
      <c r="CA52" s="141"/>
      <c r="CB52" s="141"/>
      <c r="CC52" s="141"/>
      <c r="CD52" s="141"/>
      <c r="CE52" s="141"/>
      <c r="CF52" s="141"/>
      <c r="CG52" s="141"/>
      <c r="CH52" s="141"/>
      <c r="CI52" s="141"/>
      <c r="CJ52" s="141"/>
      <c r="CK52" s="141"/>
      <c r="CL52" s="141"/>
    </row>
    <row r="53" spans="1:91" ht="15" customHeight="1" x14ac:dyDescent="0.35">
      <c r="BV53" s="140"/>
      <c r="BY53" s="141"/>
      <c r="BZ53" s="141"/>
      <c r="CA53" s="141"/>
      <c r="CB53" s="141"/>
      <c r="CC53" s="141"/>
      <c r="CD53" s="141"/>
      <c r="CE53" s="141"/>
      <c r="CF53" s="141"/>
      <c r="CG53" s="141"/>
      <c r="CH53" s="141"/>
      <c r="CI53" s="141"/>
      <c r="CJ53" s="141"/>
      <c r="CK53" s="141"/>
      <c r="CL53" s="141"/>
    </row>
    <row r="54" spans="1:91" ht="15" customHeight="1" x14ac:dyDescent="0.35">
      <c r="BV54" s="140"/>
      <c r="BY54" s="141"/>
      <c r="BZ54" s="141"/>
      <c r="CA54" s="141"/>
      <c r="CB54" s="141"/>
      <c r="CC54" s="141"/>
      <c r="CD54" s="141"/>
      <c r="CE54" s="141"/>
      <c r="CF54" s="141"/>
      <c r="CG54" s="141"/>
      <c r="CH54" s="141"/>
      <c r="CI54" s="141"/>
      <c r="CJ54" s="141"/>
      <c r="CK54" s="141"/>
      <c r="CL54" s="141"/>
    </row>
    <row r="55" spans="1:91" ht="15" customHeight="1" x14ac:dyDescent="0.35">
      <c r="BV55" s="140"/>
      <c r="BY55" s="141"/>
      <c r="BZ55" s="141"/>
      <c r="CA55" s="141"/>
      <c r="CB55" s="141"/>
      <c r="CC55" s="141"/>
      <c r="CD55" s="141"/>
      <c r="CE55" s="141"/>
      <c r="CF55" s="141"/>
      <c r="CG55" s="141"/>
      <c r="CH55" s="141"/>
      <c r="CI55" s="141"/>
      <c r="CJ55" s="141"/>
      <c r="CK55" s="141"/>
      <c r="CL55" s="141"/>
    </row>
    <row r="56" spans="1:91" ht="15" customHeight="1" x14ac:dyDescent="0.35">
      <c r="BV56" s="140"/>
      <c r="BY56" s="141"/>
      <c r="BZ56" s="141"/>
      <c r="CA56" s="141"/>
      <c r="CB56" s="141"/>
      <c r="CC56" s="141"/>
      <c r="CD56" s="141"/>
      <c r="CE56" s="141"/>
      <c r="CF56" s="141"/>
      <c r="CG56" s="141"/>
      <c r="CH56" s="141"/>
      <c r="CI56" s="141"/>
      <c r="CJ56" s="141"/>
      <c r="CK56" s="141"/>
      <c r="CL56" s="141"/>
    </row>
    <row r="57" spans="1:91" ht="15" customHeight="1" x14ac:dyDescent="0.35">
      <c r="BV57" s="140"/>
      <c r="BY57" s="141"/>
      <c r="BZ57" s="141"/>
      <c r="CA57" s="141"/>
      <c r="CB57" s="141"/>
      <c r="CC57" s="141"/>
      <c r="CD57" s="141"/>
      <c r="CE57" s="141"/>
      <c r="CF57" s="141"/>
      <c r="CG57" s="141"/>
      <c r="CH57" s="141"/>
      <c r="CI57" s="141"/>
      <c r="CJ57" s="141"/>
      <c r="CK57" s="141"/>
      <c r="CL57" s="141"/>
    </row>
    <row r="58" spans="1:91" ht="15" customHeight="1" x14ac:dyDescent="0.35">
      <c r="BV58" s="140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</row>
    <row r="59" spans="1:91" ht="15" customHeight="1" x14ac:dyDescent="0.35">
      <c r="BV59" s="140"/>
      <c r="BY59" s="141"/>
      <c r="BZ59" s="141"/>
      <c r="CA59" s="141"/>
      <c r="CB59" s="141"/>
      <c r="CC59" s="141"/>
      <c r="CD59" s="141"/>
      <c r="CE59" s="141"/>
      <c r="CF59" s="141"/>
      <c r="CG59" s="141"/>
      <c r="CH59" s="141"/>
      <c r="CI59" s="141"/>
      <c r="CJ59" s="141"/>
      <c r="CK59" s="141"/>
      <c r="CL59" s="141"/>
    </row>
    <row r="60" spans="1:91" ht="15" customHeight="1" x14ac:dyDescent="0.35">
      <c r="BV60" s="140"/>
      <c r="BY60" s="141"/>
      <c r="BZ60" s="141"/>
      <c r="CA60" s="141"/>
      <c r="CB60" s="141"/>
      <c r="CC60" s="141"/>
      <c r="CD60" s="141"/>
      <c r="CE60" s="141"/>
      <c r="CF60" s="141"/>
      <c r="CG60" s="141"/>
      <c r="CH60" s="141"/>
      <c r="CI60" s="141"/>
      <c r="CJ60" s="141"/>
      <c r="CK60" s="141"/>
      <c r="CL60" s="141"/>
    </row>
    <row r="61" spans="1:91" ht="15" customHeight="1" x14ac:dyDescent="0.35">
      <c r="BV61" s="140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</row>
    <row r="62" spans="1:91" ht="15" customHeight="1" x14ac:dyDescent="0.35">
      <c r="BV62" s="140"/>
      <c r="BY62" s="141"/>
      <c r="BZ62" s="141"/>
      <c r="CA62" s="141"/>
      <c r="CB62" s="141"/>
      <c r="CC62" s="141"/>
      <c r="CD62" s="141"/>
      <c r="CE62" s="141"/>
      <c r="CF62" s="141"/>
      <c r="CG62" s="141"/>
      <c r="CH62" s="141"/>
      <c r="CI62" s="141"/>
      <c r="CJ62" s="141"/>
      <c r="CK62" s="141"/>
      <c r="CL62" s="141"/>
    </row>
    <row r="63" spans="1:91" ht="15" customHeight="1" x14ac:dyDescent="0.35">
      <c r="BV63" s="140"/>
      <c r="BY63" s="141"/>
      <c r="BZ63" s="141"/>
      <c r="CA63" s="141"/>
      <c r="CB63" s="141"/>
      <c r="CC63" s="141"/>
      <c r="CD63" s="141"/>
      <c r="CE63" s="141"/>
      <c r="CF63" s="141"/>
      <c r="CG63" s="141"/>
      <c r="CH63" s="141"/>
      <c r="CI63" s="141"/>
      <c r="CJ63" s="141"/>
      <c r="CK63" s="141"/>
      <c r="CL63" s="141"/>
    </row>
    <row r="64" spans="1:91" ht="15" customHeight="1" x14ac:dyDescent="0.35">
      <c r="BV64" s="140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</row>
    <row r="65" spans="74:90" ht="15" customHeight="1" x14ac:dyDescent="0.35">
      <c r="BV65" s="140"/>
      <c r="BY65" s="141"/>
      <c r="BZ65" s="141"/>
      <c r="CA65" s="141"/>
      <c r="CB65" s="141"/>
      <c r="CC65" s="141"/>
      <c r="CD65" s="141"/>
      <c r="CE65" s="141"/>
      <c r="CF65" s="141"/>
      <c r="CG65" s="141"/>
      <c r="CH65" s="141"/>
      <c r="CI65" s="141"/>
      <c r="CJ65" s="141"/>
      <c r="CK65" s="141"/>
      <c r="CL65" s="141"/>
    </row>
    <row r="66" spans="74:90" ht="15" customHeight="1" x14ac:dyDescent="0.35">
      <c r="BV66" s="140"/>
      <c r="BY66" s="141"/>
      <c r="BZ66" s="141"/>
      <c r="CA66" s="141"/>
      <c r="CB66" s="141"/>
      <c r="CC66" s="141"/>
      <c r="CD66" s="141"/>
      <c r="CE66" s="141"/>
      <c r="CF66" s="141"/>
      <c r="CG66" s="141"/>
      <c r="CH66" s="141"/>
      <c r="CI66" s="141"/>
      <c r="CJ66" s="141"/>
      <c r="CK66" s="141"/>
      <c r="CL66" s="141"/>
    </row>
    <row r="67" spans="74:90" ht="15" customHeight="1" x14ac:dyDescent="0.35">
      <c r="BV67" s="140"/>
      <c r="BY67" s="141"/>
      <c r="BZ67" s="141"/>
      <c r="CA67" s="141"/>
      <c r="CB67" s="141"/>
      <c r="CC67" s="141"/>
      <c r="CD67" s="141"/>
      <c r="CE67" s="141"/>
      <c r="CF67" s="141"/>
      <c r="CG67" s="141"/>
      <c r="CH67" s="141"/>
      <c r="CI67" s="141"/>
      <c r="CJ67" s="141"/>
      <c r="CK67" s="141"/>
      <c r="CL67" s="141"/>
    </row>
    <row r="68" spans="74:90" ht="15" customHeight="1" x14ac:dyDescent="0.35">
      <c r="BV68" s="140"/>
      <c r="BY68" s="141"/>
      <c r="BZ68" s="141"/>
      <c r="CA68" s="141"/>
      <c r="CB68" s="141"/>
      <c r="CC68" s="141"/>
      <c r="CD68" s="141"/>
      <c r="CE68" s="141"/>
      <c r="CF68" s="141"/>
      <c r="CG68" s="141"/>
      <c r="CH68" s="141"/>
      <c r="CI68" s="141"/>
      <c r="CJ68" s="141"/>
      <c r="CK68" s="141"/>
      <c r="CL68" s="141"/>
    </row>
    <row r="69" spans="74:90" ht="15" customHeight="1" x14ac:dyDescent="0.35">
      <c r="BV69" s="140"/>
      <c r="BY69" s="141"/>
      <c r="BZ69" s="141"/>
      <c r="CA69" s="141"/>
      <c r="CB69" s="141"/>
      <c r="CC69" s="141"/>
      <c r="CD69" s="141"/>
      <c r="CE69" s="141"/>
      <c r="CF69" s="141"/>
      <c r="CG69" s="141"/>
      <c r="CH69" s="141"/>
      <c r="CI69" s="141"/>
      <c r="CJ69" s="141"/>
      <c r="CK69" s="141"/>
      <c r="CL69" s="141"/>
    </row>
    <row r="70" spans="74:90" ht="15" customHeight="1" x14ac:dyDescent="0.35">
      <c r="BV70" s="140"/>
      <c r="BY70" s="141"/>
      <c r="BZ70" s="141"/>
      <c r="CA70" s="141"/>
      <c r="CB70" s="141"/>
      <c r="CC70" s="141"/>
      <c r="CD70" s="141"/>
      <c r="CE70" s="141"/>
      <c r="CF70" s="141"/>
      <c r="CG70" s="141"/>
      <c r="CH70" s="141"/>
      <c r="CI70" s="141"/>
      <c r="CJ70" s="141"/>
      <c r="CK70" s="141"/>
      <c r="CL70" s="141"/>
    </row>
    <row r="71" spans="74:90" ht="15" customHeight="1" x14ac:dyDescent="0.35">
      <c r="BV71" s="140"/>
      <c r="BY71" s="141"/>
      <c r="BZ71" s="141"/>
      <c r="CA71" s="141"/>
      <c r="CB71" s="141"/>
      <c r="CC71" s="141"/>
      <c r="CD71" s="141"/>
      <c r="CE71" s="141"/>
      <c r="CF71" s="141"/>
      <c r="CG71" s="141"/>
      <c r="CH71" s="141"/>
      <c r="CI71" s="141"/>
      <c r="CJ71" s="141"/>
      <c r="CK71" s="141"/>
      <c r="CL71" s="141"/>
    </row>
    <row r="72" spans="74:90" ht="15" customHeight="1" x14ac:dyDescent="0.35">
      <c r="BV72" s="140"/>
      <c r="BY72" s="141"/>
      <c r="BZ72" s="141"/>
      <c r="CA72" s="141"/>
      <c r="CB72" s="141"/>
      <c r="CC72" s="141"/>
      <c r="CD72" s="141"/>
      <c r="CE72" s="141"/>
      <c r="CF72" s="141"/>
      <c r="CG72" s="141"/>
      <c r="CH72" s="141"/>
      <c r="CI72" s="141"/>
      <c r="CJ72" s="141"/>
      <c r="CK72" s="141"/>
      <c r="CL72" s="141"/>
    </row>
    <row r="73" spans="74:90" ht="15" customHeight="1" x14ac:dyDescent="0.35">
      <c r="BV73" s="140"/>
      <c r="BY73" s="141"/>
      <c r="BZ73" s="141"/>
      <c r="CA73" s="141"/>
      <c r="CB73" s="141"/>
      <c r="CC73" s="141"/>
      <c r="CD73" s="141"/>
      <c r="CE73" s="141"/>
      <c r="CF73" s="141"/>
      <c r="CG73" s="141"/>
      <c r="CH73" s="141"/>
      <c r="CI73" s="141"/>
      <c r="CJ73" s="141"/>
      <c r="CK73" s="141"/>
      <c r="CL73" s="141"/>
    </row>
    <row r="74" spans="74:90" ht="15" customHeight="1" x14ac:dyDescent="0.35">
      <c r="BV74" s="140"/>
      <c r="BY74" s="141"/>
      <c r="BZ74" s="141"/>
      <c r="CA74" s="141"/>
      <c r="CB74" s="141"/>
      <c r="CC74" s="141"/>
      <c r="CD74" s="141"/>
      <c r="CE74" s="141"/>
      <c r="CF74" s="141"/>
      <c r="CG74" s="141"/>
      <c r="CH74" s="141"/>
      <c r="CI74" s="141"/>
      <c r="CJ74" s="141"/>
      <c r="CK74" s="141"/>
      <c r="CL74" s="141"/>
    </row>
    <row r="75" spans="74:90" ht="15" customHeight="1" x14ac:dyDescent="0.35">
      <c r="BV75" s="140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/>
      <c r="CK75" s="141"/>
      <c r="CL75" s="141"/>
    </row>
    <row r="76" spans="74:90" ht="15" customHeight="1" x14ac:dyDescent="0.35">
      <c r="BV76" s="140"/>
      <c r="BY76" s="141"/>
      <c r="BZ76" s="141"/>
      <c r="CA76" s="141"/>
      <c r="CB76" s="141"/>
      <c r="CC76" s="141"/>
      <c r="CD76" s="141"/>
      <c r="CE76" s="141"/>
      <c r="CF76" s="141"/>
      <c r="CG76" s="141"/>
      <c r="CH76" s="141"/>
      <c r="CI76" s="141"/>
      <c r="CJ76" s="141"/>
      <c r="CK76" s="141"/>
      <c r="CL76" s="141"/>
    </row>
    <row r="77" spans="74:90" ht="15" customHeight="1" x14ac:dyDescent="0.35">
      <c r="BV77" s="140"/>
      <c r="BY77" s="141"/>
      <c r="BZ77" s="141"/>
      <c r="CA77" s="141"/>
      <c r="CB77" s="141"/>
      <c r="CC77" s="141"/>
      <c r="CD77" s="141"/>
      <c r="CE77" s="141"/>
      <c r="CF77" s="141"/>
      <c r="CG77" s="141"/>
      <c r="CH77" s="141"/>
      <c r="CI77" s="141"/>
      <c r="CJ77" s="141"/>
      <c r="CK77" s="141"/>
      <c r="CL77" s="141"/>
    </row>
    <row r="78" spans="74:90" ht="15" customHeight="1" x14ac:dyDescent="0.35">
      <c r="BV78" s="140"/>
      <c r="BY78" s="141"/>
      <c r="BZ78" s="141"/>
      <c r="CA78" s="141"/>
      <c r="CB78" s="141"/>
      <c r="CC78" s="141"/>
      <c r="CD78" s="141"/>
      <c r="CE78" s="141"/>
      <c r="CF78" s="141"/>
      <c r="CG78" s="141"/>
      <c r="CH78" s="141"/>
      <c r="CI78" s="141"/>
      <c r="CJ78" s="141"/>
      <c r="CK78" s="141"/>
      <c r="CL78" s="141"/>
    </row>
    <row r="79" spans="74:90" ht="15" customHeight="1" x14ac:dyDescent="0.35">
      <c r="BV79" s="140"/>
      <c r="BY79" s="141"/>
      <c r="BZ79" s="141"/>
      <c r="CA79" s="141"/>
      <c r="CB79" s="141"/>
      <c r="CC79" s="141"/>
      <c r="CD79" s="141"/>
      <c r="CE79" s="141"/>
      <c r="CF79" s="141"/>
      <c r="CG79" s="141"/>
      <c r="CH79" s="141"/>
      <c r="CI79" s="141"/>
      <c r="CJ79" s="141"/>
      <c r="CK79" s="141"/>
      <c r="CL79" s="141"/>
    </row>
    <row r="80" spans="74:90" ht="15" customHeight="1" x14ac:dyDescent="0.35">
      <c r="BV80" s="140"/>
      <c r="BY80" s="141"/>
      <c r="BZ80" s="141"/>
      <c r="CA80" s="141"/>
      <c r="CB80" s="141"/>
      <c r="CC80" s="141"/>
      <c r="CD80" s="141"/>
      <c r="CE80" s="141"/>
      <c r="CF80" s="141"/>
      <c r="CG80" s="141"/>
      <c r="CH80" s="141"/>
      <c r="CI80" s="141"/>
      <c r="CJ80" s="141"/>
      <c r="CK80" s="141"/>
      <c r="CL80" s="141"/>
    </row>
    <row r="81" spans="74:90" ht="15" customHeight="1" x14ac:dyDescent="0.35">
      <c r="BV81" s="140"/>
      <c r="BY81" s="141"/>
      <c r="BZ81" s="141"/>
      <c r="CA81" s="141"/>
      <c r="CB81" s="141"/>
      <c r="CC81" s="141"/>
      <c r="CD81" s="141"/>
      <c r="CE81" s="141"/>
      <c r="CF81" s="141"/>
      <c r="CG81" s="141"/>
      <c r="CH81" s="141"/>
      <c r="CI81" s="141"/>
      <c r="CJ81" s="141"/>
      <c r="CK81" s="141"/>
      <c r="CL81" s="141"/>
    </row>
    <row r="82" spans="74:90" ht="15" customHeight="1" x14ac:dyDescent="0.35">
      <c r="BV82" s="140"/>
      <c r="BY82" s="141"/>
      <c r="BZ82" s="141"/>
      <c r="CA82" s="141"/>
      <c r="CB82" s="141"/>
      <c r="CC82" s="141"/>
      <c r="CD82" s="141"/>
      <c r="CE82" s="141"/>
      <c r="CF82" s="141"/>
      <c r="CG82" s="141"/>
      <c r="CH82" s="141"/>
      <c r="CI82" s="141"/>
      <c r="CJ82" s="141"/>
      <c r="CK82" s="141"/>
      <c r="CL82" s="141"/>
    </row>
    <row r="83" spans="74:90" ht="15" customHeight="1" x14ac:dyDescent="0.35">
      <c r="BV83" s="140"/>
      <c r="BY83" s="141"/>
      <c r="BZ83" s="141"/>
      <c r="CA83" s="141"/>
      <c r="CB83" s="141"/>
      <c r="CC83" s="141"/>
      <c r="CD83" s="141"/>
      <c r="CE83" s="141"/>
      <c r="CF83" s="141"/>
      <c r="CG83" s="141"/>
      <c r="CH83" s="141"/>
      <c r="CI83" s="141"/>
      <c r="CJ83" s="141"/>
      <c r="CK83" s="141"/>
      <c r="CL83" s="141"/>
    </row>
    <row r="84" spans="74:90" ht="15" customHeight="1" x14ac:dyDescent="0.35">
      <c r="BV84" s="140"/>
      <c r="BY84" s="141"/>
      <c r="BZ84" s="141"/>
      <c r="CA84" s="141"/>
      <c r="CB84" s="141"/>
      <c r="CC84" s="141"/>
      <c r="CD84" s="141"/>
      <c r="CE84" s="141"/>
      <c r="CF84" s="141"/>
      <c r="CG84" s="141"/>
      <c r="CH84" s="141"/>
      <c r="CI84" s="141"/>
      <c r="CJ84" s="141"/>
      <c r="CK84" s="141"/>
      <c r="CL84" s="141"/>
    </row>
    <row r="85" spans="74:90" ht="15" customHeight="1" x14ac:dyDescent="0.35">
      <c r="BV85" s="140"/>
      <c r="BY85" s="141"/>
      <c r="BZ85" s="141"/>
      <c r="CA85" s="141"/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  <c r="CL85" s="141"/>
    </row>
    <row r="86" spans="74:90" ht="15" customHeight="1" x14ac:dyDescent="0.35">
      <c r="BV86" s="140"/>
      <c r="BY86" s="141"/>
      <c r="BZ86" s="141"/>
      <c r="CA86" s="141"/>
      <c r="CB86" s="141"/>
      <c r="CC86" s="141"/>
      <c r="CD86" s="141"/>
      <c r="CE86" s="141"/>
      <c r="CF86" s="141"/>
      <c r="CG86" s="141"/>
      <c r="CH86" s="141"/>
      <c r="CI86" s="141"/>
      <c r="CJ86" s="141"/>
      <c r="CK86" s="141"/>
      <c r="CL86" s="141"/>
    </row>
    <row r="87" spans="74:90" ht="15" customHeight="1" x14ac:dyDescent="0.35">
      <c r="BV87" s="140"/>
      <c r="BY87" s="141"/>
      <c r="BZ87" s="141"/>
      <c r="CA87" s="141"/>
      <c r="CB87" s="141"/>
      <c r="CC87" s="141"/>
      <c r="CD87" s="141"/>
      <c r="CE87" s="141"/>
      <c r="CF87" s="141"/>
      <c r="CG87" s="141"/>
      <c r="CH87" s="141"/>
      <c r="CI87" s="141"/>
      <c r="CJ87" s="141"/>
      <c r="CK87" s="141"/>
      <c r="CL87" s="141"/>
    </row>
    <row r="88" spans="74:90" ht="15" customHeight="1" x14ac:dyDescent="0.35">
      <c r="BV88" s="140"/>
      <c r="BY88" s="141"/>
      <c r="BZ88" s="141"/>
      <c r="CA88" s="141"/>
      <c r="CB88" s="141"/>
      <c r="CC88" s="141"/>
      <c r="CD88" s="141"/>
      <c r="CE88" s="141"/>
      <c r="CF88" s="141"/>
      <c r="CG88" s="141"/>
      <c r="CH88" s="141"/>
      <c r="CI88" s="141"/>
      <c r="CJ88" s="141"/>
      <c r="CK88" s="141"/>
      <c r="CL88" s="141"/>
    </row>
    <row r="89" spans="74:90" ht="15" customHeight="1" x14ac:dyDescent="0.35">
      <c r="BV89" s="140"/>
      <c r="BY89" s="141"/>
      <c r="BZ89" s="141"/>
      <c r="CA89" s="141"/>
      <c r="CB89" s="141"/>
      <c r="CC89" s="141"/>
      <c r="CD89" s="141"/>
      <c r="CE89" s="141"/>
      <c r="CF89" s="141"/>
      <c r="CG89" s="141"/>
      <c r="CH89" s="141"/>
      <c r="CI89" s="141"/>
      <c r="CJ89" s="141"/>
      <c r="CK89" s="141"/>
      <c r="CL89" s="141"/>
    </row>
    <row r="90" spans="74:90" ht="15" customHeight="1" x14ac:dyDescent="0.35">
      <c r="BV90" s="140"/>
      <c r="BY90" s="141"/>
      <c r="BZ90" s="141"/>
      <c r="CA90" s="141"/>
      <c r="CB90" s="141"/>
      <c r="CC90" s="141"/>
      <c r="CD90" s="141"/>
      <c r="CE90" s="141"/>
      <c r="CF90" s="141"/>
      <c r="CG90" s="141"/>
      <c r="CH90" s="141"/>
      <c r="CI90" s="141"/>
      <c r="CJ90" s="141"/>
      <c r="CK90" s="141"/>
      <c r="CL90" s="141"/>
    </row>
    <row r="91" spans="74:90" ht="15" customHeight="1" x14ac:dyDescent="0.35">
      <c r="BV91" s="140"/>
      <c r="BY91" s="141"/>
      <c r="BZ91" s="141"/>
      <c r="CA91" s="141"/>
      <c r="CB91" s="141"/>
      <c r="CC91" s="141"/>
      <c r="CD91" s="141"/>
      <c r="CE91" s="141"/>
      <c r="CF91" s="141"/>
      <c r="CG91" s="141"/>
      <c r="CH91" s="141"/>
      <c r="CI91" s="141"/>
      <c r="CJ91" s="141"/>
      <c r="CK91" s="141"/>
      <c r="CL91" s="141"/>
    </row>
    <row r="92" spans="74:90" ht="15" customHeight="1" x14ac:dyDescent="0.35">
      <c r="BV92" s="140"/>
      <c r="BY92" s="141"/>
      <c r="BZ92" s="141"/>
      <c r="CA92" s="141"/>
      <c r="CB92" s="141"/>
      <c r="CC92" s="141"/>
      <c r="CD92" s="141"/>
      <c r="CE92" s="141"/>
      <c r="CF92" s="141"/>
      <c r="CG92" s="141"/>
      <c r="CH92" s="141"/>
      <c r="CI92" s="141"/>
      <c r="CJ92" s="141"/>
      <c r="CK92" s="141"/>
      <c r="CL92" s="141"/>
    </row>
    <row r="93" spans="74:90" ht="15" customHeight="1" x14ac:dyDescent="0.35">
      <c r="BV93" s="140"/>
      <c r="BY93" s="141"/>
      <c r="BZ93" s="141"/>
      <c r="CA93" s="141"/>
      <c r="CB93" s="141"/>
      <c r="CC93" s="141"/>
      <c r="CD93" s="141"/>
      <c r="CE93" s="141"/>
      <c r="CF93" s="141"/>
      <c r="CG93" s="141"/>
      <c r="CH93" s="141"/>
      <c r="CI93" s="141"/>
      <c r="CJ93" s="141"/>
      <c r="CK93" s="141"/>
      <c r="CL93" s="141"/>
    </row>
    <row r="94" spans="74:90" ht="15" customHeight="1" x14ac:dyDescent="0.35">
      <c r="BV94" s="140"/>
      <c r="BY94" s="141"/>
      <c r="BZ94" s="141"/>
      <c r="CA94" s="141"/>
      <c r="CB94" s="141"/>
      <c r="CC94" s="141"/>
      <c r="CD94" s="141"/>
      <c r="CE94" s="141"/>
      <c r="CF94" s="141"/>
      <c r="CG94" s="141"/>
      <c r="CH94" s="141"/>
      <c r="CI94" s="141"/>
      <c r="CJ94" s="141"/>
      <c r="CK94" s="141"/>
      <c r="CL94" s="141"/>
    </row>
    <row r="95" spans="74:90" ht="15" customHeight="1" x14ac:dyDescent="0.35">
      <c r="BV95" s="140"/>
      <c r="BY95" s="141"/>
      <c r="BZ95" s="141"/>
      <c r="CA95" s="141"/>
      <c r="CB95" s="141"/>
      <c r="CC95" s="141"/>
      <c r="CD95" s="141"/>
      <c r="CE95" s="141"/>
      <c r="CF95" s="141"/>
      <c r="CG95" s="141"/>
      <c r="CH95" s="141"/>
      <c r="CI95" s="141"/>
      <c r="CJ95" s="141"/>
      <c r="CK95" s="141"/>
      <c r="CL95" s="141"/>
    </row>
    <row r="96" spans="74:90" ht="15" customHeight="1" x14ac:dyDescent="0.35">
      <c r="BV96" s="140"/>
      <c r="BY96" s="141"/>
      <c r="BZ96" s="141"/>
      <c r="CA96" s="141"/>
      <c r="CB96" s="141"/>
      <c r="CC96" s="141"/>
      <c r="CD96" s="141"/>
      <c r="CE96" s="141"/>
      <c r="CF96" s="141"/>
      <c r="CG96" s="141"/>
      <c r="CH96" s="141"/>
      <c r="CI96" s="141"/>
      <c r="CJ96" s="141"/>
      <c r="CK96" s="141"/>
      <c r="CL96" s="141"/>
    </row>
    <row r="97" spans="74:90" ht="15" customHeight="1" x14ac:dyDescent="0.35">
      <c r="BV97" s="140"/>
      <c r="BY97" s="141"/>
      <c r="BZ97" s="141"/>
      <c r="CA97" s="141"/>
      <c r="CB97" s="141"/>
      <c r="CC97" s="141"/>
      <c r="CD97" s="141"/>
      <c r="CE97" s="141"/>
      <c r="CF97" s="141"/>
      <c r="CG97" s="141"/>
      <c r="CH97" s="141"/>
      <c r="CI97" s="141"/>
      <c r="CJ97" s="141"/>
      <c r="CK97" s="141"/>
      <c r="CL97" s="141"/>
    </row>
    <row r="98" spans="74:90" ht="15" customHeight="1" x14ac:dyDescent="0.35">
      <c r="BV98" s="140"/>
      <c r="BY98" s="141"/>
      <c r="BZ98" s="141"/>
      <c r="CA98" s="141"/>
      <c r="CB98" s="141"/>
      <c r="CC98" s="141"/>
      <c r="CD98" s="141"/>
      <c r="CE98" s="141"/>
      <c r="CF98" s="141"/>
      <c r="CG98" s="141"/>
      <c r="CH98" s="141"/>
      <c r="CI98" s="141"/>
      <c r="CJ98" s="141"/>
      <c r="CK98" s="141"/>
      <c r="CL98" s="141"/>
    </row>
    <row r="99" spans="74:90" ht="15" customHeight="1" x14ac:dyDescent="0.35">
      <c r="BV99" s="140"/>
      <c r="BY99" s="141"/>
      <c r="BZ99" s="141"/>
      <c r="CA99" s="141"/>
      <c r="CB99" s="141"/>
      <c r="CC99" s="141"/>
      <c r="CD99" s="141"/>
      <c r="CE99" s="141"/>
      <c r="CF99" s="141"/>
      <c r="CG99" s="141"/>
      <c r="CH99" s="141"/>
      <c r="CI99" s="141"/>
      <c r="CJ99" s="141"/>
      <c r="CK99" s="141"/>
      <c r="CL99" s="141"/>
    </row>
    <row r="100" spans="74:90" ht="15" customHeight="1" x14ac:dyDescent="0.35">
      <c r="BV100" s="140"/>
      <c r="BY100" s="141"/>
      <c r="BZ100" s="141"/>
      <c r="CA100" s="141"/>
      <c r="CB100" s="141"/>
      <c r="CC100" s="141"/>
      <c r="CD100" s="141"/>
      <c r="CE100" s="141"/>
      <c r="CF100" s="141"/>
      <c r="CG100" s="141"/>
      <c r="CH100" s="141"/>
      <c r="CI100" s="141"/>
      <c r="CJ100" s="141"/>
      <c r="CK100" s="141"/>
      <c r="CL100" s="141"/>
    </row>
    <row r="101" spans="74:90" ht="15" customHeight="1" x14ac:dyDescent="0.35">
      <c r="BV101" s="140"/>
      <c r="BY101" s="141"/>
      <c r="BZ101" s="141"/>
      <c r="CA101" s="141"/>
      <c r="CB101" s="141"/>
      <c r="CC101" s="141"/>
      <c r="CD101" s="141"/>
      <c r="CE101" s="141"/>
      <c r="CF101" s="141"/>
      <c r="CG101" s="141"/>
      <c r="CH101" s="141"/>
      <c r="CI101" s="141"/>
      <c r="CJ101" s="141"/>
      <c r="CK101" s="141"/>
      <c r="CL101" s="141"/>
    </row>
    <row r="102" spans="74:90" ht="15" customHeight="1" x14ac:dyDescent="0.35">
      <c r="BV102" s="140"/>
      <c r="BY102" s="141"/>
      <c r="BZ102" s="141"/>
      <c r="CA102" s="141"/>
      <c r="CB102" s="141"/>
      <c r="CC102" s="141"/>
      <c r="CD102" s="141"/>
      <c r="CE102" s="141"/>
      <c r="CF102" s="141"/>
      <c r="CG102" s="141"/>
      <c r="CH102" s="141"/>
      <c r="CI102" s="141"/>
      <c r="CJ102" s="141"/>
      <c r="CK102" s="141"/>
      <c r="CL102" s="141"/>
    </row>
    <row r="103" spans="74:90" ht="15" customHeight="1" x14ac:dyDescent="0.35">
      <c r="BV103" s="140"/>
      <c r="BY103" s="141"/>
      <c r="BZ103" s="141"/>
      <c r="CA103" s="141"/>
      <c r="CB103" s="141"/>
      <c r="CC103" s="141"/>
      <c r="CD103" s="141"/>
      <c r="CE103" s="141"/>
      <c r="CF103" s="141"/>
      <c r="CG103" s="141"/>
      <c r="CH103" s="141"/>
      <c r="CI103" s="141"/>
      <c r="CJ103" s="141"/>
      <c r="CK103" s="141"/>
      <c r="CL103" s="141"/>
    </row>
    <row r="104" spans="74:90" ht="15" customHeight="1" x14ac:dyDescent="0.35">
      <c r="BV104" s="140"/>
      <c r="BY104" s="141"/>
      <c r="BZ104" s="141"/>
      <c r="CA104" s="141"/>
      <c r="CB104" s="141"/>
      <c r="CC104" s="141"/>
      <c r="CD104" s="141"/>
      <c r="CE104" s="141"/>
      <c r="CF104" s="141"/>
      <c r="CG104" s="141"/>
      <c r="CH104" s="141"/>
      <c r="CI104" s="141"/>
      <c r="CJ104" s="141"/>
      <c r="CK104" s="141"/>
      <c r="CL104" s="141"/>
    </row>
    <row r="105" spans="74:90" ht="15" customHeight="1" x14ac:dyDescent="0.35">
      <c r="BV105" s="140"/>
      <c r="BY105" s="141"/>
      <c r="BZ105" s="141"/>
      <c r="CA105" s="141"/>
      <c r="CB105" s="141"/>
      <c r="CC105" s="141"/>
      <c r="CD105" s="141"/>
      <c r="CE105" s="141"/>
      <c r="CF105" s="141"/>
      <c r="CG105" s="141"/>
      <c r="CH105" s="141"/>
      <c r="CI105" s="141"/>
      <c r="CJ105" s="141"/>
      <c r="CK105" s="141"/>
      <c r="CL105" s="141"/>
    </row>
    <row r="106" spans="74:90" ht="15" customHeight="1" x14ac:dyDescent="0.35">
      <c r="BV106" s="140"/>
      <c r="BY106" s="141"/>
      <c r="BZ106" s="141"/>
      <c r="CA106" s="141"/>
      <c r="CB106" s="141"/>
      <c r="CC106" s="141"/>
      <c r="CD106" s="141"/>
      <c r="CE106" s="141"/>
      <c r="CF106" s="141"/>
      <c r="CG106" s="141"/>
      <c r="CH106" s="141"/>
      <c r="CI106" s="141"/>
      <c r="CJ106" s="141"/>
      <c r="CK106" s="141"/>
      <c r="CL106" s="141"/>
    </row>
    <row r="107" spans="74:90" ht="15" customHeight="1" x14ac:dyDescent="0.35">
      <c r="BV107" s="140"/>
      <c r="BY107" s="141"/>
      <c r="BZ107" s="141"/>
      <c r="CA107" s="141"/>
      <c r="CB107" s="141"/>
      <c r="CC107" s="141"/>
      <c r="CD107" s="141"/>
      <c r="CE107" s="141"/>
      <c r="CF107" s="141"/>
      <c r="CG107" s="141"/>
      <c r="CH107" s="141"/>
      <c r="CI107" s="141"/>
      <c r="CJ107" s="141"/>
      <c r="CK107" s="141"/>
      <c r="CL107" s="141"/>
    </row>
    <row r="108" spans="74:90" ht="15" customHeight="1" x14ac:dyDescent="0.35">
      <c r="BV108" s="140"/>
      <c r="BY108" s="141"/>
      <c r="BZ108" s="141"/>
      <c r="CA108" s="141"/>
      <c r="CB108" s="141"/>
      <c r="CC108" s="141"/>
      <c r="CD108" s="141"/>
      <c r="CE108" s="141"/>
      <c r="CF108" s="141"/>
      <c r="CG108" s="141"/>
      <c r="CH108" s="141"/>
      <c r="CI108" s="141"/>
      <c r="CJ108" s="141"/>
      <c r="CK108" s="141"/>
      <c r="CL108" s="141"/>
    </row>
    <row r="109" spans="74:90" ht="15" customHeight="1" x14ac:dyDescent="0.35">
      <c r="BV109" s="140"/>
      <c r="BY109" s="141"/>
      <c r="BZ109" s="141"/>
      <c r="CA109" s="141"/>
      <c r="CB109" s="141"/>
      <c r="CC109" s="141"/>
      <c r="CD109" s="141"/>
      <c r="CE109" s="141"/>
      <c r="CF109" s="141"/>
      <c r="CG109" s="141"/>
      <c r="CH109" s="141"/>
      <c r="CI109" s="141"/>
      <c r="CJ109" s="141"/>
      <c r="CK109" s="141"/>
      <c r="CL109" s="141"/>
    </row>
    <row r="110" spans="74:90" ht="15" customHeight="1" x14ac:dyDescent="0.35">
      <c r="BV110" s="140"/>
      <c r="BY110" s="141"/>
      <c r="BZ110" s="141"/>
      <c r="CA110" s="141"/>
      <c r="CB110" s="141"/>
      <c r="CC110" s="141"/>
      <c r="CD110" s="141"/>
      <c r="CE110" s="141"/>
      <c r="CF110" s="141"/>
      <c r="CG110" s="141"/>
      <c r="CH110" s="141"/>
      <c r="CI110" s="141"/>
      <c r="CJ110" s="141"/>
      <c r="CK110" s="141"/>
      <c r="CL110" s="141"/>
    </row>
    <row r="111" spans="74:90" ht="15" customHeight="1" x14ac:dyDescent="0.35">
      <c r="BV111" s="140"/>
      <c r="BY111" s="141"/>
      <c r="BZ111" s="141"/>
      <c r="CA111" s="141"/>
      <c r="CB111" s="141"/>
      <c r="CC111" s="141"/>
      <c r="CD111" s="141"/>
      <c r="CE111" s="141"/>
      <c r="CF111" s="141"/>
      <c r="CG111" s="141"/>
      <c r="CH111" s="141"/>
      <c r="CI111" s="141"/>
      <c r="CJ111" s="141"/>
      <c r="CK111" s="141"/>
      <c r="CL111" s="141"/>
    </row>
    <row r="112" spans="74:90" ht="15" customHeight="1" x14ac:dyDescent="0.35">
      <c r="BV112" s="140"/>
      <c r="BY112" s="141"/>
      <c r="BZ112" s="141"/>
      <c r="CA112" s="141"/>
      <c r="CB112" s="141"/>
      <c r="CC112" s="141"/>
      <c r="CD112" s="141"/>
      <c r="CE112" s="141"/>
      <c r="CF112" s="141"/>
      <c r="CG112" s="141"/>
      <c r="CH112" s="141"/>
      <c r="CI112" s="141"/>
      <c r="CJ112" s="141"/>
      <c r="CK112" s="141"/>
      <c r="CL112" s="141"/>
    </row>
    <row r="113" spans="74:90" ht="15" customHeight="1" x14ac:dyDescent="0.35">
      <c r="BV113" s="140"/>
      <c r="BY113" s="141"/>
      <c r="BZ113" s="141"/>
      <c r="CA113" s="141"/>
      <c r="CB113" s="141"/>
      <c r="CC113" s="141"/>
      <c r="CD113" s="141"/>
      <c r="CE113" s="141"/>
      <c r="CF113" s="141"/>
      <c r="CG113" s="141"/>
      <c r="CH113" s="141"/>
      <c r="CI113" s="141"/>
      <c r="CJ113" s="141"/>
      <c r="CK113" s="141"/>
      <c r="CL113" s="141"/>
    </row>
    <row r="114" spans="74:90" ht="15" customHeight="1" x14ac:dyDescent="0.35">
      <c r="BV114" s="140"/>
      <c r="BY114" s="141"/>
      <c r="BZ114" s="141"/>
      <c r="CA114" s="141"/>
      <c r="CB114" s="141"/>
      <c r="CC114" s="141"/>
      <c r="CD114" s="141"/>
      <c r="CE114" s="141"/>
      <c r="CF114" s="141"/>
      <c r="CG114" s="141"/>
      <c r="CH114" s="141"/>
      <c r="CI114" s="141"/>
      <c r="CJ114" s="141"/>
      <c r="CK114" s="141"/>
      <c r="CL114" s="141"/>
    </row>
    <row r="115" spans="74:90" ht="15" customHeight="1" x14ac:dyDescent="0.35">
      <c r="BV115" s="140"/>
      <c r="BY115" s="141"/>
      <c r="BZ115" s="141"/>
      <c r="CA115" s="141"/>
      <c r="CB115" s="141"/>
      <c r="CC115" s="141"/>
      <c r="CD115" s="141"/>
      <c r="CE115" s="141"/>
      <c r="CF115" s="141"/>
      <c r="CG115" s="141"/>
      <c r="CH115" s="141"/>
      <c r="CI115" s="141"/>
      <c r="CJ115" s="141"/>
      <c r="CK115" s="141"/>
      <c r="CL115" s="141"/>
    </row>
    <row r="116" spans="74:90" ht="15" customHeight="1" x14ac:dyDescent="0.35">
      <c r="BV116" s="140"/>
      <c r="BY116" s="141"/>
      <c r="BZ116" s="141"/>
      <c r="CA116" s="141"/>
      <c r="CB116" s="141"/>
      <c r="CC116" s="141"/>
      <c r="CD116" s="141"/>
      <c r="CE116" s="141"/>
      <c r="CF116" s="141"/>
      <c r="CG116" s="141"/>
      <c r="CH116" s="141"/>
      <c r="CI116" s="141"/>
      <c r="CJ116" s="141"/>
      <c r="CK116" s="141"/>
      <c r="CL116" s="141"/>
    </row>
    <row r="117" spans="74:90" ht="15" customHeight="1" x14ac:dyDescent="0.35">
      <c r="BV117" s="140"/>
      <c r="BY117" s="141"/>
      <c r="BZ117" s="141"/>
      <c r="CA117" s="141"/>
      <c r="CB117" s="141"/>
      <c r="CC117" s="141"/>
      <c r="CD117" s="141"/>
      <c r="CE117" s="141"/>
      <c r="CF117" s="141"/>
      <c r="CG117" s="141"/>
      <c r="CH117" s="141"/>
      <c r="CI117" s="141"/>
      <c r="CJ117" s="141"/>
      <c r="CK117" s="141"/>
      <c r="CL117" s="141"/>
    </row>
    <row r="118" spans="74:90" ht="15" customHeight="1" x14ac:dyDescent="0.35">
      <c r="BV118" s="140"/>
      <c r="BY118" s="141"/>
      <c r="BZ118" s="141"/>
      <c r="CA118" s="141"/>
      <c r="CB118" s="141"/>
      <c r="CC118" s="141"/>
      <c r="CD118" s="141"/>
      <c r="CE118" s="141"/>
      <c r="CF118" s="141"/>
      <c r="CG118" s="141"/>
      <c r="CH118" s="141"/>
      <c r="CI118" s="141"/>
      <c r="CJ118" s="141"/>
      <c r="CK118" s="141"/>
      <c r="CL118" s="141"/>
    </row>
    <row r="119" spans="74:90" ht="15" customHeight="1" x14ac:dyDescent="0.35">
      <c r="BV119" s="140"/>
      <c r="BY119" s="141"/>
      <c r="BZ119" s="141"/>
      <c r="CA119" s="141"/>
      <c r="CB119" s="141"/>
      <c r="CC119" s="141"/>
      <c r="CD119" s="141"/>
      <c r="CE119" s="141"/>
      <c r="CF119" s="141"/>
      <c r="CG119" s="141"/>
      <c r="CH119" s="141"/>
      <c r="CI119" s="141"/>
      <c r="CJ119" s="141"/>
      <c r="CK119" s="141"/>
      <c r="CL119" s="141"/>
    </row>
    <row r="120" spans="74:90" ht="15" customHeight="1" x14ac:dyDescent="0.35">
      <c r="BV120" s="140"/>
      <c r="BY120" s="141"/>
      <c r="BZ120" s="141"/>
      <c r="CA120" s="141"/>
      <c r="CB120" s="141"/>
      <c r="CC120" s="141"/>
      <c r="CD120" s="141"/>
      <c r="CE120" s="141"/>
      <c r="CF120" s="141"/>
      <c r="CG120" s="141"/>
      <c r="CH120" s="141"/>
      <c r="CI120" s="141"/>
      <c r="CJ120" s="141"/>
      <c r="CK120" s="141"/>
      <c r="CL120" s="141"/>
    </row>
    <row r="121" spans="74:90" ht="15" customHeight="1" x14ac:dyDescent="0.35">
      <c r="BV121" s="140"/>
      <c r="BY121" s="141"/>
      <c r="BZ121" s="141"/>
      <c r="CA121" s="141"/>
      <c r="CB121" s="141"/>
      <c r="CC121" s="141"/>
      <c r="CD121" s="141"/>
      <c r="CE121" s="141"/>
      <c r="CF121" s="141"/>
      <c r="CG121" s="141"/>
      <c r="CH121" s="141"/>
      <c r="CI121" s="141"/>
      <c r="CJ121" s="141"/>
      <c r="CK121" s="141"/>
      <c r="CL121" s="141"/>
    </row>
    <row r="122" spans="74:90" ht="15" customHeight="1" x14ac:dyDescent="0.35">
      <c r="BV122" s="140"/>
      <c r="BY122" s="141"/>
      <c r="BZ122" s="141"/>
      <c r="CA122" s="141"/>
      <c r="CB122" s="141"/>
      <c r="CC122" s="141"/>
      <c r="CD122" s="141"/>
      <c r="CE122" s="141"/>
      <c r="CF122" s="141"/>
      <c r="CG122" s="141"/>
      <c r="CH122" s="141"/>
      <c r="CI122" s="141"/>
      <c r="CJ122" s="141"/>
      <c r="CK122" s="141"/>
      <c r="CL122" s="141"/>
    </row>
    <row r="123" spans="74:90" ht="15" customHeight="1" x14ac:dyDescent="0.35">
      <c r="BV123" s="140"/>
      <c r="BY123" s="141"/>
      <c r="BZ123" s="141"/>
      <c r="CA123" s="141"/>
      <c r="CB123" s="141"/>
      <c r="CC123" s="141"/>
      <c r="CD123" s="141"/>
      <c r="CE123" s="141"/>
      <c r="CF123" s="141"/>
      <c r="CG123" s="141"/>
      <c r="CH123" s="141"/>
      <c r="CI123" s="141"/>
      <c r="CJ123" s="141"/>
      <c r="CK123" s="141"/>
      <c r="CL123" s="141"/>
    </row>
    <row r="124" spans="74:90" ht="15" customHeight="1" x14ac:dyDescent="0.35">
      <c r="BV124" s="140"/>
      <c r="BY124" s="141"/>
      <c r="BZ124" s="141"/>
      <c r="CA124" s="141"/>
      <c r="CB124" s="141"/>
      <c r="CC124" s="141"/>
      <c r="CD124" s="141"/>
      <c r="CE124" s="141"/>
      <c r="CF124" s="141"/>
      <c r="CG124" s="141"/>
      <c r="CH124" s="141"/>
      <c r="CI124" s="141"/>
      <c r="CJ124" s="141"/>
      <c r="CK124" s="141"/>
      <c r="CL124" s="141"/>
    </row>
    <row r="125" spans="74:90" ht="15" customHeight="1" x14ac:dyDescent="0.35">
      <c r="BV125" s="140"/>
      <c r="BY125" s="141"/>
      <c r="BZ125" s="141"/>
      <c r="CA125" s="141"/>
      <c r="CB125" s="141"/>
      <c r="CC125" s="141"/>
      <c r="CD125" s="141"/>
      <c r="CE125" s="141"/>
      <c r="CF125" s="141"/>
      <c r="CG125" s="141"/>
      <c r="CH125" s="141"/>
      <c r="CI125" s="141"/>
      <c r="CJ125" s="141"/>
      <c r="CK125" s="141"/>
      <c r="CL125" s="141"/>
    </row>
    <row r="126" spans="74:90" ht="15" customHeight="1" x14ac:dyDescent="0.35">
      <c r="BV126" s="140"/>
      <c r="BY126" s="141"/>
      <c r="BZ126" s="141"/>
      <c r="CA126" s="141"/>
      <c r="CB126" s="141"/>
      <c r="CC126" s="141"/>
      <c r="CD126" s="141"/>
      <c r="CE126" s="141"/>
      <c r="CF126" s="141"/>
      <c r="CG126" s="141"/>
      <c r="CH126" s="141"/>
      <c r="CI126" s="141"/>
      <c r="CJ126" s="141"/>
      <c r="CK126" s="141"/>
      <c r="CL126" s="141"/>
    </row>
    <row r="127" spans="74:90" ht="15" customHeight="1" x14ac:dyDescent="0.35">
      <c r="BV127" s="140"/>
      <c r="BY127" s="141"/>
      <c r="BZ127" s="141"/>
      <c r="CA127" s="141"/>
      <c r="CB127" s="141"/>
      <c r="CC127" s="141"/>
      <c r="CD127" s="141"/>
      <c r="CE127" s="141"/>
      <c r="CF127" s="141"/>
      <c r="CG127" s="141"/>
      <c r="CH127" s="141"/>
      <c r="CI127" s="141"/>
      <c r="CJ127" s="141"/>
      <c r="CK127" s="141"/>
      <c r="CL127" s="141"/>
    </row>
    <row r="128" spans="74:90" ht="15" customHeight="1" x14ac:dyDescent="0.35">
      <c r="BV128" s="140"/>
      <c r="BY128" s="141"/>
      <c r="BZ128" s="141"/>
      <c r="CA128" s="141"/>
      <c r="CB128" s="141"/>
      <c r="CC128" s="141"/>
      <c r="CD128" s="141"/>
      <c r="CE128" s="141"/>
      <c r="CF128" s="141"/>
      <c r="CG128" s="141"/>
      <c r="CH128" s="141"/>
      <c r="CI128" s="141"/>
      <c r="CJ128" s="141"/>
      <c r="CK128" s="141"/>
      <c r="CL128" s="141"/>
    </row>
    <row r="129" spans="74:90" ht="15" customHeight="1" x14ac:dyDescent="0.35">
      <c r="BV129" s="140"/>
      <c r="BY129" s="141"/>
      <c r="BZ129" s="141"/>
      <c r="CA129" s="141"/>
      <c r="CB129" s="141"/>
      <c r="CC129" s="141"/>
      <c r="CD129" s="141"/>
      <c r="CE129" s="141"/>
      <c r="CF129" s="141"/>
      <c r="CG129" s="141"/>
      <c r="CH129" s="141"/>
      <c r="CI129" s="141"/>
      <c r="CJ129" s="141"/>
      <c r="CK129" s="141"/>
      <c r="CL129" s="141"/>
    </row>
    <row r="130" spans="74:90" ht="15" customHeight="1" x14ac:dyDescent="0.35">
      <c r="BV130" s="140"/>
      <c r="BY130" s="141"/>
      <c r="BZ130" s="141"/>
      <c r="CA130" s="141"/>
      <c r="CB130" s="141"/>
      <c r="CC130" s="141"/>
      <c r="CD130" s="141"/>
      <c r="CE130" s="141"/>
      <c r="CF130" s="141"/>
      <c r="CG130" s="141"/>
      <c r="CH130" s="141"/>
      <c r="CI130" s="141"/>
      <c r="CJ130" s="141"/>
      <c r="CK130" s="141"/>
      <c r="CL130" s="141"/>
    </row>
    <row r="131" spans="74:90" ht="15" customHeight="1" x14ac:dyDescent="0.35">
      <c r="BV131" s="140"/>
      <c r="BY131" s="141"/>
      <c r="BZ131" s="141"/>
      <c r="CA131" s="141"/>
      <c r="CB131" s="141"/>
      <c r="CC131" s="141"/>
      <c r="CD131" s="141"/>
      <c r="CE131" s="141"/>
      <c r="CF131" s="141"/>
      <c r="CG131" s="141"/>
      <c r="CH131" s="141"/>
      <c r="CI131" s="141"/>
      <c r="CJ131" s="141"/>
      <c r="CK131" s="141"/>
      <c r="CL131" s="141"/>
    </row>
    <row r="132" spans="74:90" ht="15" customHeight="1" x14ac:dyDescent="0.35">
      <c r="BV132" s="140"/>
      <c r="BY132" s="141"/>
      <c r="BZ132" s="141"/>
      <c r="CA132" s="141"/>
      <c r="CB132" s="141"/>
      <c r="CC132" s="141"/>
      <c r="CD132" s="141"/>
      <c r="CE132" s="141"/>
      <c r="CF132" s="141"/>
      <c r="CG132" s="141"/>
      <c r="CH132" s="141"/>
      <c r="CI132" s="141"/>
      <c r="CJ132" s="141"/>
      <c r="CK132" s="141"/>
      <c r="CL132" s="141"/>
    </row>
    <row r="133" spans="74:90" ht="15" customHeight="1" x14ac:dyDescent="0.35">
      <c r="BV133" s="140"/>
      <c r="BY133" s="141"/>
      <c r="BZ133" s="141"/>
      <c r="CA133" s="141"/>
      <c r="CB133" s="141"/>
      <c r="CC133" s="141"/>
      <c r="CD133" s="141"/>
      <c r="CE133" s="141"/>
      <c r="CF133" s="141"/>
      <c r="CG133" s="141"/>
      <c r="CH133" s="141"/>
      <c r="CI133" s="141"/>
      <c r="CJ133" s="141"/>
      <c r="CK133" s="141"/>
      <c r="CL133" s="141"/>
    </row>
    <row r="134" spans="74:90" ht="15" customHeight="1" x14ac:dyDescent="0.35">
      <c r="BV134" s="140"/>
      <c r="BY134" s="141"/>
      <c r="BZ134" s="141"/>
      <c r="CA134" s="141"/>
      <c r="CB134" s="141"/>
      <c r="CC134" s="141"/>
      <c r="CD134" s="141"/>
      <c r="CE134" s="141"/>
      <c r="CF134" s="141"/>
      <c r="CG134" s="141"/>
      <c r="CH134" s="141"/>
      <c r="CI134" s="141"/>
      <c r="CJ134" s="141"/>
      <c r="CK134" s="141"/>
      <c r="CL134" s="141"/>
    </row>
    <row r="135" spans="74:90" ht="15" customHeight="1" x14ac:dyDescent="0.35">
      <c r="BV135" s="140"/>
      <c r="BY135" s="141"/>
      <c r="BZ135" s="141"/>
      <c r="CA135" s="141"/>
      <c r="CB135" s="141"/>
      <c r="CC135" s="141"/>
      <c r="CD135" s="141"/>
      <c r="CE135" s="141"/>
      <c r="CF135" s="141"/>
      <c r="CG135" s="141"/>
      <c r="CH135" s="141"/>
      <c r="CI135" s="141"/>
      <c r="CJ135" s="141"/>
      <c r="CK135" s="141"/>
      <c r="CL135" s="141"/>
    </row>
    <row r="136" spans="74:90" ht="15" customHeight="1" x14ac:dyDescent="0.35">
      <c r="BV136" s="140"/>
      <c r="BY136" s="141"/>
      <c r="BZ136" s="141"/>
      <c r="CA136" s="141"/>
      <c r="CB136" s="141"/>
      <c r="CC136" s="141"/>
      <c r="CD136" s="141"/>
      <c r="CE136" s="141"/>
      <c r="CF136" s="141"/>
      <c r="CG136" s="141"/>
      <c r="CH136" s="141"/>
      <c r="CI136" s="141"/>
      <c r="CJ136" s="141"/>
      <c r="CK136" s="141"/>
      <c r="CL136" s="141"/>
    </row>
    <row r="137" spans="74:90" ht="15" customHeight="1" x14ac:dyDescent="0.35">
      <c r="BV137" s="140"/>
      <c r="BY137" s="141"/>
      <c r="BZ137" s="141"/>
      <c r="CA137" s="141"/>
      <c r="CB137" s="141"/>
      <c r="CC137" s="141"/>
      <c r="CD137" s="141"/>
      <c r="CE137" s="141"/>
      <c r="CF137" s="141"/>
      <c r="CG137" s="141"/>
      <c r="CH137" s="141"/>
      <c r="CI137" s="141"/>
      <c r="CJ137" s="141"/>
      <c r="CK137" s="141"/>
      <c r="CL137" s="141"/>
    </row>
    <row r="138" spans="74:90" ht="15" customHeight="1" x14ac:dyDescent="0.35">
      <c r="BV138" s="140"/>
      <c r="BY138" s="141"/>
      <c r="BZ138" s="141"/>
      <c r="CA138" s="141"/>
      <c r="CB138" s="141"/>
      <c r="CC138" s="141"/>
      <c r="CD138" s="141"/>
      <c r="CE138" s="141"/>
      <c r="CF138" s="141"/>
      <c r="CG138" s="141"/>
      <c r="CH138" s="141"/>
      <c r="CI138" s="141"/>
      <c r="CJ138" s="141"/>
      <c r="CK138" s="141"/>
      <c r="CL138" s="141"/>
    </row>
    <row r="139" spans="74:90" ht="15" customHeight="1" x14ac:dyDescent="0.35">
      <c r="BV139" s="140"/>
      <c r="BY139" s="141"/>
      <c r="BZ139" s="141"/>
      <c r="CA139" s="141"/>
      <c r="CB139" s="141"/>
      <c r="CC139" s="141"/>
      <c r="CD139" s="141"/>
      <c r="CE139" s="141"/>
      <c r="CF139" s="141"/>
      <c r="CG139" s="141"/>
      <c r="CH139" s="141"/>
      <c r="CI139" s="141"/>
      <c r="CJ139" s="141"/>
      <c r="CK139" s="141"/>
      <c r="CL139" s="141"/>
    </row>
    <row r="140" spans="74:90" ht="15" customHeight="1" x14ac:dyDescent="0.35">
      <c r="BV140" s="140"/>
      <c r="BY140" s="141"/>
      <c r="BZ140" s="141"/>
      <c r="CA140" s="141"/>
      <c r="CB140" s="141"/>
      <c r="CC140" s="141"/>
      <c r="CD140" s="141"/>
      <c r="CE140" s="141"/>
      <c r="CF140" s="141"/>
      <c r="CG140" s="141"/>
      <c r="CH140" s="141"/>
      <c r="CI140" s="141"/>
      <c r="CJ140" s="141"/>
      <c r="CK140" s="141"/>
      <c r="CL140" s="141"/>
    </row>
    <row r="141" spans="74:90" ht="15" customHeight="1" x14ac:dyDescent="0.35">
      <c r="BV141" s="140"/>
      <c r="BY141" s="141"/>
      <c r="BZ141" s="141"/>
      <c r="CA141" s="141"/>
      <c r="CB141" s="141"/>
      <c r="CC141" s="141"/>
      <c r="CD141" s="141"/>
      <c r="CE141" s="141"/>
      <c r="CF141" s="141"/>
      <c r="CG141" s="141"/>
      <c r="CH141" s="141"/>
      <c r="CI141" s="141"/>
      <c r="CJ141" s="141"/>
      <c r="CK141" s="141"/>
      <c r="CL141" s="141"/>
    </row>
    <row r="142" spans="74:90" ht="15" customHeight="1" x14ac:dyDescent="0.35">
      <c r="BV142" s="140"/>
      <c r="BY142" s="141"/>
      <c r="BZ142" s="141"/>
      <c r="CA142" s="141"/>
      <c r="CB142" s="141"/>
      <c r="CC142" s="141"/>
      <c r="CD142" s="141"/>
      <c r="CE142" s="141"/>
      <c r="CF142" s="141"/>
      <c r="CG142" s="141"/>
      <c r="CH142" s="141"/>
      <c r="CI142" s="141"/>
      <c r="CJ142" s="141"/>
      <c r="CK142" s="141"/>
      <c r="CL142" s="141"/>
    </row>
    <row r="143" spans="74:90" ht="15" customHeight="1" x14ac:dyDescent="0.35">
      <c r="BV143" s="140"/>
      <c r="BY143" s="141"/>
      <c r="BZ143" s="141"/>
      <c r="CA143" s="141"/>
      <c r="CB143" s="141"/>
      <c r="CC143" s="141"/>
      <c r="CD143" s="141"/>
      <c r="CE143" s="141"/>
      <c r="CF143" s="141"/>
      <c r="CG143" s="141"/>
      <c r="CH143" s="141"/>
      <c r="CI143" s="141"/>
      <c r="CJ143" s="141"/>
      <c r="CK143" s="141"/>
      <c r="CL143" s="141"/>
    </row>
    <row r="144" spans="74:90" ht="15" customHeight="1" x14ac:dyDescent="0.35">
      <c r="BV144" s="140"/>
      <c r="BY144" s="141"/>
      <c r="BZ144" s="141"/>
      <c r="CA144" s="141"/>
      <c r="CB144" s="141"/>
      <c r="CC144" s="141"/>
      <c r="CD144" s="141"/>
      <c r="CE144" s="141"/>
      <c r="CF144" s="141"/>
      <c r="CG144" s="141"/>
      <c r="CH144" s="141"/>
      <c r="CI144" s="141"/>
      <c r="CJ144" s="141"/>
      <c r="CK144" s="141"/>
      <c r="CL144" s="141"/>
    </row>
    <row r="145" spans="74:90" ht="15" customHeight="1" x14ac:dyDescent="0.35">
      <c r="BV145" s="140"/>
      <c r="BY145" s="141"/>
      <c r="BZ145" s="141"/>
      <c r="CA145" s="141"/>
      <c r="CB145" s="141"/>
      <c r="CC145" s="141"/>
      <c r="CD145" s="141"/>
      <c r="CE145" s="141"/>
      <c r="CF145" s="141"/>
      <c r="CG145" s="141"/>
      <c r="CH145" s="141"/>
      <c r="CI145" s="141"/>
      <c r="CJ145" s="141"/>
      <c r="CK145" s="141"/>
      <c r="CL145" s="141"/>
    </row>
    <row r="146" spans="74:90" ht="15" customHeight="1" x14ac:dyDescent="0.35">
      <c r="BV146" s="140"/>
      <c r="BY146" s="141"/>
      <c r="BZ146" s="141"/>
      <c r="CA146" s="141"/>
      <c r="CB146" s="141"/>
      <c r="CC146" s="141"/>
      <c r="CD146" s="141"/>
      <c r="CE146" s="141"/>
      <c r="CF146" s="141"/>
      <c r="CG146" s="141"/>
      <c r="CH146" s="141"/>
      <c r="CI146" s="141"/>
      <c r="CJ146" s="141"/>
      <c r="CK146" s="141"/>
      <c r="CL146" s="141"/>
    </row>
    <row r="147" spans="74:90" ht="15" customHeight="1" x14ac:dyDescent="0.35">
      <c r="BV147" s="140"/>
      <c r="BY147" s="141"/>
      <c r="BZ147" s="141"/>
      <c r="CA147" s="141"/>
      <c r="CB147" s="141"/>
      <c r="CC147" s="141"/>
      <c r="CD147" s="141"/>
      <c r="CE147" s="141"/>
      <c r="CF147" s="141"/>
      <c r="CG147" s="141"/>
      <c r="CH147" s="141"/>
      <c r="CI147" s="141"/>
      <c r="CJ147" s="141"/>
      <c r="CK147" s="141"/>
      <c r="CL147" s="141"/>
    </row>
    <row r="148" spans="74:90" ht="15" customHeight="1" x14ac:dyDescent="0.35">
      <c r="BV148" s="140"/>
      <c r="BY148" s="141"/>
      <c r="BZ148" s="141"/>
      <c r="CA148" s="141"/>
      <c r="CB148" s="141"/>
      <c r="CC148" s="141"/>
      <c r="CD148" s="141"/>
      <c r="CE148" s="141"/>
      <c r="CF148" s="141"/>
      <c r="CG148" s="141"/>
      <c r="CH148" s="141"/>
      <c r="CI148" s="141"/>
      <c r="CJ148" s="141"/>
      <c r="CK148" s="141"/>
      <c r="CL148" s="141"/>
    </row>
    <row r="149" spans="74:90" ht="15" customHeight="1" x14ac:dyDescent="0.35">
      <c r="BV149" s="140"/>
      <c r="BY149" s="141"/>
      <c r="BZ149" s="141"/>
      <c r="CA149" s="141"/>
      <c r="CB149" s="141"/>
      <c r="CC149" s="141"/>
      <c r="CD149" s="141"/>
      <c r="CE149" s="141"/>
      <c r="CF149" s="141"/>
      <c r="CG149" s="141"/>
      <c r="CH149" s="141"/>
      <c r="CI149" s="141"/>
      <c r="CJ149" s="141"/>
      <c r="CK149" s="141"/>
      <c r="CL149" s="141"/>
    </row>
    <row r="150" spans="74:90" ht="15" customHeight="1" x14ac:dyDescent="0.35">
      <c r="BV150" s="140"/>
      <c r="BY150" s="141"/>
      <c r="BZ150" s="141"/>
      <c r="CA150" s="141"/>
      <c r="CB150" s="141"/>
      <c r="CC150" s="141"/>
      <c r="CD150" s="141"/>
      <c r="CE150" s="141"/>
      <c r="CF150" s="141"/>
      <c r="CG150" s="141"/>
      <c r="CH150" s="141"/>
      <c r="CI150" s="141"/>
      <c r="CJ150" s="141"/>
      <c r="CK150" s="141"/>
      <c r="CL150" s="141"/>
    </row>
    <row r="151" spans="74:90" ht="15" customHeight="1" x14ac:dyDescent="0.35">
      <c r="BV151" s="140"/>
      <c r="BY151" s="141"/>
      <c r="BZ151" s="141"/>
      <c r="CA151" s="141"/>
      <c r="CB151" s="141"/>
      <c r="CC151" s="141"/>
      <c r="CD151" s="141"/>
      <c r="CE151" s="141"/>
      <c r="CF151" s="141"/>
      <c r="CG151" s="141"/>
      <c r="CH151" s="141"/>
      <c r="CI151" s="141"/>
      <c r="CJ151" s="141"/>
      <c r="CK151" s="141"/>
      <c r="CL151" s="141"/>
    </row>
    <row r="152" spans="74:90" ht="15" customHeight="1" x14ac:dyDescent="0.35">
      <c r="BV152" s="140"/>
      <c r="BY152" s="141"/>
      <c r="BZ152" s="141"/>
      <c r="CA152" s="141"/>
      <c r="CB152" s="141"/>
      <c r="CC152" s="141"/>
      <c r="CD152" s="141"/>
      <c r="CE152" s="141"/>
      <c r="CF152" s="141"/>
      <c r="CG152" s="141"/>
      <c r="CH152" s="141"/>
      <c r="CI152" s="141"/>
      <c r="CJ152" s="141"/>
      <c r="CK152" s="141"/>
      <c r="CL152" s="141"/>
    </row>
    <row r="153" spans="74:90" ht="15" customHeight="1" x14ac:dyDescent="0.35">
      <c r="BV153" s="140"/>
      <c r="BY153" s="141"/>
      <c r="BZ153" s="141"/>
      <c r="CA153" s="141"/>
      <c r="CB153" s="141"/>
      <c r="CC153" s="141"/>
      <c r="CD153" s="141"/>
      <c r="CE153" s="141"/>
      <c r="CF153" s="141"/>
      <c r="CG153" s="141"/>
      <c r="CH153" s="141"/>
      <c r="CI153" s="141"/>
      <c r="CJ153" s="141"/>
      <c r="CK153" s="141"/>
      <c r="CL153" s="141"/>
    </row>
    <row r="154" spans="74:90" ht="15" customHeight="1" x14ac:dyDescent="0.35">
      <c r="BV154" s="140"/>
      <c r="BY154" s="141"/>
      <c r="BZ154" s="141"/>
      <c r="CA154" s="141"/>
      <c r="CB154" s="141"/>
      <c r="CC154" s="141"/>
      <c r="CD154" s="141"/>
      <c r="CE154" s="141"/>
      <c r="CF154" s="141"/>
      <c r="CG154" s="141"/>
      <c r="CH154" s="141"/>
      <c r="CI154" s="141"/>
      <c r="CJ154" s="141"/>
      <c r="CK154" s="141"/>
      <c r="CL154" s="141"/>
    </row>
    <row r="155" spans="74:90" ht="15" customHeight="1" x14ac:dyDescent="0.35">
      <c r="BV155" s="140"/>
      <c r="BY155" s="141"/>
      <c r="BZ155" s="141"/>
      <c r="CA155" s="141"/>
      <c r="CB155" s="141"/>
      <c r="CC155" s="141"/>
      <c r="CD155" s="141"/>
      <c r="CE155" s="141"/>
      <c r="CF155" s="141"/>
      <c r="CG155" s="141"/>
      <c r="CH155" s="141"/>
      <c r="CI155" s="141"/>
      <c r="CJ155" s="141"/>
      <c r="CK155" s="141"/>
      <c r="CL155" s="141"/>
    </row>
    <row r="156" spans="74:90" ht="15" customHeight="1" x14ac:dyDescent="0.35">
      <c r="BV156" s="140"/>
      <c r="BY156" s="141"/>
      <c r="BZ156" s="141"/>
      <c r="CA156" s="141"/>
      <c r="CB156" s="141"/>
      <c r="CC156" s="141"/>
      <c r="CD156" s="141"/>
      <c r="CE156" s="141"/>
      <c r="CF156" s="141"/>
      <c r="CG156" s="141"/>
      <c r="CH156" s="141"/>
      <c r="CI156" s="141"/>
      <c r="CJ156" s="141"/>
      <c r="CK156" s="141"/>
      <c r="CL156" s="141"/>
    </row>
    <row r="157" spans="74:90" ht="15" customHeight="1" x14ac:dyDescent="0.35">
      <c r="BV157" s="140"/>
      <c r="BY157" s="141"/>
      <c r="BZ157" s="141"/>
      <c r="CA157" s="141"/>
      <c r="CB157" s="141"/>
      <c r="CC157" s="141"/>
      <c r="CD157" s="141"/>
      <c r="CE157" s="141"/>
      <c r="CF157" s="141"/>
      <c r="CG157" s="141"/>
      <c r="CH157" s="141"/>
      <c r="CI157" s="141"/>
      <c r="CJ157" s="141"/>
      <c r="CK157" s="141"/>
      <c r="CL157" s="141"/>
    </row>
    <row r="158" spans="74:90" ht="15" customHeight="1" x14ac:dyDescent="0.35">
      <c r="BV158" s="140"/>
      <c r="BY158" s="141"/>
      <c r="BZ158" s="141"/>
      <c r="CA158" s="141"/>
      <c r="CB158" s="141"/>
      <c r="CC158" s="141"/>
      <c r="CD158" s="141"/>
      <c r="CE158" s="141"/>
      <c r="CF158" s="141"/>
      <c r="CG158" s="141"/>
      <c r="CH158" s="141"/>
      <c r="CI158" s="141"/>
      <c r="CJ158" s="141"/>
      <c r="CK158" s="141"/>
      <c r="CL158" s="141"/>
    </row>
    <row r="159" spans="74:90" ht="15" customHeight="1" x14ac:dyDescent="0.35">
      <c r="BV159" s="140"/>
      <c r="BY159" s="141"/>
      <c r="BZ159" s="141"/>
      <c r="CA159" s="141"/>
      <c r="CB159" s="141"/>
      <c r="CC159" s="141"/>
      <c r="CD159" s="141"/>
      <c r="CE159" s="141"/>
      <c r="CF159" s="141"/>
      <c r="CG159" s="141"/>
      <c r="CH159" s="141"/>
      <c r="CI159" s="141"/>
      <c r="CJ159" s="141"/>
      <c r="CK159" s="141"/>
      <c r="CL159" s="141"/>
    </row>
    <row r="160" spans="74:90" ht="15" customHeight="1" x14ac:dyDescent="0.35">
      <c r="BV160" s="140"/>
      <c r="BY160" s="141"/>
      <c r="BZ160" s="141"/>
      <c r="CA160" s="141"/>
      <c r="CB160" s="141"/>
      <c r="CC160" s="141"/>
      <c r="CD160" s="141"/>
      <c r="CE160" s="141"/>
      <c r="CF160" s="141"/>
      <c r="CG160" s="141"/>
      <c r="CH160" s="141"/>
      <c r="CI160" s="141"/>
      <c r="CJ160" s="141"/>
      <c r="CK160" s="141"/>
      <c r="CL160" s="141"/>
    </row>
    <row r="161" spans="74:90" ht="15" customHeight="1" x14ac:dyDescent="0.35">
      <c r="BV161" s="140"/>
      <c r="BY161" s="141"/>
      <c r="BZ161" s="141"/>
      <c r="CA161" s="141"/>
      <c r="CB161" s="141"/>
      <c r="CC161" s="141"/>
      <c r="CD161" s="141"/>
      <c r="CE161" s="141"/>
      <c r="CF161" s="141"/>
      <c r="CG161" s="141"/>
      <c r="CH161" s="141"/>
      <c r="CI161" s="141"/>
      <c r="CJ161" s="141"/>
      <c r="CK161" s="141"/>
      <c r="CL161" s="141"/>
    </row>
    <row r="162" spans="74:90" ht="15" customHeight="1" x14ac:dyDescent="0.35">
      <c r="BV162" s="140"/>
      <c r="BY162" s="141"/>
      <c r="BZ162" s="141"/>
      <c r="CA162" s="141"/>
      <c r="CB162" s="141"/>
      <c r="CC162" s="141"/>
      <c r="CD162" s="141"/>
      <c r="CE162" s="141"/>
      <c r="CF162" s="141"/>
      <c r="CG162" s="141"/>
      <c r="CH162" s="141"/>
      <c r="CI162" s="141"/>
      <c r="CJ162" s="141"/>
      <c r="CK162" s="141"/>
      <c r="CL162" s="141"/>
    </row>
    <row r="163" spans="74:90" ht="15" customHeight="1" x14ac:dyDescent="0.35">
      <c r="BV163" s="140"/>
      <c r="BY163" s="141"/>
      <c r="BZ163" s="141"/>
      <c r="CA163" s="141"/>
      <c r="CB163" s="141"/>
      <c r="CC163" s="141"/>
      <c r="CD163" s="141"/>
      <c r="CE163" s="141"/>
      <c r="CF163" s="141"/>
      <c r="CG163" s="141"/>
      <c r="CH163" s="141"/>
      <c r="CI163" s="141"/>
      <c r="CJ163" s="141"/>
      <c r="CK163" s="141"/>
      <c r="CL163" s="141"/>
    </row>
    <row r="164" spans="74:90" ht="15" customHeight="1" x14ac:dyDescent="0.35">
      <c r="BV164" s="140"/>
      <c r="BY164" s="141"/>
      <c r="BZ164" s="141"/>
      <c r="CA164" s="141"/>
      <c r="CB164" s="141"/>
      <c r="CC164" s="141"/>
      <c r="CD164" s="141"/>
      <c r="CE164" s="141"/>
      <c r="CF164" s="141"/>
      <c r="CG164" s="141"/>
      <c r="CH164" s="141"/>
      <c r="CI164" s="141"/>
      <c r="CJ164" s="141"/>
      <c r="CK164" s="141"/>
      <c r="CL164" s="141"/>
    </row>
    <row r="165" spans="74:90" ht="15" customHeight="1" x14ac:dyDescent="0.35">
      <c r="BV165" s="140"/>
      <c r="BY165" s="141"/>
      <c r="BZ165" s="141"/>
      <c r="CA165" s="141"/>
      <c r="CB165" s="141"/>
      <c r="CC165" s="141"/>
      <c r="CD165" s="141"/>
      <c r="CE165" s="141"/>
      <c r="CF165" s="141"/>
      <c r="CG165" s="141"/>
      <c r="CH165" s="141"/>
      <c r="CI165" s="141"/>
      <c r="CJ165" s="141"/>
      <c r="CK165" s="141"/>
      <c r="CL165" s="141"/>
    </row>
    <row r="166" spans="74:90" ht="15" customHeight="1" x14ac:dyDescent="0.35">
      <c r="BV166" s="140"/>
      <c r="BY166" s="141"/>
      <c r="BZ166" s="141"/>
      <c r="CA166" s="141"/>
      <c r="CB166" s="141"/>
      <c r="CC166" s="141"/>
      <c r="CD166" s="141"/>
      <c r="CE166" s="141"/>
      <c r="CF166" s="141"/>
      <c r="CG166" s="141"/>
      <c r="CH166" s="141"/>
      <c r="CI166" s="141"/>
      <c r="CJ166" s="141"/>
      <c r="CK166" s="141"/>
      <c r="CL166" s="141"/>
    </row>
    <row r="167" spans="74:90" ht="15" customHeight="1" x14ac:dyDescent="0.35">
      <c r="BV167" s="140"/>
      <c r="BY167" s="141"/>
      <c r="BZ167" s="141"/>
      <c r="CA167" s="141"/>
      <c r="CB167" s="141"/>
      <c r="CC167" s="141"/>
      <c r="CD167" s="141"/>
      <c r="CE167" s="141"/>
      <c r="CF167" s="141"/>
      <c r="CG167" s="141"/>
      <c r="CH167" s="141"/>
      <c r="CI167" s="141"/>
      <c r="CJ167" s="141"/>
      <c r="CK167" s="141"/>
      <c r="CL167" s="141"/>
    </row>
    <row r="168" spans="74:90" ht="15" customHeight="1" x14ac:dyDescent="0.35">
      <c r="BV168" s="140"/>
      <c r="BY168" s="141"/>
      <c r="BZ168" s="141"/>
      <c r="CA168" s="141"/>
      <c r="CB168" s="141"/>
      <c r="CC168" s="141"/>
      <c r="CD168" s="141"/>
      <c r="CE168" s="141"/>
      <c r="CF168" s="141"/>
      <c r="CG168" s="141"/>
      <c r="CH168" s="141"/>
      <c r="CI168" s="141"/>
      <c r="CJ168" s="141"/>
      <c r="CK168" s="141"/>
      <c r="CL168" s="141"/>
    </row>
    <row r="169" spans="74:90" ht="15" customHeight="1" x14ac:dyDescent="0.35">
      <c r="BV169" s="140"/>
      <c r="BY169" s="141"/>
      <c r="BZ169" s="141"/>
      <c r="CA169" s="141"/>
      <c r="CB169" s="141"/>
      <c r="CC169" s="141"/>
      <c r="CD169" s="141"/>
      <c r="CE169" s="141"/>
      <c r="CF169" s="141"/>
      <c r="CG169" s="141"/>
      <c r="CH169" s="141"/>
      <c r="CI169" s="141"/>
      <c r="CJ169" s="141"/>
      <c r="CK169" s="141"/>
      <c r="CL169" s="141"/>
    </row>
    <row r="170" spans="74:90" ht="15" customHeight="1" x14ac:dyDescent="0.35">
      <c r="BV170" s="140"/>
      <c r="BY170" s="141"/>
      <c r="BZ170" s="141"/>
      <c r="CA170" s="141"/>
      <c r="CB170" s="141"/>
      <c r="CC170" s="141"/>
      <c r="CD170" s="141"/>
      <c r="CE170" s="141"/>
      <c r="CF170" s="141"/>
      <c r="CG170" s="141"/>
      <c r="CH170" s="141"/>
      <c r="CI170" s="141"/>
      <c r="CJ170" s="141"/>
      <c r="CK170" s="141"/>
      <c r="CL170" s="141"/>
    </row>
    <row r="171" spans="74:90" ht="15" customHeight="1" x14ac:dyDescent="0.35">
      <c r="BV171" s="140"/>
      <c r="BY171" s="141"/>
      <c r="BZ171" s="141"/>
      <c r="CA171" s="141"/>
      <c r="CB171" s="141"/>
      <c r="CC171" s="141"/>
      <c r="CD171" s="141"/>
      <c r="CE171" s="141"/>
      <c r="CF171" s="141"/>
      <c r="CG171" s="141"/>
      <c r="CH171" s="141"/>
      <c r="CI171" s="141"/>
      <c r="CJ171" s="141"/>
      <c r="CK171" s="141"/>
      <c r="CL171" s="141"/>
    </row>
    <row r="172" spans="74:90" ht="15" customHeight="1" x14ac:dyDescent="0.35">
      <c r="BV172" s="140"/>
      <c r="BY172" s="141"/>
      <c r="BZ172" s="141"/>
      <c r="CA172" s="141"/>
      <c r="CB172" s="141"/>
      <c r="CC172" s="141"/>
      <c r="CD172" s="141"/>
      <c r="CE172" s="141"/>
      <c r="CF172" s="141"/>
      <c r="CG172" s="141"/>
      <c r="CH172" s="141"/>
      <c r="CI172" s="141"/>
      <c r="CJ172" s="141"/>
      <c r="CK172" s="141"/>
      <c r="CL172" s="141"/>
    </row>
    <row r="173" spans="74:90" ht="15" customHeight="1" x14ac:dyDescent="0.35">
      <c r="BV173" s="140"/>
      <c r="BY173" s="141"/>
      <c r="BZ173" s="141"/>
      <c r="CA173" s="141"/>
      <c r="CB173" s="141"/>
      <c r="CC173" s="141"/>
      <c r="CD173" s="141"/>
      <c r="CE173" s="141"/>
      <c r="CF173" s="141"/>
      <c r="CG173" s="141"/>
      <c r="CH173" s="141"/>
      <c r="CI173" s="141"/>
      <c r="CJ173" s="141"/>
      <c r="CK173" s="141"/>
      <c r="CL173" s="141"/>
    </row>
    <row r="174" spans="74:90" ht="15" customHeight="1" x14ac:dyDescent="0.35">
      <c r="BV174" s="140"/>
      <c r="BY174" s="141"/>
      <c r="BZ174" s="141"/>
      <c r="CA174" s="141"/>
      <c r="CB174" s="141"/>
      <c r="CC174" s="141"/>
      <c r="CD174" s="141"/>
      <c r="CE174" s="141"/>
      <c r="CF174" s="141"/>
      <c r="CG174" s="141"/>
      <c r="CH174" s="141"/>
      <c r="CI174" s="141"/>
      <c r="CJ174" s="141"/>
      <c r="CK174" s="141"/>
      <c r="CL174" s="141"/>
    </row>
    <row r="175" spans="74:90" ht="15" customHeight="1" x14ac:dyDescent="0.35">
      <c r="BV175" s="140"/>
      <c r="BY175" s="141"/>
      <c r="BZ175" s="141"/>
      <c r="CA175" s="141"/>
      <c r="CB175" s="141"/>
      <c r="CC175" s="141"/>
      <c r="CD175" s="141"/>
      <c r="CE175" s="141"/>
      <c r="CF175" s="141"/>
      <c r="CG175" s="141"/>
      <c r="CH175" s="141"/>
      <c r="CI175" s="141"/>
      <c r="CJ175" s="141"/>
      <c r="CK175" s="141"/>
      <c r="CL175" s="141"/>
    </row>
    <row r="176" spans="74:90" ht="15" customHeight="1" x14ac:dyDescent="0.35">
      <c r="BV176" s="140"/>
      <c r="BY176" s="141"/>
      <c r="BZ176" s="141"/>
      <c r="CA176" s="141"/>
      <c r="CB176" s="141"/>
      <c r="CC176" s="141"/>
      <c r="CD176" s="141"/>
      <c r="CE176" s="141"/>
      <c r="CF176" s="141"/>
      <c r="CG176" s="141"/>
      <c r="CH176" s="141"/>
      <c r="CI176" s="141"/>
      <c r="CJ176" s="141"/>
      <c r="CK176" s="141"/>
      <c r="CL176" s="141"/>
    </row>
    <row r="177" spans="74:90" ht="15" customHeight="1" x14ac:dyDescent="0.35">
      <c r="BV177" s="140"/>
      <c r="BY177" s="141"/>
      <c r="BZ177" s="141"/>
      <c r="CA177" s="141"/>
      <c r="CB177" s="141"/>
      <c r="CC177" s="141"/>
      <c r="CD177" s="141"/>
      <c r="CE177" s="141"/>
      <c r="CF177" s="141"/>
      <c r="CG177" s="141"/>
      <c r="CH177" s="141"/>
      <c r="CI177" s="141"/>
      <c r="CJ177" s="141"/>
      <c r="CK177" s="141"/>
      <c r="CL177" s="141"/>
    </row>
    <row r="178" spans="74:90" ht="15" customHeight="1" x14ac:dyDescent="0.35">
      <c r="BV178" s="140"/>
      <c r="BY178" s="141"/>
      <c r="BZ178" s="141"/>
      <c r="CA178" s="141"/>
      <c r="CB178" s="141"/>
      <c r="CC178" s="141"/>
      <c r="CD178" s="141"/>
      <c r="CE178" s="141"/>
      <c r="CF178" s="141"/>
      <c r="CG178" s="141"/>
      <c r="CH178" s="141"/>
      <c r="CI178" s="141"/>
      <c r="CJ178" s="141"/>
      <c r="CK178" s="141"/>
      <c r="CL178" s="141"/>
    </row>
    <row r="179" spans="74:90" ht="15" customHeight="1" x14ac:dyDescent="0.35">
      <c r="BV179" s="140"/>
      <c r="BY179" s="141"/>
      <c r="BZ179" s="141"/>
      <c r="CA179" s="141"/>
      <c r="CB179" s="141"/>
      <c r="CC179" s="141"/>
      <c r="CD179" s="141"/>
      <c r="CE179" s="141"/>
      <c r="CF179" s="141"/>
      <c r="CG179" s="141"/>
      <c r="CH179" s="141"/>
      <c r="CI179" s="141"/>
      <c r="CJ179" s="141"/>
      <c r="CK179" s="141"/>
      <c r="CL179" s="141"/>
    </row>
    <row r="180" spans="74:90" ht="15" customHeight="1" x14ac:dyDescent="0.35">
      <c r="BV180" s="140"/>
      <c r="BY180" s="141"/>
      <c r="BZ180" s="141"/>
      <c r="CA180" s="141"/>
      <c r="CB180" s="141"/>
      <c r="CC180" s="141"/>
      <c r="CD180" s="141"/>
      <c r="CE180" s="141"/>
      <c r="CF180" s="141"/>
      <c r="CG180" s="141"/>
      <c r="CH180" s="141"/>
      <c r="CI180" s="141"/>
      <c r="CJ180" s="141"/>
      <c r="CK180" s="141"/>
      <c r="CL180" s="141"/>
    </row>
    <row r="181" spans="74:90" ht="15" customHeight="1" x14ac:dyDescent="0.35">
      <c r="BV181" s="140"/>
      <c r="BY181" s="141"/>
      <c r="BZ181" s="141"/>
      <c r="CA181" s="141"/>
      <c r="CB181" s="141"/>
      <c r="CC181" s="141"/>
      <c r="CD181" s="141"/>
      <c r="CE181" s="141"/>
      <c r="CF181" s="141"/>
      <c r="CG181" s="141"/>
      <c r="CH181" s="141"/>
      <c r="CI181" s="141"/>
      <c r="CJ181" s="141"/>
      <c r="CK181" s="141"/>
      <c r="CL181" s="141"/>
    </row>
    <row r="182" spans="74:90" ht="15" customHeight="1" x14ac:dyDescent="0.35">
      <c r="BV182" s="140"/>
      <c r="BY182" s="141"/>
      <c r="BZ182" s="141"/>
      <c r="CA182" s="141"/>
      <c r="CB182" s="141"/>
      <c r="CC182" s="141"/>
      <c r="CD182" s="141"/>
      <c r="CE182" s="141"/>
      <c r="CF182" s="141"/>
      <c r="CG182" s="141"/>
      <c r="CH182" s="141"/>
      <c r="CI182" s="141"/>
      <c r="CJ182" s="141"/>
      <c r="CK182" s="141"/>
      <c r="CL182" s="141"/>
    </row>
    <row r="183" spans="74:90" ht="15" customHeight="1" x14ac:dyDescent="0.35">
      <c r="BV183" s="140"/>
      <c r="BY183" s="141"/>
      <c r="BZ183" s="141"/>
      <c r="CA183" s="141"/>
      <c r="CB183" s="141"/>
      <c r="CC183" s="141"/>
      <c r="CD183" s="141"/>
      <c r="CE183" s="141"/>
      <c r="CF183" s="141"/>
      <c r="CG183" s="141"/>
      <c r="CH183" s="141"/>
      <c r="CI183" s="141"/>
      <c r="CJ183" s="141"/>
      <c r="CK183" s="141"/>
      <c r="CL183" s="141"/>
    </row>
    <row r="184" spans="74:90" ht="15" customHeight="1" x14ac:dyDescent="0.35">
      <c r="BV184" s="140"/>
      <c r="BY184" s="141"/>
      <c r="BZ184" s="141"/>
      <c r="CA184" s="141"/>
      <c r="CB184" s="141"/>
      <c r="CC184" s="141"/>
      <c r="CD184" s="141"/>
      <c r="CE184" s="141"/>
      <c r="CF184" s="141"/>
      <c r="CG184" s="141"/>
      <c r="CH184" s="141"/>
      <c r="CI184" s="141"/>
      <c r="CJ184" s="141"/>
      <c r="CK184" s="141"/>
      <c r="CL184" s="141"/>
    </row>
    <row r="185" spans="74:90" ht="15" customHeight="1" x14ac:dyDescent="0.35">
      <c r="BV185" s="140"/>
      <c r="BY185" s="141"/>
      <c r="BZ185" s="141"/>
      <c r="CA185" s="141"/>
      <c r="CB185" s="141"/>
      <c r="CC185" s="141"/>
      <c r="CD185" s="141"/>
      <c r="CE185" s="141"/>
      <c r="CF185" s="141"/>
      <c r="CG185" s="141"/>
      <c r="CH185" s="141"/>
      <c r="CI185" s="141"/>
      <c r="CJ185" s="141"/>
      <c r="CK185" s="141"/>
      <c r="CL185" s="141"/>
    </row>
    <row r="186" spans="74:90" ht="15" customHeight="1" x14ac:dyDescent="0.35">
      <c r="BV186" s="140"/>
      <c r="BY186" s="141"/>
      <c r="BZ186" s="141"/>
      <c r="CA186" s="141"/>
      <c r="CB186" s="141"/>
      <c r="CC186" s="141"/>
      <c r="CD186" s="141"/>
      <c r="CE186" s="141"/>
      <c r="CF186" s="141"/>
      <c r="CG186" s="141"/>
      <c r="CH186" s="141"/>
      <c r="CI186" s="141"/>
      <c r="CJ186" s="141"/>
      <c r="CK186" s="141"/>
      <c r="CL186" s="141"/>
    </row>
    <row r="187" spans="74:90" ht="15" customHeight="1" x14ac:dyDescent="0.35">
      <c r="BV187" s="140"/>
      <c r="BY187" s="141"/>
      <c r="BZ187" s="141"/>
      <c r="CA187" s="141"/>
      <c r="CB187" s="141"/>
      <c r="CC187" s="141"/>
      <c r="CD187" s="141"/>
      <c r="CE187" s="141"/>
      <c r="CF187" s="141"/>
      <c r="CG187" s="141"/>
      <c r="CH187" s="141"/>
      <c r="CI187" s="141"/>
      <c r="CJ187" s="141"/>
      <c r="CK187" s="141"/>
      <c r="CL187" s="141"/>
    </row>
    <row r="188" spans="74:90" ht="15" customHeight="1" x14ac:dyDescent="0.35">
      <c r="BV188" s="140"/>
      <c r="BY188" s="141"/>
      <c r="BZ188" s="141"/>
      <c r="CA188" s="141"/>
      <c r="CB188" s="141"/>
      <c r="CC188" s="141"/>
      <c r="CD188" s="141"/>
      <c r="CE188" s="141"/>
      <c r="CF188" s="141"/>
      <c r="CG188" s="141"/>
      <c r="CH188" s="141"/>
      <c r="CI188" s="141"/>
      <c r="CJ188" s="141"/>
      <c r="CK188" s="141"/>
      <c r="CL188" s="141"/>
    </row>
    <row r="189" spans="74:90" ht="15" customHeight="1" x14ac:dyDescent="0.35">
      <c r="BV189" s="140"/>
      <c r="BY189" s="141"/>
      <c r="BZ189" s="141"/>
      <c r="CA189" s="141"/>
      <c r="CB189" s="141"/>
      <c r="CC189" s="141"/>
      <c r="CD189" s="141"/>
      <c r="CE189" s="141"/>
      <c r="CF189" s="141"/>
      <c r="CG189" s="141"/>
      <c r="CH189" s="141"/>
      <c r="CI189" s="141"/>
      <c r="CJ189" s="141"/>
      <c r="CK189" s="141"/>
      <c r="CL189" s="141"/>
    </row>
    <row r="190" spans="74:90" ht="15" customHeight="1" x14ac:dyDescent="0.35">
      <c r="BV190" s="140"/>
      <c r="BY190" s="141"/>
      <c r="BZ190" s="141"/>
      <c r="CA190" s="141"/>
      <c r="CB190" s="141"/>
      <c r="CC190" s="141"/>
      <c r="CD190" s="141"/>
      <c r="CE190" s="141"/>
      <c r="CF190" s="141"/>
      <c r="CG190" s="141"/>
      <c r="CH190" s="141"/>
      <c r="CI190" s="141"/>
      <c r="CJ190" s="141"/>
      <c r="CK190" s="141"/>
      <c r="CL190" s="141"/>
    </row>
    <row r="191" spans="74:90" ht="15" customHeight="1" x14ac:dyDescent="0.35">
      <c r="BV191" s="140"/>
      <c r="BY191" s="141"/>
      <c r="BZ191" s="141"/>
      <c r="CA191" s="141"/>
      <c r="CB191" s="141"/>
      <c r="CC191" s="141"/>
      <c r="CD191" s="141"/>
      <c r="CE191" s="141"/>
      <c r="CF191" s="141"/>
      <c r="CG191" s="141"/>
      <c r="CH191" s="141"/>
      <c r="CI191" s="141"/>
      <c r="CJ191" s="141"/>
      <c r="CK191" s="141"/>
      <c r="CL191" s="141"/>
    </row>
    <row r="192" spans="74:90" ht="15" customHeight="1" x14ac:dyDescent="0.35">
      <c r="BV192" s="140"/>
      <c r="BY192" s="141"/>
      <c r="BZ192" s="141"/>
      <c r="CA192" s="141"/>
      <c r="CB192" s="141"/>
      <c r="CC192" s="141"/>
      <c r="CD192" s="141"/>
      <c r="CE192" s="141"/>
      <c r="CF192" s="141"/>
      <c r="CG192" s="141"/>
      <c r="CH192" s="141"/>
      <c r="CI192" s="141"/>
      <c r="CJ192" s="141"/>
      <c r="CK192" s="141"/>
      <c r="CL192" s="141"/>
    </row>
    <row r="193" spans="74:90" ht="15" customHeight="1" x14ac:dyDescent="0.35">
      <c r="BV193" s="140"/>
      <c r="BY193" s="141"/>
      <c r="BZ193" s="141"/>
      <c r="CA193" s="141"/>
      <c r="CB193" s="141"/>
      <c r="CC193" s="141"/>
      <c r="CD193" s="141"/>
      <c r="CE193" s="141"/>
      <c r="CF193" s="141"/>
      <c r="CG193" s="141"/>
      <c r="CH193" s="141"/>
      <c r="CI193" s="141"/>
      <c r="CJ193" s="141"/>
      <c r="CK193" s="141"/>
      <c r="CL193" s="141"/>
    </row>
    <row r="194" spans="74:90" ht="15" customHeight="1" x14ac:dyDescent="0.35">
      <c r="BV194" s="140"/>
      <c r="BY194" s="141"/>
      <c r="BZ194" s="141"/>
      <c r="CA194" s="141"/>
      <c r="CB194" s="141"/>
      <c r="CC194" s="141"/>
      <c r="CD194" s="141"/>
      <c r="CE194" s="141"/>
      <c r="CF194" s="141"/>
      <c r="CG194" s="141"/>
      <c r="CH194" s="141"/>
      <c r="CI194" s="141"/>
      <c r="CJ194" s="141"/>
      <c r="CK194" s="141"/>
      <c r="CL194" s="141"/>
    </row>
    <row r="195" spans="74:90" ht="15" customHeight="1" x14ac:dyDescent="0.35">
      <c r="BV195" s="140"/>
      <c r="BY195" s="141"/>
      <c r="BZ195" s="141"/>
      <c r="CA195" s="141"/>
      <c r="CB195" s="141"/>
      <c r="CC195" s="141"/>
      <c r="CD195" s="141"/>
      <c r="CE195" s="141"/>
      <c r="CF195" s="141"/>
      <c r="CG195" s="141"/>
      <c r="CH195" s="141"/>
      <c r="CI195" s="141"/>
      <c r="CJ195" s="141"/>
      <c r="CK195" s="141"/>
      <c r="CL195" s="141"/>
    </row>
    <row r="196" spans="74:90" ht="15" customHeight="1" x14ac:dyDescent="0.35">
      <c r="BV196" s="140"/>
      <c r="BY196" s="141"/>
      <c r="BZ196" s="141"/>
      <c r="CA196" s="141"/>
      <c r="CB196" s="141"/>
      <c r="CC196" s="141"/>
      <c r="CD196" s="141"/>
      <c r="CE196" s="141"/>
      <c r="CF196" s="141"/>
      <c r="CG196" s="141"/>
      <c r="CH196" s="141"/>
      <c r="CI196" s="141"/>
      <c r="CJ196" s="141"/>
      <c r="CK196" s="141"/>
      <c r="CL196" s="141"/>
    </row>
    <row r="197" spans="74:90" ht="15" customHeight="1" x14ac:dyDescent="0.35">
      <c r="BV197" s="140"/>
      <c r="BY197" s="141"/>
      <c r="BZ197" s="141"/>
      <c r="CA197" s="141"/>
      <c r="CB197" s="141"/>
      <c r="CC197" s="141"/>
      <c r="CD197" s="141"/>
      <c r="CE197" s="141"/>
      <c r="CF197" s="141"/>
      <c r="CG197" s="141"/>
      <c r="CH197" s="141"/>
      <c r="CI197" s="141"/>
      <c r="CJ197" s="141"/>
      <c r="CK197" s="141"/>
      <c r="CL197" s="141"/>
    </row>
    <row r="198" spans="74:90" ht="15" customHeight="1" x14ac:dyDescent="0.35">
      <c r="BV198" s="140"/>
      <c r="BY198" s="141"/>
      <c r="BZ198" s="141"/>
      <c r="CA198" s="141"/>
      <c r="CB198" s="141"/>
      <c r="CC198" s="141"/>
      <c r="CD198" s="141"/>
      <c r="CE198" s="141"/>
      <c r="CF198" s="141"/>
      <c r="CG198" s="141"/>
      <c r="CH198" s="141"/>
      <c r="CI198" s="141"/>
      <c r="CJ198" s="141"/>
      <c r="CK198" s="141"/>
      <c r="CL198" s="141"/>
    </row>
    <row r="199" spans="74:90" ht="15" customHeight="1" x14ac:dyDescent="0.35">
      <c r="BV199" s="140"/>
      <c r="BY199" s="141"/>
      <c r="BZ199" s="141"/>
      <c r="CA199" s="141"/>
      <c r="CB199" s="141"/>
      <c r="CC199" s="141"/>
      <c r="CD199" s="141"/>
      <c r="CE199" s="141"/>
      <c r="CF199" s="141"/>
      <c r="CG199" s="141"/>
      <c r="CH199" s="141"/>
      <c r="CI199" s="141"/>
      <c r="CJ199" s="141"/>
      <c r="CK199" s="141"/>
      <c r="CL199" s="141"/>
    </row>
    <row r="200" spans="74:90" ht="15" customHeight="1" x14ac:dyDescent="0.35">
      <c r="BV200" s="140"/>
      <c r="BY200" s="141"/>
      <c r="BZ200" s="141"/>
      <c r="CA200" s="141"/>
      <c r="CB200" s="141"/>
      <c r="CC200" s="141"/>
      <c r="CD200" s="141"/>
      <c r="CE200" s="141"/>
      <c r="CF200" s="141"/>
      <c r="CG200" s="141"/>
      <c r="CH200" s="141"/>
      <c r="CI200" s="141"/>
      <c r="CJ200" s="141"/>
      <c r="CK200" s="141"/>
      <c r="CL200" s="141"/>
    </row>
    <row r="201" spans="74:90" ht="15" customHeight="1" x14ac:dyDescent="0.35">
      <c r="BV201" s="140"/>
      <c r="BY201" s="141"/>
      <c r="BZ201" s="141"/>
      <c r="CA201" s="141"/>
      <c r="CB201" s="141"/>
      <c r="CC201" s="141"/>
      <c r="CD201" s="141"/>
      <c r="CE201" s="141"/>
      <c r="CF201" s="141"/>
      <c r="CG201" s="141"/>
      <c r="CH201" s="141"/>
      <c r="CI201" s="141"/>
      <c r="CJ201" s="141"/>
      <c r="CK201" s="141"/>
      <c r="CL201" s="141"/>
    </row>
    <row r="202" spans="74:90" ht="15" customHeight="1" x14ac:dyDescent="0.35">
      <c r="BV202" s="140"/>
      <c r="BY202" s="141"/>
      <c r="BZ202" s="141"/>
      <c r="CA202" s="141"/>
      <c r="CB202" s="141"/>
      <c r="CC202" s="141"/>
      <c r="CD202" s="141"/>
      <c r="CE202" s="141"/>
      <c r="CF202" s="141"/>
      <c r="CG202" s="141"/>
      <c r="CH202" s="141"/>
      <c r="CI202" s="141"/>
      <c r="CJ202" s="141"/>
      <c r="CK202" s="141"/>
      <c r="CL202" s="141"/>
    </row>
    <row r="203" spans="74:90" ht="15" customHeight="1" x14ac:dyDescent="0.35">
      <c r="BV203" s="140"/>
      <c r="BY203" s="141"/>
      <c r="BZ203" s="141"/>
      <c r="CA203" s="141"/>
      <c r="CB203" s="141"/>
      <c r="CC203" s="141"/>
      <c r="CD203" s="141"/>
      <c r="CE203" s="141"/>
      <c r="CF203" s="141"/>
      <c r="CG203" s="141"/>
      <c r="CH203" s="141"/>
      <c r="CI203" s="141"/>
      <c r="CJ203" s="141"/>
      <c r="CK203" s="141"/>
      <c r="CL203" s="141"/>
    </row>
    <row r="204" spans="74:90" ht="15" customHeight="1" x14ac:dyDescent="0.35">
      <c r="BV204" s="140"/>
      <c r="BY204" s="141"/>
      <c r="BZ204" s="141"/>
      <c r="CA204" s="141"/>
      <c r="CB204" s="141"/>
      <c r="CC204" s="141"/>
      <c r="CD204" s="141"/>
      <c r="CE204" s="141"/>
      <c r="CF204" s="141"/>
      <c r="CG204" s="141"/>
      <c r="CH204" s="141"/>
      <c r="CI204" s="141"/>
      <c r="CJ204" s="141"/>
      <c r="CK204" s="141"/>
      <c r="CL204" s="141"/>
    </row>
    <row r="205" spans="74:90" ht="15" customHeight="1" x14ac:dyDescent="0.35">
      <c r="BV205" s="140"/>
      <c r="BY205" s="141"/>
      <c r="BZ205" s="141"/>
      <c r="CA205" s="141"/>
      <c r="CB205" s="141"/>
      <c r="CC205" s="141"/>
      <c r="CD205" s="141"/>
      <c r="CE205" s="141"/>
      <c r="CF205" s="141"/>
      <c r="CG205" s="141"/>
      <c r="CH205" s="141"/>
      <c r="CI205" s="141"/>
      <c r="CJ205" s="141"/>
      <c r="CK205" s="141"/>
      <c r="CL205" s="141"/>
    </row>
    <row r="206" spans="74:90" ht="15" customHeight="1" x14ac:dyDescent="0.35">
      <c r="BV206" s="140"/>
      <c r="BY206" s="141"/>
      <c r="BZ206" s="141"/>
      <c r="CA206" s="141"/>
      <c r="CB206" s="141"/>
      <c r="CC206" s="141"/>
      <c r="CD206" s="141"/>
      <c r="CE206" s="141"/>
      <c r="CF206" s="141"/>
      <c r="CG206" s="141"/>
      <c r="CH206" s="141"/>
      <c r="CI206" s="141"/>
      <c r="CJ206" s="141"/>
      <c r="CK206" s="141"/>
      <c r="CL206" s="141"/>
    </row>
    <row r="207" spans="74:90" ht="15" customHeight="1" x14ac:dyDescent="0.35">
      <c r="BV207" s="140"/>
      <c r="BY207" s="141"/>
      <c r="BZ207" s="141"/>
      <c r="CA207" s="141"/>
      <c r="CB207" s="141"/>
      <c r="CC207" s="141"/>
      <c r="CD207" s="141"/>
      <c r="CE207" s="141"/>
      <c r="CF207" s="141"/>
      <c r="CG207" s="141"/>
      <c r="CH207" s="141"/>
      <c r="CI207" s="141"/>
      <c r="CJ207" s="141"/>
      <c r="CK207" s="141"/>
      <c r="CL207" s="141"/>
    </row>
    <row r="208" spans="74:90" ht="15" customHeight="1" x14ac:dyDescent="0.35">
      <c r="BV208" s="140"/>
      <c r="BY208" s="141"/>
      <c r="BZ208" s="141"/>
      <c r="CA208" s="141"/>
      <c r="CB208" s="141"/>
      <c r="CC208" s="141"/>
      <c r="CD208" s="141"/>
      <c r="CE208" s="141"/>
      <c r="CF208" s="141"/>
      <c r="CG208" s="141"/>
      <c r="CH208" s="141"/>
      <c r="CI208" s="141"/>
      <c r="CJ208" s="141"/>
      <c r="CK208" s="141"/>
      <c r="CL208" s="141"/>
    </row>
    <row r="209" spans="74:90" ht="15" customHeight="1" x14ac:dyDescent="0.35">
      <c r="BV209" s="140"/>
      <c r="BY209" s="141"/>
      <c r="BZ209" s="141"/>
      <c r="CA209" s="141"/>
      <c r="CB209" s="141"/>
      <c r="CC209" s="141"/>
      <c r="CD209" s="141"/>
      <c r="CE209" s="141"/>
      <c r="CF209" s="141"/>
      <c r="CG209" s="141"/>
      <c r="CH209" s="141"/>
      <c r="CI209" s="141"/>
      <c r="CJ209" s="141"/>
      <c r="CK209" s="141"/>
      <c r="CL209" s="141"/>
    </row>
    <row r="210" spans="74:90" ht="15" customHeight="1" x14ac:dyDescent="0.35">
      <c r="BV210" s="140"/>
      <c r="BY210" s="141"/>
      <c r="BZ210" s="141"/>
      <c r="CA210" s="141"/>
      <c r="CB210" s="141"/>
      <c r="CC210" s="141"/>
      <c r="CD210" s="141"/>
      <c r="CE210" s="141"/>
      <c r="CF210" s="141"/>
      <c r="CG210" s="141"/>
      <c r="CH210" s="141"/>
      <c r="CI210" s="141"/>
      <c r="CJ210" s="141"/>
      <c r="CK210" s="141"/>
      <c r="CL210" s="141"/>
    </row>
    <row r="211" spans="74:90" ht="15" customHeight="1" x14ac:dyDescent="0.35">
      <c r="BV211" s="140"/>
      <c r="BY211" s="141"/>
      <c r="BZ211" s="141"/>
      <c r="CA211" s="141"/>
      <c r="CB211" s="141"/>
      <c r="CC211" s="141"/>
      <c r="CD211" s="141"/>
      <c r="CE211" s="141"/>
      <c r="CF211" s="141"/>
      <c r="CG211" s="141"/>
      <c r="CH211" s="141"/>
      <c r="CI211" s="141"/>
      <c r="CJ211" s="141"/>
      <c r="CK211" s="141"/>
      <c r="CL211" s="141"/>
    </row>
    <row r="212" spans="74:90" ht="15" customHeight="1" x14ac:dyDescent="0.35">
      <c r="BV212" s="140"/>
      <c r="BY212" s="141"/>
      <c r="BZ212" s="141"/>
      <c r="CA212" s="141"/>
      <c r="CB212" s="141"/>
      <c r="CC212" s="141"/>
      <c r="CD212" s="141"/>
      <c r="CE212" s="141"/>
      <c r="CF212" s="141"/>
      <c r="CG212" s="141"/>
      <c r="CH212" s="141"/>
      <c r="CI212" s="141"/>
      <c r="CJ212" s="141"/>
      <c r="CK212" s="141"/>
      <c r="CL212" s="141"/>
    </row>
    <row r="213" spans="74:90" ht="15" customHeight="1" x14ac:dyDescent="0.35">
      <c r="BV213" s="140"/>
      <c r="BY213" s="141"/>
      <c r="BZ213" s="141"/>
      <c r="CA213" s="141"/>
      <c r="CB213" s="141"/>
      <c r="CC213" s="141"/>
      <c r="CD213" s="141"/>
      <c r="CE213" s="141"/>
      <c r="CF213" s="141"/>
      <c r="CG213" s="141"/>
      <c r="CH213" s="141"/>
      <c r="CI213" s="141"/>
      <c r="CJ213" s="141"/>
      <c r="CK213" s="141"/>
      <c r="CL213" s="141"/>
    </row>
    <row r="214" spans="74:90" ht="15" customHeight="1" x14ac:dyDescent="0.35">
      <c r="BV214" s="140"/>
      <c r="BY214" s="141"/>
      <c r="BZ214" s="141"/>
      <c r="CA214" s="141"/>
      <c r="CB214" s="141"/>
      <c r="CC214" s="141"/>
      <c r="CD214" s="141"/>
      <c r="CE214" s="141"/>
      <c r="CF214" s="141"/>
      <c r="CG214" s="141"/>
      <c r="CH214" s="141"/>
      <c r="CI214" s="141"/>
      <c r="CJ214" s="141"/>
      <c r="CK214" s="141"/>
      <c r="CL214" s="141"/>
    </row>
    <row r="215" spans="74:90" ht="15" customHeight="1" x14ac:dyDescent="0.35">
      <c r="BV215" s="140"/>
      <c r="BY215" s="141"/>
      <c r="BZ215" s="141"/>
      <c r="CA215" s="141"/>
      <c r="CB215" s="141"/>
      <c r="CC215" s="141"/>
      <c r="CD215" s="141"/>
      <c r="CE215" s="141"/>
      <c r="CF215" s="141"/>
      <c r="CG215" s="141"/>
      <c r="CH215" s="141"/>
      <c r="CI215" s="141"/>
      <c r="CJ215" s="141"/>
      <c r="CK215" s="141"/>
      <c r="CL215" s="141"/>
    </row>
    <row r="216" spans="74:90" ht="15" customHeight="1" x14ac:dyDescent="0.35">
      <c r="BV216" s="140"/>
      <c r="BY216" s="141"/>
      <c r="BZ216" s="141"/>
      <c r="CA216" s="141"/>
      <c r="CB216" s="141"/>
      <c r="CC216" s="141"/>
      <c r="CD216" s="141"/>
      <c r="CE216" s="141"/>
      <c r="CF216" s="141"/>
      <c r="CG216" s="141"/>
      <c r="CH216" s="141"/>
      <c r="CI216" s="141"/>
      <c r="CJ216" s="141"/>
      <c r="CK216" s="141"/>
      <c r="CL216" s="141"/>
    </row>
    <row r="217" spans="74:90" ht="15" customHeight="1" x14ac:dyDescent="0.35">
      <c r="BV217" s="140"/>
      <c r="BY217" s="141"/>
      <c r="BZ217" s="141"/>
      <c r="CA217" s="141"/>
      <c r="CB217" s="141"/>
      <c r="CC217" s="141"/>
      <c r="CD217" s="141"/>
      <c r="CE217" s="141"/>
      <c r="CF217" s="141"/>
      <c r="CG217" s="141"/>
      <c r="CH217" s="141"/>
      <c r="CI217" s="141"/>
      <c r="CJ217" s="141"/>
      <c r="CK217" s="141"/>
      <c r="CL217" s="141"/>
    </row>
    <row r="218" spans="74:90" ht="15" customHeight="1" x14ac:dyDescent="0.35">
      <c r="BV218" s="140"/>
      <c r="BY218" s="141"/>
      <c r="BZ218" s="141"/>
      <c r="CA218" s="141"/>
      <c r="CB218" s="141"/>
      <c r="CC218" s="141"/>
      <c r="CD218" s="141"/>
      <c r="CE218" s="141"/>
      <c r="CF218" s="141"/>
      <c r="CG218" s="141"/>
      <c r="CH218" s="141"/>
      <c r="CI218" s="141"/>
      <c r="CJ218" s="141"/>
      <c r="CK218" s="141"/>
      <c r="CL218" s="141"/>
    </row>
    <row r="219" spans="74:90" ht="15" customHeight="1" x14ac:dyDescent="0.35">
      <c r="BV219" s="140"/>
      <c r="BY219" s="141"/>
      <c r="BZ219" s="141"/>
      <c r="CA219" s="141"/>
      <c r="CB219" s="141"/>
      <c r="CC219" s="141"/>
      <c r="CD219" s="141"/>
      <c r="CE219" s="141"/>
      <c r="CF219" s="141"/>
      <c r="CG219" s="141"/>
      <c r="CH219" s="141"/>
      <c r="CI219" s="141"/>
      <c r="CJ219" s="141"/>
      <c r="CK219" s="141"/>
      <c r="CL219" s="141"/>
    </row>
    <row r="220" spans="74:90" ht="15" customHeight="1" x14ac:dyDescent="0.35">
      <c r="BV220" s="140"/>
      <c r="BY220" s="141"/>
      <c r="BZ220" s="141"/>
      <c r="CA220" s="141"/>
      <c r="CB220" s="141"/>
      <c r="CC220" s="141"/>
      <c r="CD220" s="141"/>
      <c r="CE220" s="141"/>
      <c r="CF220" s="141"/>
      <c r="CG220" s="141"/>
      <c r="CH220" s="141"/>
      <c r="CI220" s="141"/>
      <c r="CJ220" s="141"/>
      <c r="CK220" s="141"/>
      <c r="CL220" s="141"/>
    </row>
    <row r="221" spans="74:90" ht="15" customHeight="1" x14ac:dyDescent="0.35">
      <c r="BV221" s="140"/>
      <c r="BY221" s="141"/>
      <c r="BZ221" s="141"/>
      <c r="CA221" s="141"/>
      <c r="CB221" s="141"/>
      <c r="CC221" s="141"/>
      <c r="CD221" s="141"/>
      <c r="CE221" s="141"/>
      <c r="CF221" s="141"/>
      <c r="CG221" s="141"/>
      <c r="CH221" s="141"/>
      <c r="CI221" s="141"/>
      <c r="CJ221" s="141"/>
      <c r="CK221" s="141"/>
      <c r="CL221" s="141"/>
    </row>
    <row r="222" spans="74:90" ht="15" customHeight="1" x14ac:dyDescent="0.35">
      <c r="BV222" s="140"/>
      <c r="BY222" s="141"/>
      <c r="BZ222" s="141"/>
      <c r="CA222" s="141"/>
      <c r="CB222" s="141"/>
      <c r="CC222" s="141"/>
      <c r="CD222" s="141"/>
      <c r="CE222" s="141"/>
      <c r="CF222" s="141"/>
      <c r="CG222" s="141"/>
      <c r="CH222" s="141"/>
      <c r="CI222" s="141"/>
      <c r="CJ222" s="141"/>
      <c r="CK222" s="141"/>
      <c r="CL222" s="141"/>
    </row>
    <row r="223" spans="74:90" ht="15" customHeight="1" x14ac:dyDescent="0.35">
      <c r="BV223" s="140"/>
      <c r="BY223" s="141"/>
      <c r="BZ223" s="141"/>
      <c r="CA223" s="141"/>
      <c r="CB223" s="141"/>
      <c r="CC223" s="141"/>
      <c r="CD223" s="141"/>
      <c r="CE223" s="141"/>
      <c r="CF223" s="141"/>
      <c r="CG223" s="141"/>
      <c r="CH223" s="141"/>
      <c r="CI223" s="141"/>
      <c r="CJ223" s="141"/>
      <c r="CK223" s="141"/>
      <c r="CL223" s="141"/>
    </row>
    <row r="224" spans="74:90" ht="15" customHeight="1" x14ac:dyDescent="0.35">
      <c r="BV224" s="140"/>
      <c r="BY224" s="141"/>
      <c r="BZ224" s="141"/>
      <c r="CA224" s="141"/>
      <c r="CB224" s="141"/>
      <c r="CC224" s="141"/>
      <c r="CD224" s="141"/>
      <c r="CE224" s="141"/>
      <c r="CF224" s="141"/>
      <c r="CG224" s="141"/>
      <c r="CH224" s="141"/>
      <c r="CI224" s="141"/>
      <c r="CJ224" s="141"/>
      <c r="CK224" s="141"/>
      <c r="CL224" s="141"/>
    </row>
    <row r="225" spans="74:90" ht="15" customHeight="1" x14ac:dyDescent="0.35">
      <c r="BV225" s="140"/>
      <c r="BY225" s="141"/>
      <c r="BZ225" s="141"/>
      <c r="CA225" s="141"/>
      <c r="CB225" s="141"/>
      <c r="CC225" s="141"/>
      <c r="CD225" s="141"/>
      <c r="CE225" s="141"/>
      <c r="CF225" s="141"/>
      <c r="CG225" s="141"/>
      <c r="CH225" s="141"/>
      <c r="CI225" s="141"/>
      <c r="CJ225" s="141"/>
      <c r="CK225" s="141"/>
      <c r="CL225" s="141"/>
    </row>
    <row r="226" spans="74:90" ht="15" customHeight="1" x14ac:dyDescent="0.35">
      <c r="BV226" s="140"/>
      <c r="BY226" s="141"/>
      <c r="BZ226" s="141"/>
      <c r="CA226" s="141"/>
      <c r="CB226" s="141"/>
      <c r="CC226" s="141"/>
      <c r="CD226" s="141"/>
      <c r="CE226" s="141"/>
      <c r="CF226" s="141"/>
      <c r="CG226" s="141"/>
      <c r="CH226" s="141"/>
      <c r="CI226" s="141"/>
      <c r="CJ226" s="141"/>
      <c r="CK226" s="141"/>
      <c r="CL226" s="141"/>
    </row>
    <row r="227" spans="74:90" ht="15" customHeight="1" x14ac:dyDescent="0.35">
      <c r="BV227" s="140"/>
      <c r="BY227" s="141"/>
      <c r="BZ227" s="141"/>
      <c r="CA227" s="141"/>
      <c r="CB227" s="141"/>
      <c r="CC227" s="141"/>
      <c r="CD227" s="141"/>
      <c r="CE227" s="141"/>
      <c r="CF227" s="141"/>
      <c r="CG227" s="141"/>
      <c r="CH227" s="141"/>
      <c r="CI227" s="141"/>
      <c r="CJ227" s="141"/>
      <c r="CK227" s="141"/>
      <c r="CL227" s="141"/>
    </row>
    <row r="228" spans="74:90" ht="15" customHeight="1" x14ac:dyDescent="0.35">
      <c r="BV228" s="140"/>
      <c r="BY228" s="141"/>
      <c r="BZ228" s="141"/>
      <c r="CA228" s="141"/>
      <c r="CB228" s="141"/>
      <c r="CC228" s="141"/>
      <c r="CD228" s="141"/>
      <c r="CE228" s="141"/>
      <c r="CF228" s="141"/>
      <c r="CG228" s="141"/>
      <c r="CH228" s="141"/>
      <c r="CI228" s="141"/>
      <c r="CJ228" s="141"/>
      <c r="CK228" s="141"/>
      <c r="CL228" s="141"/>
    </row>
    <row r="229" spans="74:90" ht="15" customHeight="1" x14ac:dyDescent="0.35">
      <c r="BV229" s="140"/>
      <c r="BY229" s="141"/>
      <c r="BZ229" s="141"/>
      <c r="CA229" s="141"/>
      <c r="CB229" s="141"/>
      <c r="CC229" s="141"/>
      <c r="CD229" s="141"/>
      <c r="CE229" s="141"/>
      <c r="CF229" s="141"/>
      <c r="CG229" s="141"/>
      <c r="CH229" s="141"/>
      <c r="CI229" s="141"/>
      <c r="CJ229" s="141"/>
      <c r="CK229" s="141"/>
      <c r="CL229" s="141"/>
    </row>
    <row r="230" spans="74:90" ht="15" customHeight="1" x14ac:dyDescent="0.35">
      <c r="BV230" s="140"/>
      <c r="BY230" s="141"/>
      <c r="BZ230" s="141"/>
      <c r="CA230" s="141"/>
      <c r="CB230" s="141"/>
      <c r="CC230" s="141"/>
      <c r="CD230" s="141"/>
      <c r="CE230" s="141"/>
      <c r="CF230" s="141"/>
      <c r="CG230" s="141"/>
      <c r="CH230" s="141"/>
      <c r="CI230" s="141"/>
      <c r="CJ230" s="141"/>
      <c r="CK230" s="141"/>
      <c r="CL230" s="141"/>
    </row>
    <row r="231" spans="74:90" ht="15" customHeight="1" x14ac:dyDescent="0.35">
      <c r="BV231" s="140"/>
      <c r="BY231" s="141"/>
      <c r="BZ231" s="141"/>
      <c r="CA231" s="141"/>
      <c r="CB231" s="141"/>
      <c r="CC231" s="141"/>
      <c r="CD231" s="141"/>
      <c r="CE231" s="141"/>
      <c r="CF231" s="141"/>
      <c r="CG231" s="141"/>
      <c r="CH231" s="141"/>
      <c r="CI231" s="141"/>
      <c r="CJ231" s="141"/>
      <c r="CK231" s="141"/>
      <c r="CL231" s="141"/>
    </row>
    <row r="232" spans="74:90" ht="15" customHeight="1" x14ac:dyDescent="0.35">
      <c r="BV232" s="140"/>
      <c r="BY232" s="141"/>
      <c r="BZ232" s="141"/>
      <c r="CA232" s="141"/>
      <c r="CB232" s="141"/>
      <c r="CC232" s="141"/>
      <c r="CD232" s="141"/>
      <c r="CE232" s="141"/>
      <c r="CF232" s="141"/>
      <c r="CG232" s="141"/>
      <c r="CH232" s="141"/>
      <c r="CI232" s="141"/>
      <c r="CJ232" s="141"/>
      <c r="CK232" s="141"/>
      <c r="CL232" s="141"/>
    </row>
    <row r="233" spans="74:90" ht="15" customHeight="1" x14ac:dyDescent="0.35">
      <c r="BV233" s="140"/>
      <c r="BY233" s="141"/>
      <c r="BZ233" s="141"/>
      <c r="CA233" s="141"/>
      <c r="CB233" s="141"/>
      <c r="CC233" s="141"/>
      <c r="CD233" s="141"/>
      <c r="CE233" s="141"/>
      <c r="CF233" s="141"/>
      <c r="CG233" s="141"/>
      <c r="CH233" s="141"/>
      <c r="CI233" s="141"/>
      <c r="CJ233" s="141"/>
      <c r="CK233" s="141"/>
      <c r="CL233" s="141"/>
    </row>
    <row r="234" spans="74:90" ht="15" customHeight="1" x14ac:dyDescent="0.35">
      <c r="BV234" s="140"/>
      <c r="BY234" s="141"/>
      <c r="BZ234" s="141"/>
      <c r="CA234" s="141"/>
      <c r="CB234" s="141"/>
      <c r="CC234" s="141"/>
      <c r="CD234" s="141"/>
      <c r="CE234" s="141"/>
      <c r="CF234" s="141"/>
      <c r="CG234" s="141"/>
      <c r="CH234" s="141"/>
      <c r="CI234" s="141"/>
      <c r="CJ234" s="141"/>
      <c r="CK234" s="141"/>
      <c r="CL234" s="141"/>
    </row>
    <row r="235" spans="74:90" ht="15" customHeight="1" x14ac:dyDescent="0.35">
      <c r="BV235" s="140"/>
      <c r="BY235" s="141"/>
      <c r="BZ235" s="141"/>
      <c r="CA235" s="141"/>
      <c r="CB235" s="141"/>
      <c r="CC235" s="141"/>
      <c r="CD235" s="141"/>
      <c r="CE235" s="141"/>
      <c r="CF235" s="141"/>
      <c r="CG235" s="141"/>
      <c r="CH235" s="141"/>
      <c r="CI235" s="141"/>
      <c r="CJ235" s="141"/>
      <c r="CK235" s="141"/>
      <c r="CL235" s="141"/>
    </row>
    <row r="236" spans="74:90" ht="15" customHeight="1" x14ac:dyDescent="0.35">
      <c r="BV236" s="140"/>
      <c r="BY236" s="141"/>
      <c r="BZ236" s="141"/>
      <c r="CA236" s="141"/>
      <c r="CB236" s="141"/>
      <c r="CC236" s="141"/>
      <c r="CD236" s="141"/>
      <c r="CE236" s="141"/>
      <c r="CF236" s="141"/>
      <c r="CG236" s="141"/>
      <c r="CH236" s="141"/>
      <c r="CI236" s="141"/>
      <c r="CJ236" s="141"/>
      <c r="CK236" s="141"/>
      <c r="CL236" s="141"/>
    </row>
    <row r="237" spans="74:90" ht="15" customHeight="1" x14ac:dyDescent="0.35">
      <c r="BV237" s="140"/>
      <c r="BY237" s="141"/>
      <c r="BZ237" s="141"/>
      <c r="CA237" s="141"/>
      <c r="CB237" s="141"/>
      <c r="CC237" s="141"/>
      <c r="CD237" s="141"/>
      <c r="CE237" s="141"/>
      <c r="CF237" s="141"/>
      <c r="CG237" s="141"/>
      <c r="CH237" s="141"/>
      <c r="CI237" s="141"/>
      <c r="CJ237" s="141"/>
      <c r="CK237" s="141"/>
      <c r="CL237" s="141"/>
    </row>
    <row r="238" spans="74:90" ht="15" customHeight="1" x14ac:dyDescent="0.35">
      <c r="BV238" s="140"/>
      <c r="BY238" s="141"/>
      <c r="BZ238" s="141"/>
      <c r="CA238" s="141"/>
      <c r="CB238" s="141"/>
      <c r="CC238" s="141"/>
      <c r="CD238" s="141"/>
      <c r="CE238" s="141"/>
      <c r="CF238" s="141"/>
      <c r="CG238" s="141"/>
      <c r="CH238" s="141"/>
      <c r="CI238" s="141"/>
      <c r="CJ238" s="141"/>
      <c r="CK238" s="141"/>
      <c r="CL238" s="141"/>
    </row>
    <row r="239" spans="74:90" ht="15" customHeight="1" x14ac:dyDescent="0.35">
      <c r="BV239" s="140"/>
      <c r="BY239" s="141"/>
      <c r="BZ239" s="141"/>
      <c r="CA239" s="141"/>
      <c r="CB239" s="141"/>
      <c r="CC239" s="141"/>
      <c r="CD239" s="141"/>
      <c r="CE239" s="141"/>
      <c r="CF239" s="141"/>
      <c r="CG239" s="141"/>
      <c r="CH239" s="141"/>
      <c r="CI239" s="141"/>
      <c r="CJ239" s="141"/>
      <c r="CK239" s="141"/>
      <c r="CL239" s="141"/>
    </row>
    <row r="240" spans="74:90" ht="15" customHeight="1" x14ac:dyDescent="0.35">
      <c r="BV240" s="140"/>
      <c r="BY240" s="141"/>
      <c r="BZ240" s="141"/>
      <c r="CA240" s="141"/>
      <c r="CB240" s="141"/>
      <c r="CC240" s="141"/>
      <c r="CD240" s="141"/>
      <c r="CE240" s="141"/>
      <c r="CF240" s="141"/>
      <c r="CG240" s="141"/>
      <c r="CH240" s="141"/>
      <c r="CI240" s="141"/>
      <c r="CJ240" s="141"/>
      <c r="CK240" s="141"/>
      <c r="CL240" s="141"/>
    </row>
    <row r="241" spans="74:90" ht="15" customHeight="1" x14ac:dyDescent="0.35">
      <c r="BV241" s="140"/>
      <c r="BY241" s="141"/>
      <c r="BZ241" s="141"/>
      <c r="CA241" s="141"/>
      <c r="CB241" s="141"/>
      <c r="CC241" s="141"/>
      <c r="CD241" s="141"/>
      <c r="CE241" s="141"/>
      <c r="CF241" s="141"/>
      <c r="CG241" s="141"/>
      <c r="CH241" s="141"/>
      <c r="CI241" s="141"/>
      <c r="CJ241" s="141"/>
      <c r="CK241" s="141"/>
      <c r="CL241" s="141"/>
    </row>
    <row r="242" spans="74:90" ht="15" customHeight="1" x14ac:dyDescent="0.35">
      <c r="BV242" s="140"/>
      <c r="BY242" s="141"/>
      <c r="BZ242" s="141"/>
      <c r="CA242" s="141"/>
      <c r="CB242" s="141"/>
      <c r="CC242" s="141"/>
      <c r="CD242" s="141"/>
      <c r="CE242" s="141"/>
      <c r="CF242" s="141"/>
      <c r="CG242" s="141"/>
      <c r="CH242" s="141"/>
      <c r="CI242" s="141"/>
      <c r="CJ242" s="141"/>
      <c r="CK242" s="141"/>
      <c r="CL242" s="141"/>
    </row>
    <row r="243" spans="74:90" ht="15" customHeight="1" x14ac:dyDescent="0.35">
      <c r="BV243" s="140"/>
      <c r="BY243" s="141"/>
      <c r="BZ243" s="141"/>
      <c r="CA243" s="141"/>
      <c r="CB243" s="141"/>
      <c r="CC243" s="141"/>
      <c r="CD243" s="141"/>
      <c r="CE243" s="141"/>
      <c r="CF243" s="141"/>
      <c r="CG243" s="141"/>
      <c r="CH243" s="141"/>
      <c r="CI243" s="141"/>
      <c r="CJ243" s="141"/>
      <c r="CK243" s="141"/>
      <c r="CL243" s="141"/>
    </row>
    <row r="244" spans="74:90" ht="15" customHeight="1" x14ac:dyDescent="0.35">
      <c r="BV244" s="140"/>
      <c r="BY244" s="141"/>
      <c r="BZ244" s="141"/>
      <c r="CA244" s="141"/>
      <c r="CB244" s="141"/>
      <c r="CC244" s="141"/>
      <c r="CD244" s="141"/>
      <c r="CE244" s="141"/>
      <c r="CF244" s="141"/>
      <c r="CG244" s="141"/>
      <c r="CH244" s="141"/>
      <c r="CI244" s="141"/>
      <c r="CJ244" s="141"/>
      <c r="CK244" s="141"/>
      <c r="CL244" s="141"/>
    </row>
    <row r="245" spans="74:90" ht="15" customHeight="1" x14ac:dyDescent="0.35">
      <c r="BV245" s="140"/>
      <c r="BY245" s="141"/>
      <c r="BZ245" s="141"/>
      <c r="CA245" s="141"/>
      <c r="CB245" s="141"/>
      <c r="CC245" s="141"/>
      <c r="CD245" s="141"/>
      <c r="CE245" s="141"/>
      <c r="CF245" s="141"/>
      <c r="CG245" s="141"/>
      <c r="CH245" s="141"/>
      <c r="CI245" s="141"/>
      <c r="CJ245" s="141"/>
      <c r="CK245" s="141"/>
      <c r="CL245" s="141"/>
    </row>
    <row r="246" spans="74:90" ht="15" customHeight="1" x14ac:dyDescent="0.35">
      <c r="BV246" s="140"/>
      <c r="BY246" s="141"/>
      <c r="BZ246" s="141"/>
      <c r="CA246" s="141"/>
      <c r="CB246" s="141"/>
      <c r="CC246" s="141"/>
      <c r="CD246" s="141"/>
      <c r="CE246" s="141"/>
      <c r="CF246" s="141"/>
      <c r="CG246" s="141"/>
      <c r="CH246" s="141"/>
      <c r="CI246" s="141"/>
      <c r="CJ246" s="141"/>
      <c r="CK246" s="141"/>
      <c r="CL246" s="141"/>
    </row>
    <row r="247" spans="74:90" ht="15" customHeight="1" x14ac:dyDescent="0.35">
      <c r="BV247" s="140"/>
      <c r="BY247" s="141"/>
      <c r="BZ247" s="141"/>
      <c r="CA247" s="141"/>
      <c r="CB247" s="141"/>
      <c r="CC247" s="141"/>
      <c r="CD247" s="141"/>
      <c r="CE247" s="141"/>
      <c r="CF247" s="141"/>
      <c r="CG247" s="141"/>
      <c r="CH247" s="141"/>
      <c r="CI247" s="141"/>
      <c r="CJ247" s="141"/>
      <c r="CK247" s="141"/>
      <c r="CL247" s="141"/>
    </row>
    <row r="248" spans="74:90" ht="15" customHeight="1" x14ac:dyDescent="0.35">
      <c r="BV248" s="140"/>
      <c r="BY248" s="141"/>
      <c r="BZ248" s="141"/>
      <c r="CA248" s="141"/>
      <c r="CB248" s="141"/>
      <c r="CC248" s="141"/>
      <c r="CD248" s="141"/>
      <c r="CE248" s="141"/>
      <c r="CF248" s="141"/>
      <c r="CG248" s="141"/>
      <c r="CH248" s="141"/>
      <c r="CI248" s="141"/>
      <c r="CJ248" s="141"/>
      <c r="CK248" s="141"/>
      <c r="CL248" s="141"/>
    </row>
    <row r="249" spans="74:90" ht="15" customHeight="1" x14ac:dyDescent="0.35">
      <c r="BV249" s="140"/>
      <c r="BY249" s="141"/>
      <c r="BZ249" s="141"/>
      <c r="CA249" s="141"/>
      <c r="CB249" s="141"/>
      <c r="CC249" s="141"/>
      <c r="CD249" s="141"/>
      <c r="CE249" s="141"/>
      <c r="CF249" s="141"/>
      <c r="CG249" s="141"/>
      <c r="CH249" s="141"/>
      <c r="CI249" s="141"/>
      <c r="CJ249" s="141"/>
      <c r="CK249" s="141"/>
      <c r="CL249" s="141"/>
    </row>
    <row r="250" spans="74:90" ht="15" customHeight="1" x14ac:dyDescent="0.35">
      <c r="BV250" s="140"/>
      <c r="BY250" s="141"/>
      <c r="BZ250" s="141"/>
      <c r="CA250" s="141"/>
      <c r="CB250" s="141"/>
      <c r="CC250" s="141"/>
      <c r="CD250" s="141"/>
      <c r="CE250" s="141"/>
      <c r="CF250" s="141"/>
      <c r="CG250" s="141"/>
      <c r="CH250" s="141"/>
      <c r="CI250" s="141"/>
      <c r="CJ250" s="141"/>
      <c r="CK250" s="141"/>
      <c r="CL250" s="141"/>
    </row>
    <row r="251" spans="74:90" ht="15" customHeight="1" x14ac:dyDescent="0.35">
      <c r="BV251" s="140"/>
      <c r="BY251" s="141"/>
      <c r="BZ251" s="141"/>
      <c r="CA251" s="141"/>
      <c r="CB251" s="141"/>
      <c r="CC251" s="141"/>
      <c r="CD251" s="141"/>
      <c r="CE251" s="141"/>
      <c r="CF251" s="141"/>
      <c r="CG251" s="141"/>
      <c r="CH251" s="141"/>
      <c r="CI251" s="141"/>
      <c r="CJ251" s="141"/>
      <c r="CK251" s="141"/>
      <c r="CL251" s="141"/>
    </row>
    <row r="252" spans="74:90" ht="15" customHeight="1" x14ac:dyDescent="0.35">
      <c r="BV252" s="140"/>
      <c r="BY252" s="141"/>
      <c r="BZ252" s="141"/>
      <c r="CA252" s="141"/>
      <c r="CB252" s="141"/>
      <c r="CC252" s="141"/>
      <c r="CD252" s="141"/>
      <c r="CE252" s="141"/>
      <c r="CF252" s="141"/>
      <c r="CG252" s="141"/>
      <c r="CH252" s="141"/>
      <c r="CI252" s="141"/>
      <c r="CJ252" s="141"/>
      <c r="CK252" s="141"/>
      <c r="CL252" s="141"/>
    </row>
    <row r="253" spans="74:90" ht="15" customHeight="1" x14ac:dyDescent="0.35">
      <c r="BV253" s="140"/>
      <c r="BY253" s="141"/>
      <c r="BZ253" s="141"/>
      <c r="CA253" s="141"/>
      <c r="CB253" s="141"/>
      <c r="CC253" s="141"/>
      <c r="CD253" s="141"/>
      <c r="CE253" s="141"/>
      <c r="CF253" s="141"/>
      <c r="CG253" s="141"/>
      <c r="CH253" s="141"/>
      <c r="CI253" s="141"/>
      <c r="CJ253" s="141"/>
      <c r="CK253" s="141"/>
      <c r="CL253" s="141"/>
    </row>
    <row r="254" spans="74:90" ht="15" customHeight="1" x14ac:dyDescent="0.35">
      <c r="BV254" s="140"/>
      <c r="BY254" s="141"/>
      <c r="BZ254" s="141"/>
      <c r="CA254" s="141"/>
      <c r="CB254" s="141"/>
      <c r="CC254" s="141"/>
      <c r="CD254" s="141"/>
      <c r="CE254" s="141"/>
      <c r="CF254" s="141"/>
      <c r="CG254" s="141"/>
      <c r="CH254" s="141"/>
      <c r="CI254" s="141"/>
      <c r="CJ254" s="141"/>
      <c r="CK254" s="141"/>
      <c r="CL254" s="141"/>
    </row>
    <row r="255" spans="74:90" ht="15" customHeight="1" x14ac:dyDescent="0.35">
      <c r="BV255" s="140"/>
      <c r="BY255" s="141"/>
      <c r="BZ255" s="141"/>
      <c r="CA255" s="141"/>
      <c r="CB255" s="141"/>
      <c r="CC255" s="141"/>
      <c r="CD255" s="141"/>
      <c r="CE255" s="141"/>
      <c r="CF255" s="141"/>
      <c r="CG255" s="141"/>
      <c r="CH255" s="141"/>
      <c r="CI255" s="141"/>
      <c r="CJ255" s="141"/>
      <c r="CK255" s="141"/>
      <c r="CL255" s="141"/>
    </row>
    <row r="256" spans="74:90" ht="15" customHeight="1" x14ac:dyDescent="0.35">
      <c r="BV256" s="140"/>
      <c r="BY256" s="141"/>
      <c r="BZ256" s="141"/>
      <c r="CA256" s="141"/>
      <c r="CB256" s="141"/>
      <c r="CC256" s="141"/>
      <c r="CD256" s="141"/>
      <c r="CE256" s="141"/>
      <c r="CF256" s="141"/>
      <c r="CG256" s="141"/>
      <c r="CH256" s="141"/>
      <c r="CI256" s="141"/>
      <c r="CJ256" s="141"/>
      <c r="CK256" s="141"/>
      <c r="CL256" s="141"/>
    </row>
    <row r="257" spans="74:90" ht="15" customHeight="1" x14ac:dyDescent="0.35">
      <c r="BV257" s="140"/>
      <c r="BY257" s="141"/>
      <c r="BZ257" s="141"/>
      <c r="CA257" s="141"/>
      <c r="CB257" s="141"/>
      <c r="CC257" s="141"/>
      <c r="CD257" s="141"/>
      <c r="CE257" s="141"/>
      <c r="CF257" s="141"/>
      <c r="CG257" s="141"/>
      <c r="CH257" s="141"/>
      <c r="CI257" s="141"/>
      <c r="CJ257" s="141"/>
      <c r="CK257" s="141"/>
      <c r="CL257" s="141"/>
    </row>
    <row r="258" spans="74:90" ht="15" customHeight="1" x14ac:dyDescent="0.35">
      <c r="BV258" s="140"/>
      <c r="BY258" s="141"/>
      <c r="BZ258" s="141"/>
      <c r="CA258" s="141"/>
      <c r="CB258" s="141"/>
      <c r="CC258" s="141"/>
      <c r="CD258" s="141"/>
      <c r="CE258" s="141"/>
      <c r="CF258" s="141"/>
      <c r="CG258" s="141"/>
      <c r="CH258" s="141"/>
      <c r="CI258" s="141"/>
      <c r="CJ258" s="141"/>
      <c r="CK258" s="141"/>
      <c r="CL258" s="141"/>
    </row>
    <row r="259" spans="74:90" ht="15" customHeight="1" x14ac:dyDescent="0.35">
      <c r="BV259" s="140"/>
      <c r="BY259" s="141"/>
      <c r="BZ259" s="141"/>
      <c r="CA259" s="141"/>
      <c r="CB259" s="141"/>
      <c r="CC259" s="141"/>
      <c r="CD259" s="141"/>
      <c r="CE259" s="141"/>
      <c r="CF259" s="141"/>
      <c r="CG259" s="141"/>
      <c r="CH259" s="141"/>
      <c r="CI259" s="141"/>
      <c r="CJ259" s="141"/>
      <c r="CK259" s="141"/>
      <c r="CL259" s="141"/>
    </row>
    <row r="260" spans="74:90" ht="15" customHeight="1" x14ac:dyDescent="0.35">
      <c r="BV260" s="140"/>
      <c r="BY260" s="141"/>
      <c r="BZ260" s="141"/>
      <c r="CA260" s="141"/>
      <c r="CB260" s="141"/>
      <c r="CC260" s="141"/>
      <c r="CD260" s="141"/>
      <c r="CE260" s="141"/>
      <c r="CF260" s="141"/>
      <c r="CG260" s="141"/>
      <c r="CH260" s="141"/>
      <c r="CI260" s="141"/>
      <c r="CJ260" s="141"/>
      <c r="CK260" s="141"/>
      <c r="CL260" s="141"/>
    </row>
    <row r="261" spans="74:90" ht="15" customHeight="1" x14ac:dyDescent="0.35">
      <c r="BV261" s="140"/>
      <c r="BY261" s="141"/>
      <c r="BZ261" s="141"/>
      <c r="CA261" s="141"/>
      <c r="CB261" s="141"/>
      <c r="CC261" s="141"/>
      <c r="CD261" s="141"/>
      <c r="CE261" s="141"/>
      <c r="CF261" s="141"/>
      <c r="CG261" s="141"/>
      <c r="CH261" s="141"/>
      <c r="CI261" s="141"/>
      <c r="CJ261" s="141"/>
      <c r="CK261" s="141"/>
      <c r="CL261" s="141"/>
    </row>
    <row r="262" spans="74:90" ht="15" customHeight="1" x14ac:dyDescent="0.35">
      <c r="BV262" s="140"/>
      <c r="BY262" s="141"/>
      <c r="BZ262" s="141"/>
      <c r="CA262" s="141"/>
      <c r="CB262" s="141"/>
      <c r="CC262" s="141"/>
      <c r="CD262" s="141"/>
      <c r="CE262" s="141"/>
      <c r="CF262" s="141"/>
      <c r="CG262" s="141"/>
      <c r="CH262" s="141"/>
      <c r="CI262" s="141"/>
      <c r="CJ262" s="141"/>
      <c r="CK262" s="141"/>
      <c r="CL262" s="141"/>
    </row>
    <row r="263" spans="74:90" ht="15" customHeight="1" x14ac:dyDescent="0.35">
      <c r="BV263" s="140"/>
      <c r="BY263" s="141"/>
      <c r="BZ263" s="141"/>
      <c r="CA263" s="141"/>
      <c r="CB263" s="141"/>
      <c r="CC263" s="141"/>
      <c r="CD263" s="141"/>
      <c r="CE263" s="141"/>
      <c r="CF263" s="141"/>
      <c r="CG263" s="141"/>
      <c r="CH263" s="141"/>
      <c r="CI263" s="141"/>
      <c r="CJ263" s="141"/>
      <c r="CK263" s="141"/>
      <c r="CL263" s="141"/>
    </row>
    <row r="264" spans="74:90" ht="15" customHeight="1" x14ac:dyDescent="0.35">
      <c r="BV264" s="140"/>
      <c r="BY264" s="141"/>
      <c r="BZ264" s="141"/>
      <c r="CA264" s="141"/>
      <c r="CB264" s="141"/>
      <c r="CC264" s="141"/>
      <c r="CD264" s="141"/>
      <c r="CE264" s="141"/>
      <c r="CF264" s="141"/>
      <c r="CG264" s="141"/>
      <c r="CH264" s="141"/>
      <c r="CI264" s="141"/>
      <c r="CJ264" s="141"/>
      <c r="CK264" s="141"/>
      <c r="CL264" s="141"/>
    </row>
    <row r="265" spans="74:90" ht="15" customHeight="1" x14ac:dyDescent="0.35">
      <c r="BV265" s="140"/>
      <c r="BY265" s="141"/>
      <c r="BZ265" s="141"/>
      <c r="CA265" s="141"/>
      <c r="CB265" s="141"/>
      <c r="CC265" s="141"/>
      <c r="CD265" s="141"/>
      <c r="CE265" s="141"/>
      <c r="CF265" s="141"/>
      <c r="CG265" s="141"/>
      <c r="CH265" s="141"/>
      <c r="CI265" s="141"/>
      <c r="CJ265" s="141"/>
      <c r="CK265" s="141"/>
      <c r="CL265" s="141"/>
    </row>
    <row r="266" spans="74:90" ht="15" customHeight="1" x14ac:dyDescent="0.35">
      <c r="BV266" s="140"/>
      <c r="BY266" s="141"/>
      <c r="BZ266" s="141"/>
      <c r="CA266" s="141"/>
      <c r="CB266" s="141"/>
      <c r="CC266" s="141"/>
      <c r="CD266" s="141"/>
      <c r="CE266" s="141"/>
      <c r="CF266" s="141"/>
      <c r="CG266" s="141"/>
      <c r="CH266" s="141"/>
      <c r="CI266" s="141"/>
      <c r="CJ266" s="141"/>
      <c r="CK266" s="141"/>
      <c r="CL266" s="141"/>
    </row>
    <row r="267" spans="74:90" ht="15" customHeight="1" x14ac:dyDescent="0.35">
      <c r="BV267" s="140"/>
      <c r="BY267" s="141"/>
      <c r="BZ267" s="141"/>
      <c r="CA267" s="141"/>
      <c r="CB267" s="141"/>
      <c r="CC267" s="141"/>
      <c r="CD267" s="141"/>
      <c r="CE267" s="141"/>
      <c r="CF267" s="141"/>
      <c r="CG267" s="141"/>
      <c r="CH267" s="141"/>
      <c r="CI267" s="141"/>
      <c r="CJ267" s="141"/>
      <c r="CK267" s="141"/>
      <c r="CL267" s="141"/>
    </row>
    <row r="268" spans="74:90" ht="15" customHeight="1" x14ac:dyDescent="0.35">
      <c r="BV268" s="140"/>
      <c r="BY268" s="141"/>
      <c r="BZ268" s="141"/>
      <c r="CA268" s="141"/>
      <c r="CB268" s="141"/>
      <c r="CC268" s="141"/>
      <c r="CD268" s="141"/>
      <c r="CE268" s="141"/>
      <c r="CF268" s="141"/>
      <c r="CG268" s="141"/>
      <c r="CH268" s="141"/>
      <c r="CI268" s="141"/>
      <c r="CJ268" s="141"/>
      <c r="CK268" s="141"/>
      <c r="CL268" s="141"/>
    </row>
    <row r="269" spans="74:90" ht="15" customHeight="1" x14ac:dyDescent="0.35">
      <c r="BV269" s="140"/>
      <c r="BY269" s="141"/>
      <c r="BZ269" s="141"/>
      <c r="CA269" s="141"/>
      <c r="CB269" s="141"/>
      <c r="CC269" s="141"/>
      <c r="CD269" s="141"/>
      <c r="CE269" s="141"/>
      <c r="CF269" s="141"/>
      <c r="CG269" s="141"/>
      <c r="CH269" s="141"/>
      <c r="CI269" s="141"/>
      <c r="CJ269" s="141"/>
      <c r="CK269" s="141"/>
      <c r="CL269" s="141"/>
    </row>
    <row r="270" spans="74:90" ht="15" customHeight="1" x14ac:dyDescent="0.35">
      <c r="BV270" s="140"/>
      <c r="BY270" s="141"/>
      <c r="BZ270" s="141"/>
      <c r="CA270" s="141"/>
      <c r="CB270" s="141"/>
      <c r="CC270" s="141"/>
      <c r="CD270" s="141"/>
      <c r="CE270" s="141"/>
      <c r="CF270" s="141"/>
      <c r="CG270" s="141"/>
      <c r="CH270" s="141"/>
      <c r="CI270" s="141"/>
      <c r="CJ270" s="141"/>
      <c r="CK270" s="141"/>
      <c r="CL270" s="141"/>
    </row>
    <row r="271" spans="74:90" ht="15" customHeight="1" x14ac:dyDescent="0.35">
      <c r="BV271" s="140"/>
      <c r="BY271" s="141"/>
      <c r="BZ271" s="141"/>
      <c r="CA271" s="141"/>
      <c r="CB271" s="141"/>
      <c r="CC271" s="141"/>
      <c r="CD271" s="141"/>
      <c r="CE271" s="141"/>
      <c r="CF271" s="141"/>
      <c r="CG271" s="141"/>
      <c r="CH271" s="141"/>
      <c r="CI271" s="141"/>
      <c r="CJ271" s="141"/>
      <c r="CK271" s="141"/>
      <c r="CL271" s="141"/>
    </row>
    <row r="272" spans="74:90" ht="15" customHeight="1" x14ac:dyDescent="0.35">
      <c r="BV272" s="140"/>
      <c r="BY272" s="141"/>
      <c r="BZ272" s="141"/>
      <c r="CA272" s="141"/>
      <c r="CB272" s="141"/>
      <c r="CC272" s="141"/>
      <c r="CD272" s="141"/>
      <c r="CE272" s="141"/>
      <c r="CF272" s="141"/>
      <c r="CG272" s="141"/>
      <c r="CH272" s="141"/>
      <c r="CI272" s="141"/>
      <c r="CJ272" s="141"/>
      <c r="CK272" s="141"/>
      <c r="CL272" s="141"/>
    </row>
    <row r="273" spans="74:90" ht="15" customHeight="1" x14ac:dyDescent="0.35">
      <c r="BV273" s="140"/>
      <c r="BY273" s="141"/>
      <c r="BZ273" s="141"/>
      <c r="CA273" s="141"/>
      <c r="CB273" s="141"/>
      <c r="CC273" s="141"/>
      <c r="CD273" s="141"/>
      <c r="CE273" s="141"/>
      <c r="CF273" s="141"/>
      <c r="CG273" s="141"/>
      <c r="CH273" s="141"/>
      <c r="CI273" s="141"/>
      <c r="CJ273" s="141"/>
      <c r="CK273" s="141"/>
      <c r="CL273" s="141"/>
    </row>
    <row r="274" spans="74:90" ht="15" customHeight="1" x14ac:dyDescent="0.35">
      <c r="BV274" s="140"/>
      <c r="BY274" s="141"/>
      <c r="BZ274" s="141"/>
      <c r="CA274" s="141"/>
      <c r="CB274" s="141"/>
      <c r="CC274" s="141"/>
      <c r="CD274" s="141"/>
      <c r="CE274" s="141"/>
      <c r="CF274" s="141"/>
      <c r="CG274" s="141"/>
      <c r="CH274" s="141"/>
      <c r="CI274" s="141"/>
      <c r="CJ274" s="141"/>
      <c r="CK274" s="141"/>
      <c r="CL274" s="141"/>
    </row>
    <row r="275" spans="74:90" ht="15" customHeight="1" x14ac:dyDescent="0.35">
      <c r="BV275" s="140"/>
      <c r="BY275" s="141"/>
      <c r="BZ275" s="141"/>
      <c r="CA275" s="141"/>
      <c r="CB275" s="141"/>
      <c r="CC275" s="141"/>
      <c r="CD275" s="141"/>
      <c r="CE275" s="141"/>
      <c r="CF275" s="141"/>
      <c r="CG275" s="141"/>
      <c r="CH275" s="141"/>
      <c r="CI275" s="141"/>
      <c r="CJ275" s="141"/>
      <c r="CK275" s="141"/>
      <c r="CL275" s="141"/>
    </row>
    <row r="276" spans="74:90" ht="15" customHeight="1" x14ac:dyDescent="0.35">
      <c r="BV276" s="140"/>
      <c r="BY276" s="141"/>
      <c r="BZ276" s="141"/>
      <c r="CA276" s="141"/>
      <c r="CB276" s="141"/>
      <c r="CC276" s="141"/>
      <c r="CD276" s="141"/>
      <c r="CE276" s="141"/>
      <c r="CF276" s="141"/>
      <c r="CG276" s="141"/>
      <c r="CH276" s="141"/>
      <c r="CI276" s="141"/>
      <c r="CJ276" s="141"/>
      <c r="CK276" s="141"/>
      <c r="CL276" s="141"/>
    </row>
    <row r="277" spans="74:90" ht="15" customHeight="1" x14ac:dyDescent="0.35">
      <c r="BV277" s="140"/>
      <c r="BY277" s="141"/>
      <c r="BZ277" s="141"/>
      <c r="CA277" s="141"/>
      <c r="CB277" s="141"/>
      <c r="CC277" s="141"/>
      <c r="CD277" s="141"/>
      <c r="CE277" s="141"/>
      <c r="CF277" s="141"/>
      <c r="CG277" s="141"/>
      <c r="CH277" s="141"/>
      <c r="CI277" s="141"/>
      <c r="CJ277" s="141"/>
      <c r="CK277" s="141"/>
      <c r="CL277" s="141"/>
    </row>
    <row r="278" spans="74:90" ht="15" customHeight="1" x14ac:dyDescent="0.35">
      <c r="BV278" s="140"/>
      <c r="BY278" s="141"/>
      <c r="BZ278" s="141"/>
      <c r="CA278" s="141"/>
      <c r="CB278" s="141"/>
      <c r="CC278" s="141"/>
      <c r="CD278" s="141"/>
      <c r="CE278" s="141"/>
      <c r="CF278" s="141"/>
      <c r="CG278" s="141"/>
      <c r="CH278" s="141"/>
      <c r="CI278" s="141"/>
      <c r="CJ278" s="141"/>
      <c r="CK278" s="141"/>
      <c r="CL278" s="141"/>
    </row>
    <row r="279" spans="74:90" ht="15" customHeight="1" x14ac:dyDescent="0.35">
      <c r="BV279" s="140"/>
      <c r="BY279" s="141"/>
      <c r="BZ279" s="141"/>
      <c r="CA279" s="141"/>
      <c r="CB279" s="141"/>
      <c r="CC279" s="141"/>
      <c r="CD279" s="141"/>
      <c r="CE279" s="141"/>
      <c r="CF279" s="141"/>
      <c r="CG279" s="141"/>
      <c r="CH279" s="141"/>
      <c r="CI279" s="141"/>
      <c r="CJ279" s="141"/>
      <c r="CK279" s="141"/>
      <c r="CL279" s="141"/>
    </row>
    <row r="280" spans="74:90" ht="15" customHeight="1" x14ac:dyDescent="0.35">
      <c r="BV280" s="140"/>
      <c r="BY280" s="141"/>
      <c r="BZ280" s="141"/>
      <c r="CA280" s="141"/>
      <c r="CB280" s="141"/>
      <c r="CC280" s="141"/>
      <c r="CD280" s="141"/>
      <c r="CE280" s="141"/>
      <c r="CF280" s="141"/>
      <c r="CG280" s="141"/>
      <c r="CH280" s="141"/>
      <c r="CI280" s="141"/>
      <c r="CJ280" s="141"/>
      <c r="CK280" s="141"/>
      <c r="CL280" s="141"/>
    </row>
    <row r="281" spans="74:90" ht="15" customHeight="1" x14ac:dyDescent="0.35">
      <c r="BV281" s="140"/>
      <c r="BY281" s="141"/>
      <c r="BZ281" s="141"/>
      <c r="CA281" s="141"/>
      <c r="CB281" s="141"/>
      <c r="CC281" s="141"/>
      <c r="CD281" s="141"/>
      <c r="CE281" s="141"/>
      <c r="CF281" s="141"/>
      <c r="CG281" s="141"/>
      <c r="CH281" s="141"/>
      <c r="CI281" s="141"/>
      <c r="CJ281" s="141"/>
      <c r="CK281" s="141"/>
      <c r="CL281" s="141"/>
    </row>
    <row r="282" spans="74:90" ht="15" customHeight="1" x14ac:dyDescent="0.35">
      <c r="BV282" s="140"/>
      <c r="BY282" s="141"/>
      <c r="BZ282" s="141"/>
      <c r="CA282" s="141"/>
      <c r="CB282" s="141"/>
      <c r="CC282" s="141"/>
      <c r="CD282" s="141"/>
      <c r="CE282" s="141"/>
      <c r="CF282" s="141"/>
      <c r="CG282" s="141"/>
      <c r="CH282" s="141"/>
      <c r="CI282" s="141"/>
      <c r="CJ282" s="141"/>
      <c r="CK282" s="141"/>
      <c r="CL282" s="141"/>
    </row>
    <row r="283" spans="74:90" ht="15" customHeight="1" x14ac:dyDescent="0.35">
      <c r="BV283" s="140"/>
      <c r="BY283" s="141"/>
      <c r="BZ283" s="141"/>
      <c r="CA283" s="141"/>
      <c r="CB283" s="141"/>
      <c r="CC283" s="141"/>
      <c r="CD283" s="141"/>
      <c r="CE283" s="141"/>
      <c r="CF283" s="141"/>
      <c r="CG283" s="141"/>
      <c r="CH283" s="141"/>
      <c r="CI283" s="141"/>
      <c r="CJ283" s="141"/>
      <c r="CK283" s="141"/>
      <c r="CL283" s="141"/>
    </row>
    <row r="284" spans="74:90" ht="15" customHeight="1" x14ac:dyDescent="0.35">
      <c r="BV284" s="140"/>
      <c r="BY284" s="141"/>
      <c r="BZ284" s="141"/>
      <c r="CA284" s="141"/>
      <c r="CB284" s="141"/>
      <c r="CC284" s="141"/>
      <c r="CD284" s="141"/>
      <c r="CE284" s="141"/>
      <c r="CF284" s="141"/>
      <c r="CG284" s="141"/>
      <c r="CH284" s="141"/>
      <c r="CI284" s="141"/>
      <c r="CJ284" s="141"/>
      <c r="CK284" s="141"/>
      <c r="CL284" s="141"/>
    </row>
    <row r="285" spans="74:90" ht="15" customHeight="1" x14ac:dyDescent="0.35">
      <c r="BV285" s="140"/>
      <c r="BY285" s="141"/>
      <c r="BZ285" s="141"/>
      <c r="CA285" s="141"/>
      <c r="CB285" s="141"/>
      <c r="CC285" s="141"/>
      <c r="CD285" s="141"/>
      <c r="CE285" s="141"/>
      <c r="CF285" s="141"/>
      <c r="CG285" s="141"/>
      <c r="CH285" s="141"/>
      <c r="CI285" s="141"/>
      <c r="CJ285" s="141"/>
      <c r="CK285" s="141"/>
      <c r="CL285" s="141"/>
    </row>
    <row r="286" spans="74:90" ht="15" customHeight="1" x14ac:dyDescent="0.35">
      <c r="BV286" s="140"/>
      <c r="BY286" s="141"/>
      <c r="BZ286" s="141"/>
      <c r="CA286" s="141"/>
      <c r="CB286" s="141"/>
      <c r="CC286" s="141"/>
      <c r="CD286" s="141"/>
      <c r="CE286" s="141"/>
      <c r="CF286" s="141"/>
      <c r="CG286" s="141"/>
      <c r="CH286" s="141"/>
      <c r="CI286" s="141"/>
      <c r="CJ286" s="141"/>
      <c r="CK286" s="141"/>
      <c r="CL286" s="141"/>
    </row>
    <row r="287" spans="74:90" ht="15" customHeight="1" x14ac:dyDescent="0.35">
      <c r="BV287" s="140"/>
      <c r="BY287" s="141"/>
      <c r="BZ287" s="141"/>
      <c r="CA287" s="141"/>
      <c r="CB287" s="141"/>
      <c r="CC287" s="141"/>
      <c r="CD287" s="141"/>
      <c r="CE287" s="141"/>
      <c r="CF287" s="141"/>
      <c r="CG287" s="141"/>
      <c r="CH287" s="141"/>
      <c r="CI287" s="141"/>
      <c r="CJ287" s="141"/>
      <c r="CK287" s="141"/>
      <c r="CL287" s="141"/>
    </row>
    <row r="288" spans="74:90" ht="15" customHeight="1" x14ac:dyDescent="0.35">
      <c r="BV288" s="140"/>
      <c r="BY288" s="141"/>
      <c r="BZ288" s="141"/>
      <c r="CA288" s="141"/>
      <c r="CB288" s="141"/>
      <c r="CC288" s="141"/>
      <c r="CD288" s="141"/>
      <c r="CE288" s="141"/>
      <c r="CF288" s="141"/>
      <c r="CG288" s="141"/>
      <c r="CH288" s="141"/>
      <c r="CI288" s="141"/>
      <c r="CJ288" s="141"/>
      <c r="CK288" s="141"/>
      <c r="CL288" s="141"/>
    </row>
    <row r="289" spans="74:90" ht="15" customHeight="1" x14ac:dyDescent="0.35">
      <c r="BV289" s="140"/>
      <c r="BY289" s="141"/>
      <c r="BZ289" s="141"/>
      <c r="CA289" s="141"/>
      <c r="CB289" s="141"/>
      <c r="CC289" s="141"/>
      <c r="CD289" s="141"/>
      <c r="CE289" s="141"/>
      <c r="CF289" s="141"/>
      <c r="CG289" s="141"/>
      <c r="CH289" s="141"/>
      <c r="CI289" s="141"/>
      <c r="CJ289" s="141"/>
      <c r="CK289" s="141"/>
      <c r="CL289" s="141"/>
    </row>
    <row r="290" spans="74:90" ht="15" customHeight="1" x14ac:dyDescent="0.35">
      <c r="BV290" s="140"/>
      <c r="BY290" s="141"/>
      <c r="BZ290" s="141"/>
      <c r="CA290" s="141"/>
      <c r="CB290" s="141"/>
      <c r="CC290" s="141"/>
      <c r="CD290" s="141"/>
      <c r="CE290" s="141"/>
      <c r="CF290" s="141"/>
      <c r="CG290" s="141"/>
      <c r="CH290" s="141"/>
      <c r="CI290" s="141"/>
      <c r="CJ290" s="141"/>
      <c r="CK290" s="141"/>
      <c r="CL290" s="141"/>
    </row>
    <row r="291" spans="74:90" ht="15" customHeight="1" x14ac:dyDescent="0.35">
      <c r="BV291" s="140"/>
      <c r="BY291" s="141"/>
      <c r="BZ291" s="141"/>
      <c r="CA291" s="141"/>
      <c r="CB291" s="141"/>
      <c r="CC291" s="141"/>
      <c r="CD291" s="141"/>
      <c r="CE291" s="141"/>
      <c r="CF291" s="141"/>
      <c r="CG291" s="141"/>
      <c r="CH291" s="141"/>
      <c r="CI291" s="141"/>
      <c r="CJ291" s="141"/>
      <c r="CK291" s="141"/>
      <c r="CL291" s="141"/>
    </row>
    <row r="292" spans="74:90" ht="15" customHeight="1" x14ac:dyDescent="0.35">
      <c r="BV292" s="140"/>
      <c r="BY292" s="141"/>
      <c r="BZ292" s="141"/>
      <c r="CA292" s="141"/>
      <c r="CB292" s="141"/>
      <c r="CC292" s="141"/>
      <c r="CD292" s="141"/>
      <c r="CE292" s="141"/>
      <c r="CF292" s="141"/>
      <c r="CG292" s="141"/>
      <c r="CH292" s="141"/>
      <c r="CI292" s="141"/>
      <c r="CJ292" s="141"/>
      <c r="CK292" s="141"/>
      <c r="CL292" s="141"/>
    </row>
    <row r="293" spans="74:90" ht="15" customHeight="1" x14ac:dyDescent="0.35">
      <c r="BV293" s="140"/>
      <c r="BY293" s="141"/>
      <c r="BZ293" s="141"/>
      <c r="CA293" s="141"/>
      <c r="CB293" s="141"/>
      <c r="CC293" s="141"/>
      <c r="CD293" s="141"/>
      <c r="CE293" s="141"/>
      <c r="CF293" s="141"/>
      <c r="CG293" s="141"/>
      <c r="CH293" s="141"/>
      <c r="CI293" s="141"/>
      <c r="CJ293" s="141"/>
      <c r="CK293" s="141"/>
      <c r="CL293" s="141"/>
    </row>
    <row r="294" spans="74:90" ht="15" customHeight="1" x14ac:dyDescent="0.35">
      <c r="BV294" s="140"/>
      <c r="BY294" s="141"/>
      <c r="BZ294" s="141"/>
      <c r="CA294" s="141"/>
      <c r="CB294" s="141"/>
      <c r="CC294" s="141"/>
      <c r="CD294" s="141"/>
      <c r="CE294" s="141"/>
      <c r="CF294" s="141"/>
      <c r="CG294" s="141"/>
      <c r="CH294" s="141"/>
      <c r="CI294" s="141"/>
      <c r="CJ294" s="141"/>
      <c r="CK294" s="141"/>
      <c r="CL294" s="141"/>
    </row>
    <row r="295" spans="74:90" ht="15" customHeight="1" x14ac:dyDescent="0.35">
      <c r="BV295" s="140"/>
      <c r="BY295" s="141"/>
      <c r="BZ295" s="141"/>
      <c r="CA295" s="141"/>
      <c r="CB295" s="141"/>
      <c r="CC295" s="141"/>
      <c r="CD295" s="141"/>
      <c r="CE295" s="141"/>
      <c r="CF295" s="141"/>
      <c r="CG295" s="141"/>
      <c r="CH295" s="141"/>
      <c r="CI295" s="141"/>
      <c r="CJ295" s="141"/>
      <c r="CK295" s="141"/>
      <c r="CL295" s="141"/>
    </row>
    <row r="296" spans="74:90" ht="15" customHeight="1" x14ac:dyDescent="0.35">
      <c r="BV296" s="140"/>
      <c r="BY296" s="141"/>
      <c r="BZ296" s="141"/>
      <c r="CA296" s="141"/>
      <c r="CB296" s="141"/>
      <c r="CC296" s="141"/>
      <c r="CD296" s="141"/>
      <c r="CE296" s="141"/>
      <c r="CF296" s="141"/>
      <c r="CG296" s="141"/>
      <c r="CH296" s="141"/>
      <c r="CI296" s="141"/>
      <c r="CJ296" s="141"/>
      <c r="CK296" s="141"/>
      <c r="CL296" s="141"/>
    </row>
    <row r="297" spans="74:90" ht="15" customHeight="1" x14ac:dyDescent="0.35">
      <c r="BV297" s="140"/>
      <c r="BY297" s="141"/>
      <c r="BZ297" s="141"/>
      <c r="CA297" s="141"/>
      <c r="CB297" s="141"/>
      <c r="CC297" s="141"/>
      <c r="CD297" s="141"/>
      <c r="CE297" s="141"/>
      <c r="CF297" s="141"/>
      <c r="CG297" s="141"/>
      <c r="CH297" s="141"/>
      <c r="CI297" s="141"/>
      <c r="CJ297" s="141"/>
      <c r="CK297" s="141"/>
      <c r="CL297" s="141"/>
    </row>
    <row r="298" spans="74:90" ht="15" customHeight="1" x14ac:dyDescent="0.35">
      <c r="BV298" s="140"/>
      <c r="BY298" s="141"/>
      <c r="BZ298" s="141"/>
      <c r="CA298" s="141"/>
      <c r="CB298" s="141"/>
      <c r="CC298" s="141"/>
      <c r="CD298" s="141"/>
      <c r="CE298" s="141"/>
      <c r="CF298" s="141"/>
      <c r="CG298" s="141"/>
      <c r="CH298" s="141"/>
      <c r="CI298" s="141"/>
      <c r="CJ298" s="141"/>
      <c r="CK298" s="141"/>
      <c r="CL298" s="141"/>
    </row>
    <row r="299" spans="74:90" ht="15" customHeight="1" x14ac:dyDescent="0.35">
      <c r="BV299" s="140"/>
      <c r="BY299" s="141"/>
      <c r="BZ299" s="141"/>
      <c r="CA299" s="141"/>
      <c r="CB299" s="141"/>
      <c r="CC299" s="141"/>
      <c r="CD299" s="141"/>
      <c r="CE299" s="141"/>
      <c r="CF299" s="141"/>
      <c r="CG299" s="141"/>
      <c r="CH299" s="141"/>
      <c r="CI299" s="141"/>
      <c r="CJ299" s="141"/>
      <c r="CK299" s="141"/>
      <c r="CL299" s="141"/>
    </row>
    <row r="300" spans="74:90" ht="15" customHeight="1" x14ac:dyDescent="0.35">
      <c r="BV300" s="140"/>
      <c r="BY300" s="141"/>
      <c r="BZ300" s="141"/>
      <c r="CA300" s="141"/>
      <c r="CB300" s="141"/>
      <c r="CC300" s="141"/>
      <c r="CD300" s="141"/>
      <c r="CE300" s="141"/>
      <c r="CF300" s="141"/>
      <c r="CG300" s="141"/>
      <c r="CH300" s="141"/>
      <c r="CI300" s="141"/>
      <c r="CJ300" s="141"/>
      <c r="CK300" s="141"/>
      <c r="CL300" s="141"/>
    </row>
    <row r="301" spans="74:90" ht="15" customHeight="1" x14ac:dyDescent="0.35">
      <c r="BV301" s="140"/>
      <c r="BY301" s="141"/>
      <c r="BZ301" s="141"/>
      <c r="CA301" s="141"/>
      <c r="CB301" s="141"/>
      <c r="CC301" s="141"/>
      <c r="CD301" s="141"/>
      <c r="CE301" s="141"/>
      <c r="CF301" s="141"/>
      <c r="CG301" s="141"/>
      <c r="CH301" s="141"/>
      <c r="CI301" s="141"/>
      <c r="CJ301" s="141"/>
      <c r="CK301" s="141"/>
      <c r="CL301" s="141"/>
    </row>
    <row r="302" spans="74:90" ht="15" customHeight="1" x14ac:dyDescent="0.35">
      <c r="BV302" s="140"/>
      <c r="BY302" s="141"/>
      <c r="BZ302" s="141"/>
      <c r="CA302" s="141"/>
      <c r="CB302" s="141"/>
      <c r="CC302" s="141"/>
      <c r="CD302" s="141"/>
      <c r="CE302" s="141"/>
      <c r="CF302" s="141"/>
      <c r="CG302" s="141"/>
      <c r="CH302" s="141"/>
      <c r="CI302" s="141"/>
      <c r="CJ302" s="141"/>
      <c r="CK302" s="141"/>
      <c r="CL302" s="141"/>
    </row>
    <row r="303" spans="74:90" ht="15" customHeight="1" x14ac:dyDescent="0.35">
      <c r="BV303" s="140"/>
      <c r="BY303" s="141"/>
      <c r="BZ303" s="141"/>
      <c r="CA303" s="141"/>
      <c r="CB303" s="141"/>
      <c r="CC303" s="141"/>
      <c r="CD303" s="141"/>
      <c r="CE303" s="141"/>
      <c r="CF303" s="141"/>
      <c r="CG303" s="141"/>
      <c r="CH303" s="141"/>
      <c r="CI303" s="141"/>
      <c r="CJ303" s="141"/>
      <c r="CK303" s="141"/>
      <c r="CL303" s="141"/>
    </row>
    <row r="304" spans="74:90" ht="15" customHeight="1" x14ac:dyDescent="0.35">
      <c r="BV304" s="140"/>
      <c r="BY304" s="141"/>
      <c r="BZ304" s="141"/>
      <c r="CA304" s="141"/>
      <c r="CB304" s="141"/>
      <c r="CC304" s="141"/>
      <c r="CD304" s="141"/>
      <c r="CE304" s="141"/>
      <c r="CF304" s="141"/>
      <c r="CG304" s="141"/>
      <c r="CH304" s="141"/>
      <c r="CI304" s="141"/>
      <c r="CJ304" s="141"/>
      <c r="CK304" s="141"/>
      <c r="CL304" s="141"/>
    </row>
    <row r="305" spans="74:90" ht="15" customHeight="1" x14ac:dyDescent="0.35">
      <c r="BV305" s="140"/>
      <c r="BY305" s="141"/>
      <c r="BZ305" s="141"/>
      <c r="CA305" s="141"/>
      <c r="CB305" s="141"/>
      <c r="CC305" s="141"/>
      <c r="CD305" s="141"/>
      <c r="CE305" s="141"/>
      <c r="CF305" s="141"/>
      <c r="CG305" s="141"/>
      <c r="CH305" s="141"/>
      <c r="CI305" s="141"/>
      <c r="CJ305" s="141"/>
      <c r="CK305" s="141"/>
      <c r="CL305" s="141"/>
    </row>
    <row r="306" spans="74:90" ht="15" customHeight="1" x14ac:dyDescent="0.35">
      <c r="BV306" s="140"/>
      <c r="BY306" s="141"/>
      <c r="BZ306" s="141"/>
      <c r="CA306" s="141"/>
      <c r="CB306" s="141"/>
      <c r="CC306" s="141"/>
      <c r="CD306" s="141"/>
      <c r="CE306" s="141"/>
      <c r="CF306" s="141"/>
      <c r="CG306" s="141"/>
      <c r="CH306" s="141"/>
      <c r="CI306" s="141"/>
      <c r="CJ306" s="141"/>
      <c r="CK306" s="141"/>
      <c r="CL306" s="141"/>
    </row>
    <row r="307" spans="74:90" ht="15" customHeight="1" x14ac:dyDescent="0.35">
      <c r="BV307" s="140"/>
      <c r="BY307" s="141"/>
      <c r="BZ307" s="141"/>
      <c r="CA307" s="141"/>
      <c r="CB307" s="141"/>
      <c r="CC307" s="141"/>
      <c r="CD307" s="141"/>
      <c r="CE307" s="141"/>
      <c r="CF307" s="141"/>
      <c r="CG307" s="141"/>
      <c r="CH307" s="141"/>
      <c r="CI307" s="141"/>
      <c r="CJ307" s="141"/>
      <c r="CK307" s="141"/>
      <c r="CL307" s="141"/>
    </row>
    <row r="308" spans="74:90" ht="15" customHeight="1" x14ac:dyDescent="0.35">
      <c r="BV308" s="140"/>
      <c r="BY308" s="141"/>
      <c r="BZ308" s="141"/>
      <c r="CA308" s="141"/>
      <c r="CB308" s="141"/>
      <c r="CC308" s="141"/>
      <c r="CD308" s="141"/>
      <c r="CE308" s="141"/>
      <c r="CF308" s="141"/>
      <c r="CG308" s="141"/>
      <c r="CH308" s="141"/>
      <c r="CI308" s="141"/>
      <c r="CJ308" s="141"/>
      <c r="CK308" s="141"/>
      <c r="CL308" s="141"/>
    </row>
    <row r="309" spans="74:90" ht="15" customHeight="1" x14ac:dyDescent="0.35">
      <c r="BV309" s="140"/>
      <c r="BY309" s="141"/>
      <c r="BZ309" s="141"/>
      <c r="CA309" s="141"/>
      <c r="CB309" s="141"/>
      <c r="CC309" s="141"/>
      <c r="CD309" s="141"/>
      <c r="CE309" s="141"/>
      <c r="CF309" s="141"/>
      <c r="CG309" s="141"/>
      <c r="CH309" s="141"/>
      <c r="CI309" s="141"/>
      <c r="CJ309" s="141"/>
      <c r="CK309" s="141"/>
      <c r="CL309" s="141"/>
    </row>
    <row r="310" spans="74:90" ht="15" customHeight="1" x14ac:dyDescent="0.35">
      <c r="BV310" s="140"/>
      <c r="BY310" s="141"/>
      <c r="BZ310" s="141"/>
      <c r="CA310" s="141"/>
      <c r="CB310" s="141"/>
      <c r="CC310" s="141"/>
      <c r="CD310" s="141"/>
      <c r="CE310" s="141"/>
      <c r="CF310" s="141"/>
      <c r="CG310" s="141"/>
      <c r="CH310" s="141"/>
      <c r="CI310" s="141"/>
      <c r="CJ310" s="141"/>
      <c r="CK310" s="141"/>
      <c r="CL310" s="141"/>
    </row>
    <row r="311" spans="74:90" ht="15" customHeight="1" x14ac:dyDescent="0.35">
      <c r="BV311" s="140"/>
      <c r="BY311" s="141"/>
      <c r="BZ311" s="141"/>
      <c r="CA311" s="141"/>
      <c r="CB311" s="141"/>
      <c r="CC311" s="141"/>
      <c r="CD311" s="141"/>
      <c r="CE311" s="141"/>
      <c r="CF311" s="141"/>
      <c r="CG311" s="141"/>
      <c r="CH311" s="141"/>
      <c r="CI311" s="141"/>
      <c r="CJ311" s="141"/>
      <c r="CK311" s="141"/>
      <c r="CL311" s="141"/>
    </row>
    <row r="312" spans="74:90" ht="15" customHeight="1" x14ac:dyDescent="0.35">
      <c r="BV312" s="140"/>
      <c r="BY312" s="141"/>
      <c r="BZ312" s="141"/>
      <c r="CA312" s="141"/>
      <c r="CB312" s="141"/>
      <c r="CC312" s="141"/>
      <c r="CD312" s="141"/>
      <c r="CE312" s="141"/>
      <c r="CF312" s="141"/>
      <c r="CG312" s="141"/>
      <c r="CH312" s="141"/>
      <c r="CI312" s="141"/>
      <c r="CJ312" s="141"/>
      <c r="CK312" s="141"/>
      <c r="CL312" s="141"/>
    </row>
    <row r="313" spans="74:90" ht="15" customHeight="1" x14ac:dyDescent="0.35">
      <c r="BV313" s="140"/>
      <c r="BY313" s="141"/>
      <c r="BZ313" s="141"/>
      <c r="CA313" s="141"/>
      <c r="CB313" s="141"/>
      <c r="CC313" s="141"/>
      <c r="CD313" s="141"/>
      <c r="CE313" s="141"/>
      <c r="CF313" s="141"/>
      <c r="CG313" s="141"/>
      <c r="CH313" s="141"/>
      <c r="CI313" s="141"/>
      <c r="CJ313" s="141"/>
      <c r="CK313" s="141"/>
      <c r="CL313" s="141"/>
    </row>
    <row r="314" spans="74:90" ht="15" customHeight="1" x14ac:dyDescent="0.35">
      <c r="BV314" s="140"/>
      <c r="BY314" s="141"/>
      <c r="BZ314" s="141"/>
      <c r="CA314" s="141"/>
      <c r="CB314" s="141"/>
      <c r="CC314" s="141"/>
      <c r="CD314" s="141"/>
      <c r="CE314" s="141"/>
      <c r="CF314" s="141"/>
      <c r="CG314" s="141"/>
      <c r="CH314" s="141"/>
      <c r="CI314" s="141"/>
      <c r="CJ314" s="141"/>
      <c r="CK314" s="141"/>
      <c r="CL314" s="141"/>
    </row>
    <row r="315" spans="74:90" ht="15" customHeight="1" x14ac:dyDescent="0.35">
      <c r="BV315" s="140"/>
      <c r="BY315" s="141"/>
      <c r="BZ315" s="141"/>
      <c r="CA315" s="141"/>
      <c r="CB315" s="141"/>
      <c r="CC315" s="141"/>
      <c r="CD315" s="141"/>
      <c r="CE315" s="141"/>
      <c r="CF315" s="141"/>
      <c r="CG315" s="141"/>
      <c r="CH315" s="141"/>
      <c r="CI315" s="141"/>
      <c r="CJ315" s="141"/>
      <c r="CK315" s="141"/>
      <c r="CL315" s="141"/>
    </row>
    <row r="316" spans="74:90" ht="15" customHeight="1" x14ac:dyDescent="0.35">
      <c r="BV316" s="140"/>
      <c r="BY316" s="141"/>
      <c r="BZ316" s="141"/>
      <c r="CA316" s="141"/>
      <c r="CB316" s="141"/>
      <c r="CC316" s="141"/>
      <c r="CD316" s="141"/>
      <c r="CE316" s="141"/>
      <c r="CF316" s="141"/>
      <c r="CG316" s="141"/>
      <c r="CH316" s="141"/>
      <c r="CI316" s="141"/>
      <c r="CJ316" s="141"/>
      <c r="CK316" s="141"/>
      <c r="CL316" s="141"/>
    </row>
    <row r="317" spans="74:90" ht="15" customHeight="1" x14ac:dyDescent="0.35">
      <c r="BV317" s="140"/>
      <c r="BY317" s="141"/>
      <c r="BZ317" s="141"/>
      <c r="CA317" s="141"/>
      <c r="CB317" s="141"/>
      <c r="CC317" s="141"/>
      <c r="CD317" s="141"/>
      <c r="CE317" s="141"/>
      <c r="CF317" s="141"/>
      <c r="CG317" s="141"/>
      <c r="CH317" s="141"/>
      <c r="CI317" s="141"/>
      <c r="CJ317" s="141"/>
      <c r="CK317" s="141"/>
      <c r="CL317" s="141"/>
    </row>
    <row r="318" spans="74:90" ht="15" customHeight="1" x14ac:dyDescent="0.35">
      <c r="BV318" s="140"/>
      <c r="BY318" s="141"/>
      <c r="BZ318" s="141"/>
      <c r="CA318" s="141"/>
      <c r="CB318" s="141"/>
      <c r="CC318" s="141"/>
      <c r="CD318" s="141"/>
      <c r="CE318" s="141"/>
      <c r="CF318" s="141"/>
      <c r="CG318" s="141"/>
      <c r="CH318" s="141"/>
      <c r="CI318" s="141"/>
      <c r="CJ318" s="141"/>
      <c r="CK318" s="141"/>
      <c r="CL318" s="141"/>
    </row>
    <row r="319" spans="74:90" ht="15" customHeight="1" x14ac:dyDescent="0.35">
      <c r="BV319" s="140"/>
      <c r="BY319" s="141"/>
      <c r="BZ319" s="141"/>
      <c r="CA319" s="141"/>
      <c r="CB319" s="141"/>
      <c r="CC319" s="141"/>
      <c r="CD319" s="141"/>
      <c r="CE319" s="141"/>
      <c r="CF319" s="141"/>
      <c r="CG319" s="141"/>
      <c r="CH319" s="141"/>
      <c r="CI319" s="141"/>
      <c r="CJ319" s="141"/>
      <c r="CK319" s="141"/>
      <c r="CL319" s="141"/>
    </row>
    <row r="320" spans="74:90" ht="15" customHeight="1" x14ac:dyDescent="0.35">
      <c r="BV320" s="140"/>
      <c r="BY320" s="141"/>
      <c r="BZ320" s="141"/>
      <c r="CA320" s="141"/>
      <c r="CB320" s="141"/>
      <c r="CC320" s="141"/>
      <c r="CD320" s="141"/>
      <c r="CE320" s="141"/>
      <c r="CF320" s="141"/>
      <c r="CG320" s="141"/>
      <c r="CH320" s="141"/>
      <c r="CI320" s="141"/>
      <c r="CJ320" s="141"/>
      <c r="CK320" s="141"/>
      <c r="CL320" s="141"/>
    </row>
    <row r="321" spans="74:90" ht="15" customHeight="1" x14ac:dyDescent="0.35">
      <c r="BV321" s="140"/>
      <c r="BY321" s="141"/>
      <c r="BZ321" s="141"/>
      <c r="CA321" s="141"/>
      <c r="CB321" s="141"/>
      <c r="CC321" s="141"/>
      <c r="CD321" s="141"/>
      <c r="CE321" s="141"/>
      <c r="CF321" s="141"/>
      <c r="CG321" s="141"/>
      <c r="CH321" s="141"/>
      <c r="CI321" s="141"/>
      <c r="CJ321" s="141"/>
      <c r="CK321" s="141"/>
      <c r="CL321" s="141"/>
    </row>
    <row r="322" spans="74:90" ht="15" customHeight="1" x14ac:dyDescent="0.35">
      <c r="BV322" s="140"/>
      <c r="BY322" s="141"/>
      <c r="BZ322" s="141"/>
      <c r="CA322" s="141"/>
      <c r="CB322" s="141"/>
      <c r="CC322" s="141"/>
      <c r="CD322" s="141"/>
      <c r="CE322" s="141"/>
      <c r="CF322" s="141"/>
      <c r="CG322" s="141"/>
      <c r="CH322" s="141"/>
      <c r="CI322" s="141"/>
      <c r="CJ322" s="141"/>
      <c r="CK322" s="141"/>
      <c r="CL322" s="141"/>
    </row>
    <row r="323" spans="74:90" ht="15" customHeight="1" x14ac:dyDescent="0.35">
      <c r="BV323" s="140"/>
      <c r="BY323" s="141"/>
      <c r="BZ323" s="141"/>
      <c r="CA323" s="141"/>
      <c r="CB323" s="141"/>
      <c r="CC323" s="141"/>
      <c r="CD323" s="141"/>
      <c r="CE323" s="141"/>
      <c r="CF323" s="141"/>
      <c r="CG323" s="141"/>
      <c r="CH323" s="141"/>
      <c r="CI323" s="141"/>
      <c r="CJ323" s="141"/>
      <c r="CK323" s="141"/>
      <c r="CL323" s="141"/>
    </row>
    <row r="324" spans="74:90" ht="15" customHeight="1" x14ac:dyDescent="0.35">
      <c r="BV324" s="140"/>
      <c r="BY324" s="141"/>
      <c r="BZ324" s="141"/>
      <c r="CA324" s="141"/>
      <c r="CB324" s="141"/>
      <c r="CC324" s="141"/>
      <c r="CD324" s="141"/>
      <c r="CE324" s="141"/>
      <c r="CF324" s="141"/>
      <c r="CG324" s="141"/>
      <c r="CH324" s="141"/>
      <c r="CI324" s="141"/>
      <c r="CJ324" s="141"/>
      <c r="CK324" s="141"/>
      <c r="CL324" s="141"/>
    </row>
    <row r="325" spans="74:90" ht="15" customHeight="1" x14ac:dyDescent="0.35">
      <c r="BV325" s="140"/>
      <c r="BY325" s="141"/>
      <c r="BZ325" s="141"/>
      <c r="CA325" s="141"/>
      <c r="CB325" s="141"/>
      <c r="CC325" s="141"/>
      <c r="CD325" s="141"/>
      <c r="CE325" s="141"/>
      <c r="CF325" s="141"/>
      <c r="CG325" s="141"/>
      <c r="CH325" s="141"/>
      <c r="CI325" s="141"/>
      <c r="CJ325" s="141"/>
      <c r="CK325" s="141"/>
      <c r="CL325" s="141"/>
    </row>
    <row r="326" spans="74:90" ht="15" customHeight="1" x14ac:dyDescent="0.35">
      <c r="BV326" s="140"/>
      <c r="BY326" s="141"/>
      <c r="BZ326" s="141"/>
      <c r="CA326" s="141"/>
      <c r="CB326" s="141"/>
      <c r="CC326" s="141"/>
      <c r="CD326" s="141"/>
      <c r="CE326" s="141"/>
      <c r="CF326" s="141"/>
      <c r="CG326" s="141"/>
      <c r="CH326" s="141"/>
      <c r="CI326" s="141"/>
      <c r="CJ326" s="141"/>
      <c r="CK326" s="141"/>
      <c r="CL326" s="141"/>
    </row>
    <row r="327" spans="74:90" ht="15" customHeight="1" x14ac:dyDescent="0.35">
      <c r="BV327" s="140"/>
      <c r="BY327" s="141"/>
      <c r="BZ327" s="141"/>
      <c r="CA327" s="141"/>
      <c r="CB327" s="141"/>
      <c r="CC327" s="141"/>
      <c r="CD327" s="141"/>
      <c r="CE327" s="141"/>
      <c r="CF327" s="141"/>
      <c r="CG327" s="141"/>
      <c r="CH327" s="141"/>
      <c r="CI327" s="141"/>
      <c r="CJ327" s="141"/>
      <c r="CK327" s="141"/>
      <c r="CL327" s="141"/>
    </row>
    <row r="328" spans="74:90" ht="15" customHeight="1" x14ac:dyDescent="0.35">
      <c r="BV328" s="140"/>
      <c r="BY328" s="141"/>
      <c r="BZ328" s="141"/>
      <c r="CA328" s="141"/>
      <c r="CB328" s="141"/>
      <c r="CC328" s="141"/>
      <c r="CD328" s="141"/>
      <c r="CE328" s="141"/>
      <c r="CF328" s="141"/>
      <c r="CG328" s="141"/>
      <c r="CH328" s="141"/>
      <c r="CI328" s="141"/>
      <c r="CJ328" s="141"/>
      <c r="CK328" s="141"/>
      <c r="CL328" s="141"/>
    </row>
    <row r="329" spans="74:90" ht="15" customHeight="1" x14ac:dyDescent="0.35">
      <c r="BV329" s="140"/>
      <c r="BY329" s="141"/>
      <c r="BZ329" s="141"/>
      <c r="CA329" s="141"/>
      <c r="CB329" s="141"/>
      <c r="CC329" s="141"/>
      <c r="CD329" s="141"/>
      <c r="CE329" s="141"/>
      <c r="CF329" s="141"/>
      <c r="CG329" s="141"/>
      <c r="CH329" s="141"/>
      <c r="CI329" s="141"/>
      <c r="CJ329" s="141"/>
      <c r="CK329" s="141"/>
      <c r="CL329" s="141"/>
    </row>
    <row r="330" spans="74:90" ht="15" customHeight="1" x14ac:dyDescent="0.35">
      <c r="BV330" s="140"/>
      <c r="BY330" s="141"/>
      <c r="BZ330" s="141"/>
      <c r="CA330" s="141"/>
      <c r="CB330" s="141"/>
      <c r="CC330" s="141"/>
      <c r="CD330" s="141"/>
      <c r="CE330" s="141"/>
      <c r="CF330" s="141"/>
      <c r="CG330" s="141"/>
      <c r="CH330" s="141"/>
      <c r="CI330" s="141"/>
      <c r="CJ330" s="141"/>
      <c r="CK330" s="141"/>
      <c r="CL330" s="141"/>
    </row>
    <row r="331" spans="74:90" ht="15" customHeight="1" x14ac:dyDescent="0.35">
      <c r="BV331" s="140"/>
      <c r="BY331" s="141"/>
      <c r="BZ331" s="141"/>
      <c r="CA331" s="141"/>
      <c r="CB331" s="141"/>
      <c r="CC331" s="141"/>
      <c r="CD331" s="141"/>
      <c r="CE331" s="141"/>
      <c r="CF331" s="141"/>
      <c r="CG331" s="141"/>
      <c r="CH331" s="141"/>
      <c r="CI331" s="141"/>
      <c r="CJ331" s="141"/>
      <c r="CK331" s="141"/>
      <c r="CL331" s="141"/>
    </row>
    <row r="332" spans="74:90" ht="15" customHeight="1" x14ac:dyDescent="0.35">
      <c r="BV332" s="140"/>
      <c r="BY332" s="141"/>
      <c r="BZ332" s="141"/>
      <c r="CA332" s="141"/>
      <c r="CB332" s="141"/>
      <c r="CC332" s="141"/>
      <c r="CD332" s="141"/>
      <c r="CE332" s="141"/>
      <c r="CF332" s="141"/>
      <c r="CG332" s="141"/>
      <c r="CH332" s="141"/>
      <c r="CI332" s="141"/>
      <c r="CJ332" s="141"/>
      <c r="CK332" s="141"/>
      <c r="CL332" s="141"/>
    </row>
    <row r="333" spans="74:90" ht="15" customHeight="1" x14ac:dyDescent="0.35">
      <c r="BV333" s="140"/>
      <c r="BY333" s="141"/>
      <c r="BZ333" s="141"/>
      <c r="CA333" s="141"/>
      <c r="CB333" s="141"/>
      <c r="CC333" s="141"/>
      <c r="CD333" s="141"/>
      <c r="CE333" s="141"/>
      <c r="CF333" s="141"/>
      <c r="CG333" s="141"/>
      <c r="CH333" s="141"/>
      <c r="CI333" s="141"/>
      <c r="CJ333" s="141"/>
      <c r="CK333" s="141"/>
      <c r="CL333" s="141"/>
    </row>
    <row r="334" spans="74:90" ht="15" customHeight="1" x14ac:dyDescent="0.35">
      <c r="BV334" s="140"/>
      <c r="BY334" s="141"/>
      <c r="BZ334" s="141"/>
      <c r="CA334" s="141"/>
      <c r="CB334" s="141"/>
      <c r="CC334" s="141"/>
      <c r="CD334" s="141"/>
      <c r="CE334" s="141"/>
      <c r="CF334" s="141"/>
      <c r="CG334" s="141"/>
      <c r="CH334" s="141"/>
      <c r="CI334" s="141"/>
      <c r="CJ334" s="141"/>
      <c r="CK334" s="141"/>
      <c r="CL334" s="141"/>
    </row>
    <row r="335" spans="74:90" ht="15" customHeight="1" x14ac:dyDescent="0.35">
      <c r="BV335" s="140"/>
      <c r="BY335" s="141"/>
      <c r="BZ335" s="141"/>
      <c r="CA335" s="141"/>
      <c r="CB335" s="141"/>
      <c r="CC335" s="141"/>
      <c r="CD335" s="141"/>
      <c r="CE335" s="141"/>
      <c r="CF335" s="141"/>
      <c r="CG335" s="141"/>
      <c r="CH335" s="141"/>
      <c r="CI335" s="141"/>
      <c r="CJ335" s="141"/>
      <c r="CK335" s="141"/>
      <c r="CL335" s="141"/>
    </row>
    <row r="336" spans="74:90" ht="15" customHeight="1" x14ac:dyDescent="0.35">
      <c r="BV336" s="140"/>
      <c r="BY336" s="141"/>
      <c r="BZ336" s="141"/>
      <c r="CA336" s="141"/>
      <c r="CB336" s="141"/>
      <c r="CC336" s="141"/>
      <c r="CD336" s="141"/>
      <c r="CE336" s="141"/>
      <c r="CF336" s="141"/>
      <c r="CG336" s="141"/>
      <c r="CH336" s="141"/>
      <c r="CI336" s="141"/>
      <c r="CJ336" s="141"/>
      <c r="CK336" s="141"/>
      <c r="CL336" s="141"/>
    </row>
    <row r="337" spans="74:90" ht="15" customHeight="1" x14ac:dyDescent="0.35">
      <c r="BV337" s="140"/>
      <c r="BY337" s="141"/>
      <c r="BZ337" s="141"/>
      <c r="CA337" s="141"/>
      <c r="CB337" s="141"/>
      <c r="CC337" s="141"/>
      <c r="CD337" s="141"/>
      <c r="CE337" s="141"/>
      <c r="CF337" s="141"/>
      <c r="CG337" s="141"/>
      <c r="CH337" s="141"/>
      <c r="CI337" s="141"/>
      <c r="CJ337" s="141"/>
      <c r="CK337" s="141"/>
      <c r="CL337" s="141"/>
    </row>
    <row r="338" spans="74:90" ht="15" customHeight="1" x14ac:dyDescent="0.35">
      <c r="BV338" s="140"/>
      <c r="BY338" s="141"/>
      <c r="BZ338" s="141"/>
      <c r="CA338" s="141"/>
      <c r="CB338" s="141"/>
      <c r="CC338" s="141"/>
      <c r="CD338" s="141"/>
      <c r="CE338" s="141"/>
      <c r="CF338" s="141"/>
      <c r="CG338" s="141"/>
      <c r="CH338" s="141"/>
      <c r="CI338" s="141"/>
      <c r="CJ338" s="141"/>
      <c r="CK338" s="141"/>
      <c r="CL338" s="141"/>
    </row>
    <row r="339" spans="74:90" ht="15" customHeight="1" x14ac:dyDescent="0.35">
      <c r="BV339" s="140"/>
      <c r="BY339" s="141"/>
      <c r="BZ339" s="141"/>
      <c r="CA339" s="141"/>
      <c r="CB339" s="141"/>
      <c r="CC339" s="141"/>
      <c r="CD339" s="141"/>
      <c r="CE339" s="141"/>
      <c r="CF339" s="141"/>
      <c r="CG339" s="141"/>
      <c r="CH339" s="141"/>
      <c r="CI339" s="141"/>
      <c r="CJ339" s="141"/>
      <c r="CK339" s="141"/>
      <c r="CL339" s="141"/>
    </row>
    <row r="340" spans="74:90" ht="15" customHeight="1" x14ac:dyDescent="0.35">
      <c r="BV340" s="140"/>
      <c r="BY340" s="141"/>
      <c r="BZ340" s="141"/>
      <c r="CA340" s="141"/>
      <c r="CB340" s="141"/>
      <c r="CC340" s="141"/>
      <c r="CD340" s="141"/>
      <c r="CE340" s="141"/>
      <c r="CF340" s="141"/>
      <c r="CG340" s="141"/>
      <c r="CH340" s="141"/>
      <c r="CI340" s="141"/>
      <c r="CJ340" s="141"/>
      <c r="CK340" s="141"/>
      <c r="CL340" s="141"/>
    </row>
    <row r="341" spans="74:90" ht="15" customHeight="1" x14ac:dyDescent="0.35">
      <c r="BV341" s="140"/>
      <c r="BY341" s="141"/>
      <c r="BZ341" s="141"/>
      <c r="CA341" s="141"/>
      <c r="CB341" s="141"/>
      <c r="CC341" s="141"/>
      <c r="CD341" s="141"/>
      <c r="CE341" s="141"/>
      <c r="CF341" s="141"/>
      <c r="CG341" s="141"/>
      <c r="CH341" s="141"/>
      <c r="CI341" s="141"/>
      <c r="CJ341" s="141"/>
      <c r="CK341" s="141"/>
      <c r="CL341" s="141"/>
    </row>
    <row r="342" spans="74:90" ht="15" customHeight="1" x14ac:dyDescent="0.35">
      <c r="BV342" s="140"/>
      <c r="BY342" s="141"/>
      <c r="BZ342" s="141"/>
      <c r="CA342" s="141"/>
      <c r="CB342" s="141"/>
      <c r="CC342" s="141"/>
      <c r="CD342" s="141"/>
      <c r="CE342" s="141"/>
      <c r="CF342" s="141"/>
      <c r="CG342" s="141"/>
      <c r="CH342" s="141"/>
      <c r="CI342" s="141"/>
      <c r="CJ342" s="141"/>
      <c r="CK342" s="141"/>
      <c r="CL342" s="141"/>
    </row>
    <row r="343" spans="74:90" ht="15" customHeight="1" x14ac:dyDescent="0.35">
      <c r="BV343" s="140"/>
      <c r="BY343" s="141"/>
      <c r="BZ343" s="141"/>
      <c r="CA343" s="141"/>
      <c r="CB343" s="141"/>
      <c r="CC343" s="141"/>
      <c r="CD343" s="141"/>
      <c r="CE343" s="141"/>
      <c r="CF343" s="141"/>
      <c r="CG343" s="141"/>
      <c r="CH343" s="141"/>
      <c r="CI343" s="141"/>
      <c r="CJ343" s="141"/>
      <c r="CK343" s="141"/>
      <c r="CL343" s="141"/>
    </row>
    <row r="344" spans="74:90" ht="15" customHeight="1" x14ac:dyDescent="0.35">
      <c r="BV344" s="140"/>
      <c r="BY344" s="141"/>
      <c r="BZ344" s="141"/>
      <c r="CA344" s="141"/>
      <c r="CB344" s="141"/>
      <c r="CC344" s="141"/>
      <c r="CD344" s="141"/>
      <c r="CE344" s="141"/>
      <c r="CF344" s="141"/>
      <c r="CG344" s="141"/>
      <c r="CH344" s="141"/>
      <c r="CI344" s="141"/>
      <c r="CJ344" s="141"/>
      <c r="CK344" s="141"/>
      <c r="CL344" s="141"/>
    </row>
    <row r="345" spans="74:90" ht="15" customHeight="1" x14ac:dyDescent="0.35">
      <c r="BV345" s="140"/>
      <c r="BY345" s="141"/>
      <c r="BZ345" s="141"/>
      <c r="CA345" s="141"/>
      <c r="CB345" s="141"/>
      <c r="CC345" s="141"/>
      <c r="CD345" s="141"/>
      <c r="CE345" s="141"/>
      <c r="CF345" s="141"/>
      <c r="CG345" s="141"/>
      <c r="CH345" s="141"/>
      <c r="CI345" s="141"/>
      <c r="CJ345" s="141"/>
      <c r="CK345" s="141"/>
      <c r="CL345" s="141"/>
    </row>
    <row r="346" spans="74:90" ht="15" customHeight="1" x14ac:dyDescent="0.35">
      <c r="BV346" s="140"/>
      <c r="BY346" s="141"/>
      <c r="BZ346" s="141"/>
      <c r="CA346" s="141"/>
      <c r="CB346" s="141"/>
      <c r="CC346" s="141"/>
      <c r="CD346" s="141"/>
      <c r="CE346" s="141"/>
      <c r="CF346" s="141"/>
      <c r="CG346" s="141"/>
      <c r="CH346" s="141"/>
      <c r="CI346" s="141"/>
      <c r="CJ346" s="141"/>
      <c r="CK346" s="141"/>
      <c r="CL346" s="141"/>
    </row>
    <row r="347" spans="74:90" ht="15" customHeight="1" x14ac:dyDescent="0.35">
      <c r="BV347" s="140"/>
      <c r="BY347" s="141"/>
      <c r="BZ347" s="141"/>
      <c r="CA347" s="141"/>
      <c r="CB347" s="141"/>
      <c r="CC347" s="141"/>
      <c r="CD347" s="141"/>
      <c r="CE347" s="141"/>
      <c r="CF347" s="141"/>
      <c r="CG347" s="141"/>
      <c r="CH347" s="141"/>
      <c r="CI347" s="141"/>
      <c r="CJ347" s="141"/>
      <c r="CK347" s="141"/>
      <c r="CL347" s="141"/>
    </row>
    <row r="348" spans="74:90" ht="15" customHeight="1" x14ac:dyDescent="0.35">
      <c r="BV348" s="140"/>
      <c r="BY348" s="141"/>
      <c r="BZ348" s="141"/>
      <c r="CA348" s="141"/>
      <c r="CB348" s="141"/>
      <c r="CC348" s="141"/>
      <c r="CD348" s="141"/>
      <c r="CE348" s="141"/>
      <c r="CF348" s="141"/>
      <c r="CG348" s="141"/>
      <c r="CH348" s="141"/>
      <c r="CI348" s="141"/>
      <c r="CJ348" s="141"/>
      <c r="CK348" s="141"/>
      <c r="CL348" s="141"/>
    </row>
    <row r="349" spans="74:90" ht="15" customHeight="1" x14ac:dyDescent="0.35">
      <c r="BV349" s="140"/>
      <c r="BY349" s="141"/>
      <c r="BZ349" s="141"/>
      <c r="CA349" s="141"/>
      <c r="CB349" s="141"/>
      <c r="CC349" s="141"/>
      <c r="CD349" s="141"/>
      <c r="CE349" s="141"/>
      <c r="CF349" s="141"/>
      <c r="CG349" s="141"/>
      <c r="CH349" s="141"/>
      <c r="CI349" s="141"/>
      <c r="CJ349" s="141"/>
      <c r="CK349" s="141"/>
      <c r="CL349" s="141"/>
    </row>
    <row r="350" spans="74:90" ht="15" customHeight="1" x14ac:dyDescent="0.35">
      <c r="BV350" s="140"/>
      <c r="BY350" s="141"/>
      <c r="BZ350" s="141"/>
      <c r="CA350" s="141"/>
      <c r="CB350" s="141"/>
      <c r="CC350" s="141"/>
      <c r="CD350" s="141"/>
      <c r="CE350" s="141"/>
      <c r="CF350" s="141"/>
      <c r="CG350" s="141"/>
      <c r="CH350" s="141"/>
      <c r="CI350" s="141"/>
      <c r="CJ350" s="141"/>
      <c r="CK350" s="141"/>
      <c r="CL350" s="141"/>
    </row>
    <row r="351" spans="74:90" ht="15" customHeight="1" x14ac:dyDescent="0.35">
      <c r="BV351" s="140"/>
      <c r="BY351" s="141"/>
      <c r="BZ351" s="141"/>
      <c r="CA351" s="141"/>
      <c r="CB351" s="141"/>
      <c r="CC351" s="141"/>
      <c r="CD351" s="141"/>
      <c r="CE351" s="141"/>
      <c r="CF351" s="141"/>
      <c r="CG351" s="141"/>
      <c r="CH351" s="141"/>
      <c r="CI351" s="141"/>
      <c r="CJ351" s="141"/>
      <c r="CK351" s="141"/>
      <c r="CL351" s="141"/>
    </row>
    <row r="352" spans="74:90" ht="15" customHeight="1" x14ac:dyDescent="0.35">
      <c r="BV352" s="140"/>
      <c r="BY352" s="141"/>
      <c r="BZ352" s="141"/>
      <c r="CA352" s="141"/>
      <c r="CB352" s="141"/>
      <c r="CC352" s="141"/>
      <c r="CD352" s="141"/>
      <c r="CE352" s="141"/>
      <c r="CF352" s="141"/>
      <c r="CG352" s="141"/>
      <c r="CH352" s="141"/>
      <c r="CI352" s="141"/>
      <c r="CJ352" s="141"/>
      <c r="CK352" s="141"/>
      <c r="CL352" s="141"/>
    </row>
    <row r="353" spans="74:90" ht="15" customHeight="1" x14ac:dyDescent="0.35">
      <c r="BV353" s="140"/>
      <c r="BY353" s="141"/>
      <c r="BZ353" s="141"/>
      <c r="CA353" s="141"/>
      <c r="CB353" s="141"/>
      <c r="CC353" s="141"/>
      <c r="CD353" s="141"/>
      <c r="CE353" s="141"/>
      <c r="CF353" s="141"/>
      <c r="CG353" s="141"/>
      <c r="CH353" s="141"/>
      <c r="CI353" s="141"/>
      <c r="CJ353" s="141"/>
      <c r="CK353" s="141"/>
      <c r="CL353" s="141"/>
    </row>
    <row r="354" spans="74:90" ht="15" customHeight="1" x14ac:dyDescent="0.35">
      <c r="BV354" s="140"/>
      <c r="BY354" s="141"/>
      <c r="BZ354" s="141"/>
      <c r="CA354" s="141"/>
      <c r="CB354" s="141"/>
      <c r="CC354" s="141"/>
      <c r="CD354" s="141"/>
      <c r="CE354" s="141"/>
      <c r="CF354" s="141"/>
      <c r="CG354" s="141"/>
      <c r="CH354" s="141"/>
      <c r="CI354" s="141"/>
      <c r="CJ354" s="141"/>
      <c r="CK354" s="141"/>
      <c r="CL354" s="141"/>
    </row>
    <row r="355" spans="74:90" ht="15" customHeight="1" x14ac:dyDescent="0.35">
      <c r="BV355" s="140"/>
      <c r="BY355" s="141"/>
      <c r="BZ355" s="141"/>
      <c r="CA355" s="141"/>
      <c r="CB355" s="141"/>
      <c r="CC355" s="141"/>
      <c r="CD355" s="141"/>
      <c r="CE355" s="141"/>
      <c r="CF355" s="141"/>
      <c r="CG355" s="141"/>
      <c r="CH355" s="141"/>
      <c r="CI355" s="141"/>
      <c r="CJ355" s="141"/>
      <c r="CK355" s="141"/>
      <c r="CL355" s="141"/>
    </row>
    <row r="356" spans="74:90" ht="15" customHeight="1" x14ac:dyDescent="0.35">
      <c r="BV356" s="140"/>
      <c r="BY356" s="141"/>
      <c r="BZ356" s="141"/>
      <c r="CA356" s="141"/>
      <c r="CB356" s="141"/>
      <c r="CC356" s="141"/>
      <c r="CD356" s="141"/>
      <c r="CE356" s="141"/>
      <c r="CF356" s="141"/>
      <c r="CG356" s="141"/>
      <c r="CH356" s="141"/>
      <c r="CI356" s="141"/>
      <c r="CJ356" s="141"/>
      <c r="CK356" s="141"/>
      <c r="CL356" s="141"/>
    </row>
    <row r="357" spans="74:90" ht="15" customHeight="1" x14ac:dyDescent="0.35">
      <c r="BV357" s="140"/>
      <c r="BY357" s="141"/>
      <c r="BZ357" s="141"/>
      <c r="CA357" s="141"/>
      <c r="CB357" s="141"/>
      <c r="CC357" s="141"/>
      <c r="CD357" s="141"/>
      <c r="CE357" s="141"/>
      <c r="CF357" s="141"/>
      <c r="CG357" s="141"/>
      <c r="CH357" s="141"/>
      <c r="CI357" s="141"/>
      <c r="CJ357" s="141"/>
      <c r="CK357" s="141"/>
      <c r="CL357" s="141"/>
    </row>
    <row r="358" spans="74:90" ht="15" customHeight="1" x14ac:dyDescent="0.35">
      <c r="BV358" s="140"/>
      <c r="BY358" s="141"/>
      <c r="BZ358" s="141"/>
      <c r="CA358" s="141"/>
      <c r="CB358" s="141"/>
      <c r="CC358" s="141"/>
      <c r="CD358" s="141"/>
      <c r="CE358" s="141"/>
      <c r="CF358" s="141"/>
      <c r="CG358" s="141"/>
      <c r="CH358" s="141"/>
      <c r="CI358" s="141"/>
      <c r="CJ358" s="141"/>
      <c r="CK358" s="141"/>
      <c r="CL358" s="141"/>
    </row>
    <row r="359" spans="74:90" ht="15" customHeight="1" x14ac:dyDescent="0.35">
      <c r="BV359" s="140"/>
      <c r="BY359" s="141"/>
      <c r="BZ359" s="141"/>
      <c r="CA359" s="141"/>
      <c r="CB359" s="141"/>
      <c r="CC359" s="141"/>
      <c r="CD359" s="141"/>
      <c r="CE359" s="141"/>
      <c r="CF359" s="141"/>
      <c r="CG359" s="141"/>
      <c r="CH359" s="141"/>
      <c r="CI359" s="141"/>
      <c r="CJ359" s="141"/>
      <c r="CK359" s="141"/>
      <c r="CL359" s="141"/>
    </row>
    <row r="360" spans="74:90" ht="15" customHeight="1" x14ac:dyDescent="0.35">
      <c r="BV360" s="140"/>
      <c r="BY360" s="141"/>
      <c r="BZ360" s="141"/>
      <c r="CA360" s="141"/>
      <c r="CB360" s="141"/>
      <c r="CC360" s="141"/>
      <c r="CD360" s="141"/>
      <c r="CE360" s="141"/>
      <c r="CF360" s="141"/>
      <c r="CG360" s="141"/>
      <c r="CH360" s="141"/>
      <c r="CI360" s="141"/>
      <c r="CJ360" s="141"/>
      <c r="CK360" s="141"/>
      <c r="CL360" s="141"/>
    </row>
    <row r="361" spans="74:90" ht="15" customHeight="1" x14ac:dyDescent="0.35">
      <c r="BV361" s="140"/>
      <c r="BY361" s="141"/>
      <c r="BZ361" s="141"/>
      <c r="CA361" s="141"/>
      <c r="CB361" s="141"/>
      <c r="CC361" s="141"/>
      <c r="CD361" s="141"/>
      <c r="CE361" s="141"/>
      <c r="CF361" s="141"/>
      <c r="CG361" s="141"/>
      <c r="CH361" s="141"/>
      <c r="CI361" s="141"/>
      <c r="CJ361" s="141"/>
      <c r="CK361" s="141"/>
      <c r="CL361" s="141"/>
    </row>
    <row r="362" spans="74:90" ht="15" customHeight="1" x14ac:dyDescent="0.35">
      <c r="BV362" s="140"/>
      <c r="BY362" s="141"/>
      <c r="BZ362" s="141"/>
      <c r="CA362" s="141"/>
      <c r="CB362" s="141"/>
      <c r="CC362" s="141"/>
      <c r="CD362" s="141"/>
      <c r="CE362" s="141"/>
      <c r="CF362" s="141"/>
      <c r="CG362" s="141"/>
      <c r="CH362" s="141"/>
      <c r="CI362" s="141"/>
      <c r="CJ362" s="141"/>
      <c r="CK362" s="141"/>
      <c r="CL362" s="141"/>
    </row>
    <row r="363" spans="74:90" ht="15" customHeight="1" x14ac:dyDescent="0.35">
      <c r="BV363" s="140"/>
      <c r="BY363" s="141"/>
      <c r="BZ363" s="141"/>
      <c r="CA363" s="141"/>
      <c r="CB363" s="141"/>
      <c r="CC363" s="141"/>
      <c r="CD363" s="141"/>
      <c r="CE363" s="141"/>
      <c r="CF363" s="141"/>
      <c r="CG363" s="141"/>
      <c r="CH363" s="141"/>
      <c r="CI363" s="141"/>
      <c r="CJ363" s="141"/>
      <c r="CK363" s="141"/>
      <c r="CL363" s="141"/>
    </row>
    <row r="364" spans="74:90" ht="15" customHeight="1" x14ac:dyDescent="0.35">
      <c r="BV364" s="140"/>
      <c r="BY364" s="141"/>
      <c r="BZ364" s="141"/>
      <c r="CA364" s="141"/>
      <c r="CB364" s="141"/>
      <c r="CC364" s="141"/>
      <c r="CD364" s="141"/>
      <c r="CE364" s="141"/>
      <c r="CF364" s="141"/>
      <c r="CG364" s="141"/>
      <c r="CH364" s="141"/>
      <c r="CI364" s="141"/>
      <c r="CJ364" s="141"/>
      <c r="CK364" s="141"/>
      <c r="CL364" s="141"/>
    </row>
    <row r="365" spans="74:90" ht="15" customHeight="1" x14ac:dyDescent="0.35">
      <c r="BV365" s="140"/>
      <c r="BY365" s="141"/>
      <c r="BZ365" s="141"/>
      <c r="CA365" s="141"/>
      <c r="CB365" s="141"/>
      <c r="CC365" s="141"/>
      <c r="CD365" s="141"/>
      <c r="CE365" s="141"/>
      <c r="CF365" s="141"/>
      <c r="CG365" s="141"/>
      <c r="CH365" s="141"/>
      <c r="CI365" s="141"/>
      <c r="CJ365" s="141"/>
      <c r="CK365" s="141"/>
      <c r="CL365" s="141"/>
    </row>
    <row r="366" spans="74:90" ht="15" customHeight="1" x14ac:dyDescent="0.35">
      <c r="BV366" s="140"/>
      <c r="BY366" s="141"/>
      <c r="BZ366" s="141"/>
      <c r="CA366" s="141"/>
      <c r="CB366" s="141"/>
      <c r="CC366" s="141"/>
      <c r="CD366" s="141"/>
      <c r="CE366" s="141"/>
      <c r="CF366" s="141"/>
      <c r="CG366" s="141"/>
      <c r="CH366" s="141"/>
      <c r="CI366" s="141"/>
      <c r="CJ366" s="141"/>
      <c r="CK366" s="141"/>
      <c r="CL366" s="141"/>
    </row>
    <row r="367" spans="74:90" ht="15" customHeight="1" x14ac:dyDescent="0.35">
      <c r="BV367" s="140"/>
      <c r="BY367" s="141"/>
      <c r="BZ367" s="141"/>
      <c r="CA367" s="141"/>
      <c r="CB367" s="141"/>
      <c r="CC367" s="141"/>
      <c r="CD367" s="141"/>
      <c r="CE367" s="141"/>
      <c r="CF367" s="141"/>
      <c r="CG367" s="141"/>
      <c r="CH367" s="141"/>
      <c r="CI367" s="141"/>
      <c r="CJ367" s="141"/>
      <c r="CK367" s="141"/>
      <c r="CL367" s="141"/>
    </row>
    <row r="368" spans="74:90" ht="15" customHeight="1" x14ac:dyDescent="0.35">
      <c r="BV368" s="140"/>
      <c r="BY368" s="141"/>
      <c r="BZ368" s="141"/>
      <c r="CA368" s="141"/>
      <c r="CB368" s="141"/>
      <c r="CC368" s="141"/>
      <c r="CD368" s="141"/>
      <c r="CE368" s="141"/>
      <c r="CF368" s="141"/>
      <c r="CG368" s="141"/>
      <c r="CH368" s="141"/>
      <c r="CI368" s="141"/>
      <c r="CJ368" s="141"/>
      <c r="CK368" s="141"/>
      <c r="CL368" s="141"/>
    </row>
    <row r="369" spans="74:90" ht="15" customHeight="1" x14ac:dyDescent="0.35">
      <c r="BV369" s="140"/>
      <c r="BY369" s="141"/>
      <c r="BZ369" s="141"/>
      <c r="CA369" s="141"/>
      <c r="CB369" s="141"/>
      <c r="CC369" s="141"/>
      <c r="CD369" s="141"/>
      <c r="CE369" s="141"/>
      <c r="CF369" s="141"/>
      <c r="CG369" s="141"/>
      <c r="CH369" s="141"/>
      <c r="CI369" s="141"/>
      <c r="CJ369" s="141"/>
      <c r="CK369" s="141"/>
      <c r="CL369" s="141"/>
    </row>
    <row r="370" spans="74:90" ht="15" customHeight="1" x14ac:dyDescent="0.35">
      <c r="BV370" s="140"/>
      <c r="BY370" s="141"/>
      <c r="BZ370" s="141"/>
      <c r="CA370" s="141"/>
      <c r="CB370" s="141"/>
      <c r="CC370" s="141"/>
      <c r="CD370" s="141"/>
      <c r="CE370" s="141"/>
      <c r="CF370" s="141"/>
      <c r="CG370" s="141"/>
      <c r="CH370" s="141"/>
      <c r="CI370" s="141"/>
      <c r="CJ370" s="141"/>
      <c r="CK370" s="141"/>
      <c r="CL370" s="141"/>
    </row>
    <row r="371" spans="74:90" ht="15" customHeight="1" x14ac:dyDescent="0.35">
      <c r="BV371" s="140"/>
      <c r="BY371" s="141"/>
      <c r="BZ371" s="141"/>
      <c r="CA371" s="141"/>
      <c r="CB371" s="141"/>
      <c r="CC371" s="141"/>
      <c r="CD371" s="141"/>
      <c r="CE371" s="141"/>
      <c r="CF371" s="141"/>
      <c r="CG371" s="141"/>
      <c r="CH371" s="141"/>
      <c r="CI371" s="141"/>
      <c r="CJ371" s="141"/>
      <c r="CK371" s="141"/>
      <c r="CL371" s="141"/>
    </row>
    <row r="372" spans="74:90" ht="15" customHeight="1" x14ac:dyDescent="0.35">
      <c r="BV372" s="140"/>
      <c r="BY372" s="141"/>
      <c r="BZ372" s="141"/>
      <c r="CA372" s="141"/>
      <c r="CB372" s="141"/>
      <c r="CC372" s="141"/>
      <c r="CD372" s="141"/>
      <c r="CE372" s="141"/>
      <c r="CF372" s="141"/>
      <c r="CG372" s="141"/>
      <c r="CH372" s="141"/>
      <c r="CI372" s="141"/>
      <c r="CJ372" s="141"/>
      <c r="CK372" s="141"/>
      <c r="CL372" s="141"/>
    </row>
    <row r="373" spans="74:90" ht="15" customHeight="1" x14ac:dyDescent="0.35">
      <c r="BV373" s="140"/>
      <c r="BY373" s="141"/>
      <c r="BZ373" s="141"/>
      <c r="CA373" s="141"/>
      <c r="CB373" s="141"/>
      <c r="CC373" s="141"/>
      <c r="CD373" s="141"/>
      <c r="CE373" s="141"/>
      <c r="CF373" s="141"/>
      <c r="CG373" s="141"/>
      <c r="CH373" s="141"/>
      <c r="CI373" s="141"/>
      <c r="CJ373" s="141"/>
      <c r="CK373" s="141"/>
      <c r="CL373" s="141"/>
    </row>
    <row r="374" spans="74:90" ht="15" customHeight="1" x14ac:dyDescent="0.35">
      <c r="BV374" s="140"/>
      <c r="BY374" s="141"/>
      <c r="BZ374" s="141"/>
      <c r="CA374" s="141"/>
      <c r="CB374" s="141"/>
      <c r="CC374" s="141"/>
      <c r="CD374" s="141"/>
      <c r="CE374" s="141"/>
      <c r="CF374" s="141"/>
      <c r="CG374" s="141"/>
      <c r="CH374" s="141"/>
      <c r="CI374" s="141"/>
      <c r="CJ374" s="141"/>
      <c r="CK374" s="141"/>
      <c r="CL374" s="141"/>
    </row>
    <row r="375" spans="74:90" ht="15" customHeight="1" x14ac:dyDescent="0.35">
      <c r="BV375" s="140"/>
      <c r="BY375" s="141"/>
      <c r="BZ375" s="141"/>
      <c r="CA375" s="141"/>
      <c r="CB375" s="141"/>
      <c r="CC375" s="141"/>
      <c r="CD375" s="141"/>
      <c r="CE375" s="141"/>
      <c r="CF375" s="141"/>
      <c r="CG375" s="141"/>
      <c r="CH375" s="141"/>
      <c r="CI375" s="141"/>
      <c r="CJ375" s="141"/>
      <c r="CK375" s="141"/>
      <c r="CL375" s="141"/>
    </row>
    <row r="376" spans="74:90" ht="15" customHeight="1" x14ac:dyDescent="0.35">
      <c r="BV376" s="140"/>
      <c r="BY376" s="141"/>
      <c r="BZ376" s="141"/>
      <c r="CA376" s="141"/>
      <c r="CB376" s="141"/>
      <c r="CC376" s="141"/>
      <c r="CD376" s="141"/>
      <c r="CE376" s="141"/>
      <c r="CF376" s="141"/>
      <c r="CG376" s="141"/>
      <c r="CH376" s="141"/>
      <c r="CI376" s="141"/>
      <c r="CJ376" s="141"/>
      <c r="CK376" s="141"/>
      <c r="CL376" s="141"/>
    </row>
    <row r="377" spans="74:90" ht="15" customHeight="1" x14ac:dyDescent="0.35">
      <c r="BV377" s="140"/>
      <c r="BY377" s="141"/>
      <c r="BZ377" s="141"/>
      <c r="CA377" s="141"/>
      <c r="CB377" s="141"/>
      <c r="CC377" s="141"/>
      <c r="CD377" s="141"/>
      <c r="CE377" s="141"/>
      <c r="CF377" s="141"/>
      <c r="CG377" s="141"/>
      <c r="CH377" s="141"/>
      <c r="CI377" s="141"/>
      <c r="CJ377" s="141"/>
      <c r="CK377" s="141"/>
      <c r="CL377" s="141"/>
    </row>
    <row r="378" spans="74:90" ht="15" customHeight="1" x14ac:dyDescent="0.35">
      <c r="BV378" s="140"/>
      <c r="BY378" s="141"/>
      <c r="BZ378" s="141"/>
      <c r="CA378" s="141"/>
      <c r="CB378" s="141"/>
      <c r="CC378" s="141"/>
      <c r="CD378" s="141"/>
      <c r="CE378" s="141"/>
      <c r="CF378" s="141"/>
      <c r="CG378" s="141"/>
      <c r="CH378" s="141"/>
      <c r="CI378" s="141"/>
      <c r="CJ378" s="141"/>
      <c r="CK378" s="141"/>
      <c r="CL378" s="141"/>
    </row>
    <row r="379" spans="74:90" ht="15" customHeight="1" x14ac:dyDescent="0.35">
      <c r="BV379" s="140"/>
      <c r="BY379" s="141"/>
      <c r="BZ379" s="141"/>
      <c r="CA379" s="141"/>
      <c r="CB379" s="141"/>
      <c r="CC379" s="141"/>
      <c r="CD379" s="141"/>
      <c r="CE379" s="141"/>
      <c r="CF379" s="141"/>
      <c r="CG379" s="141"/>
      <c r="CH379" s="141"/>
      <c r="CI379" s="141"/>
      <c r="CJ379" s="141"/>
      <c r="CK379" s="141"/>
      <c r="CL379" s="141"/>
    </row>
    <row r="380" spans="74:90" ht="15" customHeight="1" x14ac:dyDescent="0.35">
      <c r="BV380" s="140"/>
      <c r="BY380" s="141"/>
      <c r="BZ380" s="141"/>
      <c r="CA380" s="141"/>
      <c r="CB380" s="141"/>
      <c r="CC380" s="141"/>
      <c r="CD380" s="141"/>
      <c r="CE380" s="141"/>
      <c r="CF380" s="141"/>
      <c r="CG380" s="141"/>
      <c r="CH380" s="141"/>
      <c r="CI380" s="141"/>
      <c r="CJ380" s="141"/>
      <c r="CK380" s="141"/>
      <c r="CL380" s="141"/>
    </row>
    <row r="381" spans="74:90" ht="15" customHeight="1" x14ac:dyDescent="0.35">
      <c r="BV381" s="140"/>
      <c r="BY381" s="141"/>
      <c r="BZ381" s="141"/>
      <c r="CA381" s="141"/>
      <c r="CB381" s="141"/>
      <c r="CC381" s="141"/>
      <c r="CD381" s="141"/>
      <c r="CE381" s="141"/>
      <c r="CF381" s="141"/>
      <c r="CG381" s="141"/>
      <c r="CH381" s="141"/>
      <c r="CI381" s="141"/>
      <c r="CJ381" s="141"/>
      <c r="CK381" s="141"/>
      <c r="CL381" s="141"/>
    </row>
    <row r="382" spans="74:90" ht="15" customHeight="1" x14ac:dyDescent="0.35">
      <c r="BV382" s="140"/>
      <c r="BY382" s="141"/>
      <c r="BZ382" s="141"/>
      <c r="CA382" s="141"/>
      <c r="CB382" s="141"/>
      <c r="CC382" s="141"/>
      <c r="CD382" s="141"/>
      <c r="CE382" s="141"/>
      <c r="CF382" s="141"/>
      <c r="CG382" s="141"/>
      <c r="CH382" s="141"/>
      <c r="CI382" s="141"/>
      <c r="CJ382" s="141"/>
      <c r="CK382" s="141"/>
      <c r="CL382" s="141"/>
    </row>
    <row r="383" spans="74:90" ht="15" customHeight="1" x14ac:dyDescent="0.35">
      <c r="BV383" s="140"/>
      <c r="BY383" s="141"/>
      <c r="BZ383" s="141"/>
      <c r="CA383" s="141"/>
      <c r="CB383" s="141"/>
      <c r="CC383" s="141"/>
      <c r="CD383" s="141"/>
      <c r="CE383" s="141"/>
      <c r="CF383" s="141"/>
      <c r="CG383" s="141"/>
      <c r="CH383" s="141"/>
      <c r="CI383" s="141"/>
      <c r="CJ383" s="141"/>
      <c r="CK383" s="141"/>
      <c r="CL383" s="141"/>
    </row>
    <row r="384" spans="74:90" ht="15" customHeight="1" x14ac:dyDescent="0.35">
      <c r="BV384" s="140"/>
      <c r="BY384" s="141"/>
      <c r="BZ384" s="141"/>
      <c r="CA384" s="141"/>
      <c r="CB384" s="141"/>
      <c r="CC384" s="141"/>
      <c r="CD384" s="141"/>
      <c r="CE384" s="141"/>
      <c r="CF384" s="141"/>
      <c r="CG384" s="141"/>
      <c r="CH384" s="141"/>
      <c r="CI384" s="141"/>
      <c r="CJ384" s="141"/>
      <c r="CK384" s="141"/>
      <c r="CL384" s="141"/>
    </row>
    <row r="385" spans="74:90" ht="15" customHeight="1" x14ac:dyDescent="0.35">
      <c r="BV385" s="140"/>
      <c r="BY385" s="141"/>
      <c r="BZ385" s="141"/>
      <c r="CA385" s="141"/>
      <c r="CB385" s="141"/>
      <c r="CC385" s="141"/>
      <c r="CD385" s="141"/>
      <c r="CE385" s="141"/>
      <c r="CF385" s="141"/>
      <c r="CG385" s="141"/>
      <c r="CH385" s="141"/>
      <c r="CI385" s="141"/>
      <c r="CJ385" s="141"/>
      <c r="CK385" s="141"/>
      <c r="CL385" s="141"/>
    </row>
    <row r="386" spans="74:90" ht="15" customHeight="1" x14ac:dyDescent="0.35">
      <c r="BV386" s="140"/>
      <c r="BY386" s="141"/>
      <c r="BZ386" s="141"/>
      <c r="CA386" s="141"/>
      <c r="CB386" s="141"/>
      <c r="CC386" s="141"/>
      <c r="CD386" s="141"/>
      <c r="CE386" s="141"/>
      <c r="CF386" s="141"/>
      <c r="CG386" s="141"/>
      <c r="CH386" s="141"/>
      <c r="CI386" s="141"/>
      <c r="CJ386" s="141"/>
      <c r="CK386" s="141"/>
      <c r="CL386" s="141"/>
    </row>
    <row r="387" spans="74:90" ht="15" customHeight="1" x14ac:dyDescent="0.35">
      <c r="BV387" s="140"/>
      <c r="BY387" s="141"/>
      <c r="BZ387" s="141"/>
      <c r="CA387" s="141"/>
      <c r="CB387" s="141"/>
      <c r="CC387" s="141"/>
      <c r="CD387" s="141"/>
      <c r="CE387" s="141"/>
      <c r="CF387" s="141"/>
      <c r="CG387" s="141"/>
      <c r="CH387" s="141"/>
      <c r="CI387" s="141"/>
      <c r="CJ387" s="141"/>
      <c r="CK387" s="141"/>
      <c r="CL387" s="141"/>
    </row>
    <row r="388" spans="74:90" ht="15" customHeight="1" x14ac:dyDescent="0.35">
      <c r="BV388" s="140"/>
      <c r="BY388" s="141"/>
      <c r="BZ388" s="141"/>
      <c r="CA388" s="141"/>
      <c r="CB388" s="141"/>
      <c r="CC388" s="141"/>
      <c r="CD388" s="141"/>
      <c r="CE388" s="141"/>
      <c r="CF388" s="141"/>
      <c r="CG388" s="141"/>
      <c r="CH388" s="141"/>
      <c r="CI388" s="141"/>
      <c r="CJ388" s="141"/>
      <c r="CK388" s="141"/>
      <c r="CL388" s="141"/>
    </row>
    <row r="389" spans="74:90" ht="15" customHeight="1" x14ac:dyDescent="0.35">
      <c r="BV389" s="140"/>
      <c r="BY389" s="141"/>
      <c r="BZ389" s="141"/>
      <c r="CA389" s="141"/>
      <c r="CB389" s="141"/>
      <c r="CC389" s="141"/>
      <c r="CD389" s="141"/>
      <c r="CE389" s="141"/>
      <c r="CF389" s="141"/>
      <c r="CG389" s="141"/>
      <c r="CH389" s="141"/>
      <c r="CI389" s="141"/>
      <c r="CJ389" s="141"/>
      <c r="CK389" s="141"/>
      <c r="CL389" s="141"/>
    </row>
    <row r="390" spans="74:90" ht="15" customHeight="1" x14ac:dyDescent="0.35">
      <c r="BV390" s="140"/>
      <c r="BY390" s="141"/>
      <c r="BZ390" s="141"/>
      <c r="CA390" s="141"/>
      <c r="CB390" s="141"/>
      <c r="CC390" s="141"/>
      <c r="CD390" s="141"/>
      <c r="CE390" s="141"/>
      <c r="CF390" s="141"/>
      <c r="CG390" s="141"/>
      <c r="CH390" s="141"/>
      <c r="CI390" s="141"/>
      <c r="CJ390" s="141"/>
      <c r="CK390" s="141"/>
      <c r="CL390" s="141"/>
    </row>
    <row r="391" spans="74:90" ht="15" customHeight="1" x14ac:dyDescent="0.35">
      <c r="BV391" s="140"/>
      <c r="BY391" s="141"/>
      <c r="BZ391" s="141"/>
      <c r="CA391" s="141"/>
      <c r="CB391" s="141"/>
      <c r="CC391" s="141"/>
      <c r="CD391" s="141"/>
      <c r="CE391" s="141"/>
      <c r="CF391" s="141"/>
      <c r="CG391" s="141"/>
      <c r="CH391" s="141"/>
      <c r="CI391" s="141"/>
      <c r="CJ391" s="141"/>
      <c r="CK391" s="141"/>
      <c r="CL391" s="141"/>
    </row>
    <row r="392" spans="74:90" ht="15" customHeight="1" x14ac:dyDescent="0.35">
      <c r="BV392" s="140"/>
      <c r="BY392" s="141"/>
      <c r="BZ392" s="141"/>
      <c r="CA392" s="141"/>
      <c r="CB392" s="141"/>
      <c r="CC392" s="141"/>
      <c r="CD392" s="141"/>
      <c r="CE392" s="141"/>
      <c r="CF392" s="141"/>
      <c r="CG392" s="141"/>
      <c r="CH392" s="141"/>
      <c r="CI392" s="141"/>
      <c r="CJ392" s="141"/>
      <c r="CK392" s="141"/>
      <c r="CL392" s="141"/>
    </row>
    <row r="393" spans="74:90" ht="15" customHeight="1" x14ac:dyDescent="0.35">
      <c r="BV393" s="140"/>
      <c r="BY393" s="141"/>
      <c r="BZ393" s="141"/>
      <c r="CA393" s="141"/>
      <c r="CB393" s="141"/>
      <c r="CC393" s="141"/>
      <c r="CD393" s="141"/>
      <c r="CE393" s="141"/>
      <c r="CF393" s="141"/>
      <c r="CG393" s="141"/>
      <c r="CH393" s="141"/>
      <c r="CI393" s="141"/>
      <c r="CJ393" s="141"/>
      <c r="CK393" s="141"/>
      <c r="CL393" s="141"/>
    </row>
    <row r="394" spans="74:90" ht="15" customHeight="1" x14ac:dyDescent="0.35">
      <c r="BV394" s="140"/>
      <c r="BY394" s="141"/>
      <c r="BZ394" s="141"/>
      <c r="CA394" s="141"/>
      <c r="CB394" s="141"/>
      <c r="CC394" s="141"/>
      <c r="CD394" s="141"/>
      <c r="CE394" s="141"/>
      <c r="CF394" s="141"/>
      <c r="CG394" s="141"/>
      <c r="CH394" s="141"/>
      <c r="CI394" s="141"/>
      <c r="CJ394" s="141"/>
      <c r="CK394" s="141"/>
      <c r="CL394" s="141"/>
    </row>
    <row r="395" spans="74:90" ht="15" customHeight="1" x14ac:dyDescent="0.35">
      <c r="BV395" s="140"/>
      <c r="BY395" s="141"/>
      <c r="BZ395" s="141"/>
      <c r="CA395" s="141"/>
      <c r="CB395" s="141"/>
      <c r="CC395" s="141"/>
      <c r="CD395" s="141"/>
      <c r="CE395" s="141"/>
      <c r="CF395" s="141"/>
      <c r="CG395" s="141"/>
      <c r="CH395" s="141"/>
      <c r="CI395" s="141"/>
      <c r="CJ395" s="141"/>
      <c r="CK395" s="141"/>
      <c r="CL395" s="141"/>
    </row>
    <row r="396" spans="74:90" ht="15" customHeight="1" x14ac:dyDescent="0.35">
      <c r="BV396" s="140"/>
      <c r="BY396" s="141"/>
      <c r="BZ396" s="141"/>
      <c r="CA396" s="141"/>
      <c r="CB396" s="141"/>
      <c r="CC396" s="141"/>
      <c r="CD396" s="141"/>
      <c r="CE396" s="141"/>
      <c r="CF396" s="141"/>
      <c r="CG396" s="141"/>
      <c r="CH396" s="141"/>
      <c r="CI396" s="141"/>
      <c r="CJ396" s="141"/>
      <c r="CK396" s="141"/>
      <c r="CL396" s="141"/>
    </row>
    <row r="397" spans="74:90" ht="15" customHeight="1" x14ac:dyDescent="0.35">
      <c r="BV397" s="140"/>
      <c r="BY397" s="141"/>
      <c r="BZ397" s="141"/>
      <c r="CA397" s="141"/>
      <c r="CB397" s="141"/>
      <c r="CC397" s="141"/>
      <c r="CD397" s="141"/>
      <c r="CE397" s="141"/>
      <c r="CF397" s="141"/>
      <c r="CG397" s="141"/>
      <c r="CH397" s="141"/>
      <c r="CI397" s="141"/>
      <c r="CJ397" s="141"/>
      <c r="CK397" s="141"/>
      <c r="CL397" s="141"/>
    </row>
    <row r="398" spans="74:90" ht="15" customHeight="1" x14ac:dyDescent="0.35">
      <c r="BV398" s="140"/>
      <c r="BY398" s="141"/>
      <c r="BZ398" s="141"/>
      <c r="CA398" s="141"/>
      <c r="CB398" s="141"/>
      <c r="CC398" s="141"/>
      <c r="CD398" s="141"/>
      <c r="CE398" s="141"/>
      <c r="CF398" s="141"/>
      <c r="CG398" s="141"/>
      <c r="CH398" s="141"/>
      <c r="CI398" s="141"/>
      <c r="CJ398" s="141"/>
      <c r="CK398" s="141"/>
      <c r="CL398" s="141"/>
    </row>
    <row r="399" spans="74:90" ht="15" customHeight="1" x14ac:dyDescent="0.35">
      <c r="BV399" s="140"/>
      <c r="BY399" s="141"/>
      <c r="BZ399" s="141"/>
      <c r="CA399" s="141"/>
      <c r="CB399" s="141"/>
      <c r="CC399" s="141"/>
      <c r="CD399" s="141"/>
      <c r="CE399" s="141"/>
      <c r="CF399" s="141"/>
      <c r="CG399" s="141"/>
      <c r="CH399" s="141"/>
      <c r="CI399" s="141"/>
      <c r="CJ399" s="141"/>
      <c r="CK399" s="141"/>
      <c r="CL399" s="141"/>
    </row>
    <row r="400" spans="74:90" ht="15" customHeight="1" x14ac:dyDescent="0.35">
      <c r="BV400" s="140"/>
      <c r="BY400" s="141"/>
      <c r="BZ400" s="141"/>
      <c r="CA400" s="141"/>
      <c r="CB400" s="141"/>
      <c r="CC400" s="141"/>
      <c r="CD400" s="141"/>
      <c r="CE400" s="141"/>
      <c r="CF400" s="141"/>
      <c r="CG400" s="141"/>
      <c r="CH400" s="141"/>
      <c r="CI400" s="141"/>
      <c r="CJ400" s="141"/>
      <c r="CK400" s="141"/>
      <c r="CL400" s="141"/>
    </row>
    <row r="401" spans="74:90" ht="15" customHeight="1" x14ac:dyDescent="0.35">
      <c r="BV401" s="140"/>
      <c r="BY401" s="141"/>
      <c r="BZ401" s="141"/>
      <c r="CA401" s="141"/>
      <c r="CB401" s="141"/>
      <c r="CC401" s="141"/>
      <c r="CD401" s="141"/>
      <c r="CE401" s="141"/>
      <c r="CF401" s="141"/>
      <c r="CG401" s="141"/>
      <c r="CH401" s="141"/>
      <c r="CI401" s="141"/>
      <c r="CJ401" s="141"/>
      <c r="CK401" s="141"/>
      <c r="CL401" s="141"/>
    </row>
    <row r="402" spans="74:90" ht="15" customHeight="1" x14ac:dyDescent="0.35">
      <c r="BV402" s="140"/>
      <c r="BY402" s="141"/>
      <c r="BZ402" s="141"/>
      <c r="CA402" s="141"/>
      <c r="CB402" s="141"/>
      <c r="CC402" s="141"/>
      <c r="CD402" s="141"/>
      <c r="CE402" s="141"/>
      <c r="CF402" s="141"/>
      <c r="CG402" s="141"/>
      <c r="CH402" s="141"/>
      <c r="CI402" s="141"/>
      <c r="CJ402" s="141"/>
      <c r="CK402" s="141"/>
      <c r="CL402" s="141"/>
    </row>
    <row r="403" spans="74:90" ht="15" customHeight="1" x14ac:dyDescent="0.35">
      <c r="BV403" s="140"/>
      <c r="BY403" s="141"/>
      <c r="BZ403" s="141"/>
      <c r="CA403" s="141"/>
      <c r="CB403" s="141"/>
      <c r="CC403" s="141"/>
      <c r="CD403" s="141"/>
      <c r="CE403" s="141"/>
      <c r="CF403" s="141"/>
      <c r="CG403" s="141"/>
      <c r="CH403" s="141"/>
      <c r="CI403" s="141"/>
      <c r="CJ403" s="141"/>
      <c r="CK403" s="141"/>
      <c r="CL403" s="141"/>
    </row>
    <row r="404" spans="74:90" ht="15" customHeight="1" x14ac:dyDescent="0.35">
      <c r="BV404" s="140"/>
      <c r="BY404" s="141"/>
      <c r="BZ404" s="141"/>
      <c r="CA404" s="141"/>
      <c r="CB404" s="141"/>
      <c r="CC404" s="141"/>
      <c r="CD404" s="141"/>
      <c r="CE404" s="141"/>
      <c r="CF404" s="141"/>
      <c r="CG404" s="141"/>
      <c r="CH404" s="141"/>
      <c r="CI404" s="141"/>
      <c r="CJ404" s="141"/>
      <c r="CK404" s="141"/>
      <c r="CL404" s="141"/>
    </row>
    <row r="405" spans="74:90" ht="15" customHeight="1" x14ac:dyDescent="0.35">
      <c r="BV405" s="140"/>
      <c r="BY405" s="141"/>
      <c r="BZ405" s="141"/>
      <c r="CA405" s="141"/>
      <c r="CB405" s="141"/>
      <c r="CC405" s="141"/>
      <c r="CD405" s="141"/>
      <c r="CE405" s="141"/>
      <c r="CF405" s="141"/>
      <c r="CG405" s="141"/>
      <c r="CH405" s="141"/>
      <c r="CI405" s="141"/>
      <c r="CJ405" s="141"/>
      <c r="CK405" s="141"/>
      <c r="CL405" s="141"/>
    </row>
    <row r="406" spans="74:90" ht="15" customHeight="1" x14ac:dyDescent="0.35">
      <c r="BV406" s="140"/>
      <c r="BY406" s="141"/>
      <c r="BZ406" s="141"/>
      <c r="CA406" s="141"/>
      <c r="CB406" s="141"/>
      <c r="CC406" s="141"/>
      <c r="CD406" s="141"/>
      <c r="CE406" s="141"/>
      <c r="CF406" s="141"/>
      <c r="CG406" s="141"/>
      <c r="CH406" s="141"/>
      <c r="CI406" s="141"/>
      <c r="CJ406" s="141"/>
      <c r="CK406" s="141"/>
      <c r="CL406" s="141"/>
    </row>
    <row r="407" spans="74:90" ht="15" customHeight="1" x14ac:dyDescent="0.35">
      <c r="BV407" s="140"/>
      <c r="BY407" s="141"/>
      <c r="BZ407" s="141"/>
      <c r="CA407" s="141"/>
      <c r="CB407" s="141"/>
      <c r="CC407" s="141"/>
      <c r="CD407" s="141"/>
      <c r="CE407" s="141"/>
      <c r="CF407" s="141"/>
      <c r="CG407" s="141"/>
      <c r="CH407" s="141"/>
      <c r="CI407" s="141"/>
      <c r="CJ407" s="141"/>
      <c r="CK407" s="141"/>
      <c r="CL407" s="141"/>
    </row>
    <row r="408" spans="74:90" ht="15" customHeight="1" x14ac:dyDescent="0.35">
      <c r="BV408" s="140"/>
      <c r="BY408" s="141"/>
      <c r="BZ408" s="141"/>
      <c r="CA408" s="141"/>
      <c r="CB408" s="141"/>
      <c r="CC408" s="141"/>
      <c r="CD408" s="141"/>
      <c r="CE408" s="141"/>
      <c r="CF408" s="141"/>
      <c r="CG408" s="141"/>
      <c r="CH408" s="141"/>
      <c r="CI408" s="141"/>
      <c r="CJ408" s="141"/>
      <c r="CK408" s="141"/>
      <c r="CL408" s="141"/>
    </row>
    <row r="409" spans="74:90" ht="15" customHeight="1" x14ac:dyDescent="0.35">
      <c r="BV409" s="140"/>
      <c r="BY409" s="141"/>
      <c r="BZ409" s="141"/>
      <c r="CA409" s="141"/>
      <c r="CB409" s="141"/>
      <c r="CC409" s="141"/>
      <c r="CD409" s="141"/>
      <c r="CE409" s="141"/>
      <c r="CF409" s="141"/>
      <c r="CG409" s="141"/>
      <c r="CH409" s="141"/>
      <c r="CI409" s="141"/>
      <c r="CJ409" s="141"/>
      <c r="CK409" s="141"/>
      <c r="CL409" s="141"/>
    </row>
    <row r="410" spans="74:90" ht="15" customHeight="1" x14ac:dyDescent="0.35">
      <c r="BV410" s="140"/>
      <c r="BY410" s="141"/>
      <c r="BZ410" s="141"/>
      <c r="CA410" s="141"/>
      <c r="CB410" s="141"/>
      <c r="CC410" s="141"/>
      <c r="CD410" s="141"/>
      <c r="CE410" s="141"/>
      <c r="CF410" s="141"/>
      <c r="CG410" s="141"/>
      <c r="CH410" s="141"/>
      <c r="CI410" s="141"/>
      <c r="CJ410" s="141"/>
      <c r="CK410" s="141"/>
      <c r="CL410" s="141"/>
    </row>
    <row r="411" spans="74:90" ht="15" customHeight="1" x14ac:dyDescent="0.35">
      <c r="BV411" s="140"/>
      <c r="BY411" s="141"/>
      <c r="BZ411" s="141"/>
      <c r="CA411" s="141"/>
      <c r="CB411" s="141"/>
      <c r="CC411" s="141"/>
      <c r="CD411" s="141"/>
      <c r="CE411" s="141"/>
      <c r="CF411" s="141"/>
      <c r="CG411" s="141"/>
      <c r="CH411" s="141"/>
      <c r="CI411" s="141"/>
      <c r="CJ411" s="141"/>
      <c r="CK411" s="141"/>
      <c r="CL411" s="141"/>
    </row>
    <row r="412" spans="74:90" ht="15" customHeight="1" x14ac:dyDescent="0.35">
      <c r="BV412" s="140"/>
      <c r="BY412" s="141"/>
      <c r="BZ412" s="141"/>
      <c r="CA412" s="141"/>
      <c r="CB412" s="141"/>
      <c r="CC412" s="141"/>
      <c r="CD412" s="141"/>
      <c r="CE412" s="141"/>
      <c r="CF412" s="141"/>
      <c r="CG412" s="141"/>
      <c r="CH412" s="141"/>
      <c r="CI412" s="141"/>
      <c r="CJ412" s="141"/>
      <c r="CK412" s="141"/>
      <c r="CL412" s="141"/>
    </row>
    <row r="413" spans="74:90" ht="15" customHeight="1" x14ac:dyDescent="0.35">
      <c r="BV413" s="140"/>
      <c r="BY413" s="141"/>
      <c r="BZ413" s="141"/>
      <c r="CA413" s="141"/>
      <c r="CB413" s="141"/>
      <c r="CC413" s="141"/>
      <c r="CD413" s="141"/>
      <c r="CE413" s="141"/>
      <c r="CF413" s="141"/>
      <c r="CG413" s="141"/>
      <c r="CH413" s="141"/>
      <c r="CI413" s="141"/>
      <c r="CJ413" s="141"/>
      <c r="CK413" s="141"/>
      <c r="CL413" s="141"/>
    </row>
    <row r="414" spans="74:90" ht="15" customHeight="1" x14ac:dyDescent="0.35">
      <c r="BV414" s="140"/>
      <c r="BY414" s="141"/>
      <c r="BZ414" s="141"/>
      <c r="CA414" s="141"/>
      <c r="CB414" s="141"/>
      <c r="CC414" s="141"/>
      <c r="CD414" s="141"/>
      <c r="CE414" s="141"/>
      <c r="CF414" s="141"/>
      <c r="CG414" s="141"/>
      <c r="CH414" s="141"/>
      <c r="CI414" s="141"/>
      <c r="CJ414" s="141"/>
      <c r="CK414" s="141"/>
      <c r="CL414" s="141"/>
    </row>
    <row r="415" spans="74:90" ht="15" customHeight="1" x14ac:dyDescent="0.35">
      <c r="BV415" s="140"/>
      <c r="BY415" s="141"/>
      <c r="BZ415" s="141"/>
      <c r="CA415" s="141"/>
      <c r="CB415" s="141"/>
      <c r="CC415" s="141"/>
      <c r="CD415" s="141"/>
      <c r="CE415" s="141"/>
      <c r="CF415" s="141"/>
      <c r="CG415" s="141"/>
      <c r="CH415" s="141"/>
      <c r="CI415" s="141"/>
      <c r="CJ415" s="141"/>
      <c r="CK415" s="141"/>
      <c r="CL415" s="141"/>
    </row>
    <row r="416" spans="74:90" ht="15" customHeight="1" x14ac:dyDescent="0.35">
      <c r="BV416" s="140"/>
      <c r="BY416" s="141"/>
      <c r="BZ416" s="141"/>
      <c r="CA416" s="141"/>
      <c r="CB416" s="141"/>
      <c r="CC416" s="141"/>
      <c r="CD416" s="141"/>
      <c r="CE416" s="141"/>
      <c r="CF416" s="141"/>
      <c r="CG416" s="141"/>
      <c r="CH416" s="141"/>
      <c r="CI416" s="141"/>
      <c r="CJ416" s="141"/>
      <c r="CK416" s="141"/>
      <c r="CL416" s="141"/>
    </row>
    <row r="417" spans="74:90" ht="15" customHeight="1" x14ac:dyDescent="0.35">
      <c r="BV417" s="140"/>
      <c r="BY417" s="141"/>
      <c r="BZ417" s="141"/>
      <c r="CA417" s="141"/>
      <c r="CB417" s="141"/>
      <c r="CC417" s="141"/>
      <c r="CD417" s="141"/>
      <c r="CE417" s="141"/>
      <c r="CF417" s="141"/>
      <c r="CG417" s="141"/>
      <c r="CH417" s="141"/>
      <c r="CI417" s="141"/>
      <c r="CJ417" s="141"/>
      <c r="CK417" s="141"/>
      <c r="CL417" s="141"/>
    </row>
    <row r="418" spans="74:90" ht="15" customHeight="1" x14ac:dyDescent="0.35">
      <c r="BV418" s="140"/>
      <c r="BY418" s="141"/>
      <c r="BZ418" s="141"/>
      <c r="CA418" s="141"/>
      <c r="CB418" s="141"/>
      <c r="CC418" s="141"/>
      <c r="CD418" s="141"/>
      <c r="CE418" s="141"/>
      <c r="CF418" s="141"/>
      <c r="CG418" s="141"/>
      <c r="CH418" s="141"/>
      <c r="CI418" s="141"/>
      <c r="CJ418" s="141"/>
      <c r="CK418" s="141"/>
      <c r="CL418" s="141"/>
    </row>
    <row r="419" spans="74:90" ht="15" customHeight="1" x14ac:dyDescent="0.35">
      <c r="BV419" s="140"/>
      <c r="BY419" s="141"/>
      <c r="BZ419" s="141"/>
      <c r="CA419" s="141"/>
      <c r="CB419" s="141"/>
      <c r="CC419" s="141"/>
      <c r="CD419" s="141"/>
      <c r="CE419" s="141"/>
      <c r="CF419" s="141"/>
      <c r="CG419" s="141"/>
      <c r="CH419" s="141"/>
      <c r="CI419" s="141"/>
      <c r="CJ419" s="141"/>
      <c r="CK419" s="141"/>
      <c r="CL419" s="141"/>
    </row>
    <row r="420" spans="74:90" ht="15" customHeight="1" x14ac:dyDescent="0.35">
      <c r="BV420" s="140"/>
      <c r="BY420" s="141"/>
      <c r="BZ420" s="141"/>
      <c r="CA420" s="141"/>
      <c r="CB420" s="141"/>
      <c r="CC420" s="141"/>
      <c r="CD420" s="141"/>
      <c r="CE420" s="141"/>
      <c r="CF420" s="141"/>
      <c r="CG420" s="141"/>
      <c r="CH420" s="141"/>
      <c r="CI420" s="141"/>
      <c r="CJ420" s="141"/>
      <c r="CK420" s="141"/>
      <c r="CL420" s="141"/>
    </row>
    <row r="421" spans="74:90" ht="15" customHeight="1" x14ac:dyDescent="0.35">
      <c r="BV421" s="140"/>
      <c r="BY421" s="141"/>
      <c r="BZ421" s="141"/>
      <c r="CA421" s="141"/>
      <c r="CB421" s="141"/>
      <c r="CC421" s="141"/>
      <c r="CD421" s="141"/>
      <c r="CE421" s="141"/>
      <c r="CF421" s="141"/>
      <c r="CG421" s="141"/>
      <c r="CH421" s="141"/>
      <c r="CI421" s="141"/>
      <c r="CJ421" s="141"/>
      <c r="CK421" s="141"/>
      <c r="CL421" s="141"/>
    </row>
    <row r="422" spans="74:90" ht="15" customHeight="1" x14ac:dyDescent="0.35">
      <c r="BV422" s="140"/>
      <c r="BY422" s="141"/>
      <c r="BZ422" s="141"/>
      <c r="CA422" s="141"/>
      <c r="CB422" s="141"/>
      <c r="CC422" s="141"/>
      <c r="CD422" s="141"/>
      <c r="CE422" s="141"/>
      <c r="CF422" s="141"/>
      <c r="CG422" s="141"/>
      <c r="CH422" s="141"/>
      <c r="CI422" s="141"/>
      <c r="CJ422" s="141"/>
      <c r="CK422" s="141"/>
      <c r="CL422" s="141"/>
    </row>
    <row r="423" spans="74:90" ht="15" customHeight="1" x14ac:dyDescent="0.35">
      <c r="BV423" s="140"/>
      <c r="BY423" s="141"/>
      <c r="BZ423" s="141"/>
      <c r="CA423" s="141"/>
      <c r="CB423" s="141"/>
      <c r="CC423" s="141"/>
      <c r="CD423" s="141"/>
      <c r="CE423" s="141"/>
      <c r="CF423" s="141"/>
      <c r="CG423" s="141"/>
      <c r="CH423" s="141"/>
      <c r="CI423" s="141"/>
      <c r="CJ423" s="141"/>
      <c r="CK423" s="141"/>
      <c r="CL423" s="141"/>
    </row>
    <row r="424" spans="74:90" ht="15" customHeight="1" x14ac:dyDescent="0.35">
      <c r="BV424" s="140"/>
      <c r="BY424" s="141"/>
      <c r="BZ424" s="141"/>
      <c r="CA424" s="141"/>
      <c r="CB424" s="141"/>
      <c r="CC424" s="141"/>
      <c r="CD424" s="141"/>
      <c r="CE424" s="141"/>
      <c r="CF424" s="141"/>
      <c r="CG424" s="141"/>
      <c r="CH424" s="141"/>
      <c r="CI424" s="141"/>
      <c r="CJ424" s="141"/>
      <c r="CK424" s="141"/>
      <c r="CL424" s="141"/>
    </row>
    <row r="425" spans="74:90" ht="15" customHeight="1" x14ac:dyDescent="0.35">
      <c r="BV425" s="140"/>
      <c r="BY425" s="141"/>
      <c r="BZ425" s="141"/>
      <c r="CA425" s="141"/>
      <c r="CB425" s="141"/>
      <c r="CC425" s="141"/>
      <c r="CD425" s="141"/>
      <c r="CE425" s="141"/>
      <c r="CF425" s="141"/>
      <c r="CG425" s="141"/>
      <c r="CH425" s="141"/>
      <c r="CI425" s="141"/>
      <c r="CJ425" s="141"/>
      <c r="CK425" s="141"/>
      <c r="CL425" s="141"/>
    </row>
    <row r="426" spans="74:90" ht="15" customHeight="1" x14ac:dyDescent="0.35">
      <c r="BV426" s="140"/>
      <c r="BY426" s="141"/>
      <c r="BZ426" s="141"/>
      <c r="CA426" s="141"/>
      <c r="CB426" s="141"/>
      <c r="CC426" s="141"/>
      <c r="CD426" s="141"/>
      <c r="CE426" s="141"/>
      <c r="CF426" s="141"/>
      <c r="CG426" s="141"/>
      <c r="CH426" s="141"/>
      <c r="CI426" s="141"/>
      <c r="CJ426" s="141"/>
      <c r="CK426" s="141"/>
      <c r="CL426" s="141"/>
    </row>
    <row r="427" spans="74:90" ht="15" customHeight="1" x14ac:dyDescent="0.35">
      <c r="BV427" s="140"/>
      <c r="BY427" s="141"/>
      <c r="BZ427" s="141"/>
      <c r="CA427" s="141"/>
      <c r="CB427" s="141"/>
      <c r="CC427" s="141"/>
      <c r="CD427" s="141"/>
      <c r="CE427" s="141"/>
      <c r="CF427" s="141"/>
      <c r="CG427" s="141"/>
      <c r="CH427" s="141"/>
      <c r="CI427" s="141"/>
      <c r="CJ427" s="141"/>
      <c r="CK427" s="141"/>
      <c r="CL427" s="141"/>
    </row>
    <row r="428" spans="74:90" ht="15" customHeight="1" x14ac:dyDescent="0.35">
      <c r="BV428" s="140"/>
      <c r="BY428" s="141"/>
      <c r="BZ428" s="141"/>
      <c r="CA428" s="141"/>
      <c r="CB428" s="141"/>
      <c r="CC428" s="141"/>
      <c r="CD428" s="141"/>
      <c r="CE428" s="141"/>
      <c r="CF428" s="141"/>
      <c r="CG428" s="141"/>
      <c r="CH428" s="141"/>
      <c r="CI428" s="141"/>
      <c r="CJ428" s="141"/>
      <c r="CK428" s="141"/>
      <c r="CL428" s="141"/>
    </row>
    <row r="429" spans="74:90" ht="15" customHeight="1" x14ac:dyDescent="0.35">
      <c r="BV429" s="140"/>
      <c r="BY429" s="141"/>
      <c r="BZ429" s="141"/>
      <c r="CA429" s="141"/>
      <c r="CB429" s="141"/>
      <c r="CC429" s="141"/>
      <c r="CD429" s="141"/>
      <c r="CE429" s="141"/>
      <c r="CF429" s="141"/>
      <c r="CG429" s="141"/>
      <c r="CH429" s="141"/>
      <c r="CI429" s="141"/>
      <c r="CJ429" s="141"/>
      <c r="CK429" s="141"/>
      <c r="CL429" s="141"/>
    </row>
    <row r="430" spans="74:90" ht="15" customHeight="1" x14ac:dyDescent="0.35">
      <c r="BV430" s="140"/>
      <c r="BY430" s="141"/>
      <c r="BZ430" s="141"/>
      <c r="CA430" s="141"/>
      <c r="CB430" s="141"/>
      <c r="CC430" s="141"/>
      <c r="CD430" s="141"/>
      <c r="CE430" s="141"/>
      <c r="CF430" s="141"/>
      <c r="CG430" s="141"/>
      <c r="CH430" s="141"/>
      <c r="CI430" s="141"/>
      <c r="CJ430" s="141"/>
      <c r="CK430" s="141"/>
      <c r="CL430" s="141"/>
    </row>
    <row r="431" spans="74:90" ht="15" customHeight="1" x14ac:dyDescent="0.35">
      <c r="BV431" s="140"/>
      <c r="BY431" s="141"/>
      <c r="BZ431" s="141"/>
      <c r="CA431" s="141"/>
      <c r="CB431" s="141"/>
      <c r="CC431" s="141"/>
      <c r="CD431" s="141"/>
      <c r="CE431" s="141"/>
      <c r="CF431" s="141"/>
      <c r="CG431" s="141"/>
      <c r="CH431" s="141"/>
      <c r="CI431" s="141"/>
      <c r="CJ431" s="141"/>
      <c r="CK431" s="141"/>
      <c r="CL431" s="141"/>
    </row>
    <row r="432" spans="74:90" ht="15" customHeight="1" x14ac:dyDescent="0.35">
      <c r="BV432" s="140"/>
      <c r="BY432" s="141"/>
      <c r="BZ432" s="141"/>
      <c r="CA432" s="141"/>
      <c r="CB432" s="141"/>
      <c r="CC432" s="141"/>
      <c r="CD432" s="141"/>
      <c r="CE432" s="141"/>
      <c r="CF432" s="141"/>
      <c r="CG432" s="141"/>
      <c r="CH432" s="141"/>
      <c r="CI432" s="141"/>
      <c r="CJ432" s="141"/>
      <c r="CK432" s="141"/>
      <c r="CL432" s="141"/>
    </row>
    <row r="433" spans="74:90" ht="15" customHeight="1" x14ac:dyDescent="0.35">
      <c r="BV433" s="140"/>
      <c r="BY433" s="141"/>
      <c r="BZ433" s="141"/>
      <c r="CA433" s="141"/>
      <c r="CB433" s="141"/>
      <c r="CC433" s="141"/>
      <c r="CD433" s="141"/>
      <c r="CE433" s="141"/>
      <c r="CF433" s="141"/>
      <c r="CG433" s="141"/>
      <c r="CH433" s="141"/>
      <c r="CI433" s="141"/>
      <c r="CJ433" s="141"/>
      <c r="CK433" s="141"/>
      <c r="CL433" s="141"/>
    </row>
    <row r="434" spans="74:90" ht="15" customHeight="1" x14ac:dyDescent="0.35">
      <c r="BV434" s="140"/>
      <c r="BY434" s="141"/>
      <c r="BZ434" s="141"/>
      <c r="CA434" s="141"/>
      <c r="CB434" s="141"/>
      <c r="CC434" s="141"/>
      <c r="CD434" s="141"/>
      <c r="CE434" s="141"/>
      <c r="CF434" s="141"/>
      <c r="CG434" s="141"/>
      <c r="CH434" s="141"/>
      <c r="CI434" s="141"/>
      <c r="CJ434" s="141"/>
      <c r="CK434" s="141"/>
      <c r="CL434" s="141"/>
    </row>
    <row r="435" spans="74:90" ht="15" customHeight="1" x14ac:dyDescent="0.35">
      <c r="BV435" s="140"/>
      <c r="BY435" s="141"/>
      <c r="BZ435" s="141"/>
      <c r="CA435" s="141"/>
      <c r="CB435" s="141"/>
      <c r="CC435" s="141"/>
      <c r="CD435" s="141"/>
      <c r="CE435" s="141"/>
      <c r="CF435" s="141"/>
      <c r="CG435" s="141"/>
      <c r="CH435" s="141"/>
      <c r="CI435" s="141"/>
      <c r="CJ435" s="141"/>
      <c r="CK435" s="141"/>
      <c r="CL435" s="141"/>
    </row>
    <row r="436" spans="74:90" ht="15" customHeight="1" x14ac:dyDescent="0.35">
      <c r="BV436" s="140"/>
      <c r="BY436" s="141"/>
      <c r="BZ436" s="141"/>
      <c r="CA436" s="141"/>
      <c r="CB436" s="141"/>
      <c r="CC436" s="141"/>
      <c r="CD436" s="141"/>
      <c r="CE436" s="141"/>
      <c r="CF436" s="141"/>
      <c r="CG436" s="141"/>
      <c r="CH436" s="141"/>
      <c r="CI436" s="141"/>
      <c r="CJ436" s="141"/>
      <c r="CK436" s="141"/>
      <c r="CL436" s="141"/>
    </row>
    <row r="437" spans="74:90" ht="15" customHeight="1" x14ac:dyDescent="0.35">
      <c r="BV437" s="140"/>
      <c r="BY437" s="141"/>
      <c r="BZ437" s="141"/>
      <c r="CA437" s="141"/>
      <c r="CB437" s="141"/>
      <c r="CC437" s="141"/>
      <c r="CD437" s="141"/>
      <c r="CE437" s="141"/>
      <c r="CF437" s="141"/>
      <c r="CG437" s="141"/>
      <c r="CH437" s="141"/>
      <c r="CI437" s="141"/>
      <c r="CJ437" s="141"/>
      <c r="CK437" s="141"/>
      <c r="CL437" s="141"/>
    </row>
    <row r="438" spans="74:90" ht="15" customHeight="1" x14ac:dyDescent="0.35">
      <c r="BV438" s="140"/>
      <c r="BY438" s="141"/>
      <c r="BZ438" s="141"/>
      <c r="CA438" s="141"/>
      <c r="CB438" s="141"/>
      <c r="CC438" s="141"/>
      <c r="CD438" s="141"/>
      <c r="CE438" s="141"/>
      <c r="CF438" s="141"/>
      <c r="CG438" s="141"/>
      <c r="CH438" s="141"/>
      <c r="CI438" s="141"/>
      <c r="CJ438" s="141"/>
      <c r="CK438" s="141"/>
      <c r="CL438" s="141"/>
    </row>
    <row r="439" spans="74:90" ht="15" customHeight="1" x14ac:dyDescent="0.35">
      <c r="BV439" s="140"/>
      <c r="BY439" s="141"/>
      <c r="BZ439" s="141"/>
      <c r="CA439" s="141"/>
      <c r="CB439" s="141"/>
      <c r="CC439" s="141"/>
      <c r="CD439" s="141"/>
      <c r="CE439" s="141"/>
      <c r="CF439" s="141"/>
      <c r="CG439" s="141"/>
      <c r="CH439" s="141"/>
      <c r="CI439" s="141"/>
      <c r="CJ439" s="141"/>
      <c r="CK439" s="141"/>
      <c r="CL439" s="141"/>
    </row>
    <row r="440" spans="74:90" ht="15" customHeight="1" x14ac:dyDescent="0.35">
      <c r="BV440" s="140"/>
      <c r="BY440" s="141"/>
      <c r="BZ440" s="141"/>
      <c r="CA440" s="141"/>
      <c r="CB440" s="141"/>
      <c r="CC440" s="141"/>
      <c r="CD440" s="141"/>
      <c r="CE440" s="141"/>
      <c r="CF440" s="141"/>
      <c r="CG440" s="141"/>
      <c r="CH440" s="141"/>
      <c r="CI440" s="141"/>
      <c r="CJ440" s="141"/>
      <c r="CK440" s="141"/>
      <c r="CL440" s="141"/>
    </row>
    <row r="441" spans="74:90" ht="15" customHeight="1" x14ac:dyDescent="0.35">
      <c r="BV441" s="140"/>
      <c r="BY441" s="141"/>
      <c r="BZ441" s="141"/>
      <c r="CA441" s="141"/>
      <c r="CB441" s="141"/>
      <c r="CC441" s="141"/>
      <c r="CD441" s="141"/>
      <c r="CE441" s="141"/>
      <c r="CF441" s="141"/>
      <c r="CG441" s="141"/>
      <c r="CH441" s="141"/>
      <c r="CI441" s="141"/>
      <c r="CJ441" s="141"/>
      <c r="CK441" s="141"/>
      <c r="CL441" s="141"/>
    </row>
    <row r="442" spans="74:90" ht="15" customHeight="1" x14ac:dyDescent="0.35">
      <c r="BV442" s="140"/>
      <c r="BY442" s="141"/>
      <c r="BZ442" s="141"/>
      <c r="CA442" s="141"/>
      <c r="CB442" s="141"/>
      <c r="CC442" s="141"/>
      <c r="CD442" s="141"/>
      <c r="CE442" s="141"/>
      <c r="CF442" s="141"/>
      <c r="CG442" s="141"/>
      <c r="CH442" s="141"/>
      <c r="CI442" s="141"/>
      <c r="CJ442" s="141"/>
      <c r="CK442" s="141"/>
      <c r="CL442" s="141"/>
    </row>
    <row r="443" spans="74:90" ht="15" customHeight="1" x14ac:dyDescent="0.35">
      <c r="BV443" s="140"/>
      <c r="BY443" s="141"/>
      <c r="BZ443" s="141"/>
      <c r="CA443" s="141"/>
      <c r="CB443" s="141"/>
      <c r="CC443" s="141"/>
      <c r="CD443" s="141"/>
      <c r="CE443" s="141"/>
      <c r="CF443" s="141"/>
      <c r="CG443" s="141"/>
      <c r="CH443" s="141"/>
      <c r="CI443" s="141"/>
      <c r="CJ443" s="141"/>
      <c r="CK443" s="141"/>
      <c r="CL443" s="141"/>
    </row>
    <row r="444" spans="74:90" ht="15" customHeight="1" x14ac:dyDescent="0.35">
      <c r="BV444" s="140"/>
      <c r="BY444" s="141"/>
      <c r="BZ444" s="141"/>
      <c r="CA444" s="141"/>
      <c r="CB444" s="141"/>
      <c r="CC444" s="141"/>
      <c r="CD444" s="141"/>
      <c r="CE444" s="141"/>
      <c r="CF444" s="141"/>
      <c r="CG444" s="141"/>
      <c r="CH444" s="141"/>
      <c r="CI444" s="141"/>
      <c r="CJ444" s="141"/>
      <c r="CK444" s="141"/>
      <c r="CL444" s="141"/>
    </row>
    <row r="445" spans="74:90" ht="15" customHeight="1" x14ac:dyDescent="0.35">
      <c r="BV445" s="140"/>
      <c r="BY445" s="141"/>
      <c r="BZ445" s="141"/>
      <c r="CA445" s="141"/>
      <c r="CB445" s="141"/>
      <c r="CC445" s="141"/>
      <c r="CD445" s="141"/>
      <c r="CE445" s="141"/>
      <c r="CF445" s="141"/>
      <c r="CG445" s="141"/>
      <c r="CH445" s="141"/>
      <c r="CI445" s="141"/>
      <c r="CJ445" s="141"/>
      <c r="CK445" s="141"/>
      <c r="CL445" s="141"/>
    </row>
    <row r="446" spans="74:90" ht="15" customHeight="1" x14ac:dyDescent="0.35">
      <c r="BV446" s="140"/>
      <c r="BY446" s="141"/>
      <c r="BZ446" s="141"/>
      <c r="CA446" s="141"/>
      <c r="CB446" s="141"/>
      <c r="CC446" s="141"/>
      <c r="CD446" s="141"/>
      <c r="CE446" s="141"/>
      <c r="CF446" s="141"/>
      <c r="CG446" s="141"/>
      <c r="CH446" s="141"/>
      <c r="CI446" s="141"/>
      <c r="CJ446" s="141"/>
      <c r="CK446" s="141"/>
      <c r="CL446" s="141"/>
    </row>
    <row r="447" spans="74:90" ht="15" customHeight="1" x14ac:dyDescent="0.35">
      <c r="BV447" s="140"/>
      <c r="BY447" s="141"/>
      <c r="BZ447" s="141"/>
      <c r="CA447" s="141"/>
      <c r="CB447" s="141"/>
      <c r="CC447" s="141"/>
      <c r="CD447" s="141"/>
      <c r="CE447" s="141"/>
      <c r="CF447" s="141"/>
      <c r="CG447" s="141"/>
      <c r="CH447" s="141"/>
      <c r="CI447" s="141"/>
      <c r="CJ447" s="141"/>
      <c r="CK447" s="141"/>
      <c r="CL447" s="141"/>
    </row>
    <row r="448" spans="74:90" ht="15" customHeight="1" x14ac:dyDescent="0.35">
      <c r="BV448" s="140"/>
      <c r="BY448" s="141"/>
      <c r="BZ448" s="141"/>
      <c r="CA448" s="141"/>
      <c r="CB448" s="141"/>
      <c r="CC448" s="141"/>
      <c r="CD448" s="141"/>
      <c r="CE448" s="141"/>
      <c r="CF448" s="141"/>
      <c r="CG448" s="141"/>
      <c r="CH448" s="141"/>
      <c r="CI448" s="141"/>
      <c r="CJ448" s="141"/>
      <c r="CK448" s="141"/>
      <c r="CL448" s="141"/>
    </row>
    <row r="449" spans="74:90" ht="15" customHeight="1" x14ac:dyDescent="0.35">
      <c r="BV449" s="140"/>
      <c r="BY449" s="141"/>
      <c r="BZ449" s="141"/>
      <c r="CA449" s="141"/>
      <c r="CB449" s="141"/>
      <c r="CC449" s="141"/>
      <c r="CD449" s="141"/>
      <c r="CE449" s="141"/>
      <c r="CF449" s="141"/>
      <c r="CG449" s="141"/>
      <c r="CH449" s="141"/>
      <c r="CI449" s="141"/>
      <c r="CJ449" s="141"/>
      <c r="CK449" s="141"/>
      <c r="CL449" s="141"/>
    </row>
    <row r="450" spans="74:90" ht="15" customHeight="1" x14ac:dyDescent="0.35">
      <c r="BV450" s="140"/>
      <c r="BY450" s="141"/>
      <c r="BZ450" s="141"/>
      <c r="CA450" s="141"/>
      <c r="CB450" s="141"/>
      <c r="CC450" s="141"/>
      <c r="CD450" s="141"/>
      <c r="CE450" s="141"/>
      <c r="CF450" s="141"/>
      <c r="CG450" s="141"/>
      <c r="CH450" s="141"/>
      <c r="CI450" s="141"/>
      <c r="CJ450" s="141"/>
      <c r="CK450" s="141"/>
      <c r="CL450" s="141"/>
    </row>
    <row r="451" spans="74:90" ht="15" customHeight="1" x14ac:dyDescent="0.35">
      <c r="BV451" s="140"/>
      <c r="BY451" s="141"/>
      <c r="BZ451" s="141"/>
      <c r="CA451" s="141"/>
      <c r="CB451" s="141"/>
      <c r="CC451" s="141"/>
      <c r="CD451" s="141"/>
      <c r="CE451" s="141"/>
      <c r="CF451" s="141"/>
      <c r="CG451" s="141"/>
      <c r="CH451" s="141"/>
      <c r="CI451" s="141"/>
      <c r="CJ451" s="141"/>
      <c r="CK451" s="141"/>
      <c r="CL451" s="141"/>
    </row>
    <row r="452" spans="74:90" ht="15" customHeight="1" x14ac:dyDescent="0.35">
      <c r="BV452" s="140"/>
      <c r="BY452" s="141"/>
      <c r="BZ452" s="141"/>
      <c r="CA452" s="141"/>
      <c r="CB452" s="141"/>
      <c r="CC452" s="141"/>
      <c r="CD452" s="141"/>
      <c r="CE452" s="141"/>
      <c r="CF452" s="141"/>
      <c r="CG452" s="141"/>
      <c r="CH452" s="141"/>
      <c r="CI452" s="141"/>
      <c r="CJ452" s="141"/>
      <c r="CK452" s="141"/>
      <c r="CL452" s="141"/>
    </row>
    <row r="453" spans="74:90" ht="15" customHeight="1" x14ac:dyDescent="0.35">
      <c r="BV453" s="140"/>
      <c r="BY453" s="141"/>
      <c r="BZ453" s="141"/>
      <c r="CA453" s="141"/>
      <c r="CB453" s="141"/>
      <c r="CC453" s="141"/>
      <c r="CD453" s="141"/>
      <c r="CE453" s="141"/>
      <c r="CF453" s="141"/>
      <c r="CG453" s="141"/>
      <c r="CH453" s="141"/>
      <c r="CI453" s="141"/>
      <c r="CJ453" s="141"/>
      <c r="CK453" s="141"/>
      <c r="CL453" s="141"/>
    </row>
    <row r="454" spans="74:90" ht="15" customHeight="1" x14ac:dyDescent="0.35">
      <c r="BV454" s="140"/>
      <c r="BY454" s="141"/>
      <c r="BZ454" s="141"/>
      <c r="CA454" s="141"/>
      <c r="CB454" s="141"/>
      <c r="CC454" s="141"/>
      <c r="CD454" s="141"/>
      <c r="CE454" s="141"/>
      <c r="CF454" s="141"/>
      <c r="CG454" s="141"/>
      <c r="CH454" s="141"/>
      <c r="CI454" s="141"/>
      <c r="CJ454" s="141"/>
      <c r="CK454" s="141"/>
      <c r="CL454" s="141"/>
    </row>
    <row r="455" spans="74:90" ht="15" customHeight="1" x14ac:dyDescent="0.35">
      <c r="BV455" s="140"/>
      <c r="BY455" s="141"/>
      <c r="BZ455" s="141"/>
      <c r="CA455" s="141"/>
      <c r="CB455" s="141"/>
      <c r="CC455" s="141"/>
      <c r="CD455" s="141"/>
      <c r="CE455" s="141"/>
      <c r="CF455" s="141"/>
      <c r="CG455" s="141"/>
      <c r="CH455" s="141"/>
      <c r="CI455" s="141"/>
      <c r="CJ455" s="141"/>
      <c r="CK455" s="141"/>
      <c r="CL455" s="141"/>
    </row>
    <row r="456" spans="74:90" ht="15" customHeight="1" x14ac:dyDescent="0.35">
      <c r="BV456" s="140"/>
      <c r="BY456" s="141"/>
      <c r="BZ456" s="141"/>
      <c r="CA456" s="141"/>
      <c r="CB456" s="141"/>
      <c r="CC456" s="141"/>
      <c r="CD456" s="141"/>
      <c r="CE456" s="141"/>
      <c r="CF456" s="141"/>
      <c r="CG456" s="141"/>
      <c r="CH456" s="141"/>
      <c r="CI456" s="141"/>
      <c r="CJ456" s="141"/>
      <c r="CK456" s="141"/>
      <c r="CL456" s="141"/>
    </row>
    <row r="457" spans="74:90" ht="15" customHeight="1" x14ac:dyDescent="0.35">
      <c r="BV457" s="140"/>
      <c r="BY457" s="141"/>
      <c r="BZ457" s="141"/>
      <c r="CA457" s="141"/>
      <c r="CB457" s="141"/>
      <c r="CC457" s="141"/>
      <c r="CD457" s="141"/>
      <c r="CE457" s="141"/>
      <c r="CF457" s="141"/>
      <c r="CG457" s="141"/>
      <c r="CH457" s="141"/>
      <c r="CI457" s="141"/>
      <c r="CJ457" s="141"/>
      <c r="CK457" s="141"/>
      <c r="CL457" s="141"/>
    </row>
    <row r="458" spans="74:90" ht="15" customHeight="1" x14ac:dyDescent="0.35">
      <c r="BV458" s="140"/>
      <c r="BY458" s="141"/>
      <c r="BZ458" s="141"/>
      <c r="CA458" s="141"/>
      <c r="CB458" s="141"/>
      <c r="CC458" s="141"/>
      <c r="CD458" s="141"/>
      <c r="CE458" s="141"/>
      <c r="CF458" s="141"/>
      <c r="CG458" s="141"/>
      <c r="CH458" s="141"/>
      <c r="CI458" s="141"/>
      <c r="CJ458" s="141"/>
      <c r="CK458" s="141"/>
      <c r="CL458" s="141"/>
    </row>
    <row r="459" spans="74:90" ht="15" customHeight="1" x14ac:dyDescent="0.35">
      <c r="BV459" s="140"/>
      <c r="BY459" s="141"/>
      <c r="BZ459" s="141"/>
      <c r="CA459" s="141"/>
      <c r="CB459" s="141"/>
      <c r="CC459" s="141"/>
      <c r="CD459" s="141"/>
      <c r="CE459" s="141"/>
      <c r="CF459" s="141"/>
      <c r="CG459" s="141"/>
      <c r="CH459" s="141"/>
      <c r="CI459" s="141"/>
      <c r="CJ459" s="141"/>
      <c r="CK459" s="141"/>
      <c r="CL459" s="141"/>
    </row>
    <row r="460" spans="74:90" ht="49.5" customHeight="1" x14ac:dyDescent="0.35">
      <c r="BV460" s="140"/>
      <c r="BY460" s="141"/>
      <c r="BZ460" s="141"/>
      <c r="CA460" s="141"/>
      <c r="CB460" s="141"/>
      <c r="CC460" s="141"/>
      <c r="CD460" s="141"/>
      <c r="CE460" s="141"/>
      <c r="CF460" s="141"/>
      <c r="CG460" s="141"/>
      <c r="CH460" s="141"/>
      <c r="CI460" s="141"/>
      <c r="CJ460" s="141"/>
      <c r="CK460" s="141"/>
      <c r="CL460" s="141"/>
    </row>
    <row r="461" spans="74:90" ht="49.5" customHeight="1" x14ac:dyDescent="0.35">
      <c r="BV461" s="140"/>
      <c r="BY461" s="141"/>
      <c r="BZ461" s="141"/>
      <c r="CA461" s="141"/>
      <c r="CB461" s="141"/>
      <c r="CC461" s="141"/>
      <c r="CD461" s="141"/>
      <c r="CE461" s="141"/>
      <c r="CF461" s="141"/>
      <c r="CG461" s="141"/>
      <c r="CH461" s="141"/>
      <c r="CI461" s="141"/>
      <c r="CJ461" s="141"/>
      <c r="CK461" s="141"/>
      <c r="CL461" s="141"/>
    </row>
    <row r="462" spans="74:90" ht="49.5" customHeight="1" x14ac:dyDescent="0.35">
      <c r="BV462" s="140"/>
      <c r="BY462" s="141"/>
      <c r="BZ462" s="141"/>
      <c r="CA462" s="141"/>
      <c r="CB462" s="141"/>
      <c r="CC462" s="141"/>
      <c r="CD462" s="141"/>
      <c r="CE462" s="141"/>
      <c r="CF462" s="141"/>
      <c r="CG462" s="141"/>
      <c r="CH462" s="141"/>
      <c r="CI462" s="141"/>
      <c r="CJ462" s="141"/>
      <c r="CK462" s="141"/>
      <c r="CL462" s="141"/>
    </row>
    <row r="463" spans="74:90" ht="49.5" customHeight="1" x14ac:dyDescent="0.35">
      <c r="BV463" s="140"/>
      <c r="BY463" s="141"/>
      <c r="BZ463" s="141"/>
      <c r="CA463" s="141"/>
      <c r="CB463" s="141"/>
      <c r="CC463" s="141"/>
      <c r="CD463" s="141"/>
      <c r="CE463" s="141"/>
      <c r="CF463" s="141"/>
      <c r="CG463" s="141"/>
      <c r="CH463" s="141"/>
      <c r="CI463" s="141"/>
      <c r="CJ463" s="141"/>
      <c r="CK463" s="141"/>
      <c r="CL463" s="141"/>
    </row>
    <row r="464" spans="74:90" ht="49.5" customHeight="1" x14ac:dyDescent="0.35">
      <c r="BV464" s="140"/>
      <c r="BY464" s="141"/>
      <c r="BZ464" s="141"/>
      <c r="CA464" s="141"/>
      <c r="CB464" s="141"/>
      <c r="CC464" s="141"/>
      <c r="CD464" s="141"/>
      <c r="CE464" s="141"/>
      <c r="CF464" s="141"/>
      <c r="CG464" s="141"/>
      <c r="CH464" s="141"/>
      <c r="CI464" s="141"/>
      <c r="CJ464" s="141"/>
      <c r="CK464" s="141"/>
      <c r="CL464" s="141"/>
    </row>
    <row r="465" spans="74:90" ht="49.5" customHeight="1" x14ac:dyDescent="0.35">
      <c r="BV465" s="140"/>
      <c r="BY465" s="141"/>
      <c r="BZ465" s="141"/>
      <c r="CA465" s="141"/>
      <c r="CB465" s="141"/>
      <c r="CC465" s="141"/>
      <c r="CD465" s="141"/>
      <c r="CE465" s="141"/>
      <c r="CF465" s="141"/>
      <c r="CG465" s="141"/>
      <c r="CH465" s="141"/>
      <c r="CI465" s="141"/>
      <c r="CJ465" s="141"/>
      <c r="CK465" s="141"/>
      <c r="CL465" s="141"/>
    </row>
    <row r="466" spans="74:90" ht="49.5" customHeight="1" x14ac:dyDescent="0.35">
      <c r="BV466" s="140"/>
      <c r="BY466" s="141"/>
      <c r="BZ466" s="141"/>
      <c r="CA466" s="141"/>
      <c r="CB466" s="141"/>
      <c r="CC466" s="141"/>
      <c r="CD466" s="141"/>
      <c r="CE466" s="141"/>
      <c r="CF466" s="141"/>
      <c r="CG466" s="141"/>
      <c r="CH466" s="141"/>
      <c r="CI466" s="141"/>
      <c r="CJ466" s="141"/>
      <c r="CK466" s="141"/>
      <c r="CL466" s="141"/>
    </row>
    <row r="467" spans="74:90" ht="49.5" customHeight="1" x14ac:dyDescent="0.35">
      <c r="BV467" s="140"/>
      <c r="BY467" s="141"/>
      <c r="BZ467" s="141"/>
      <c r="CA467" s="141"/>
      <c r="CB467" s="141"/>
      <c r="CC467" s="141"/>
      <c r="CD467" s="141"/>
      <c r="CE467" s="141"/>
      <c r="CF467" s="141"/>
      <c r="CG467" s="141"/>
      <c r="CH467" s="141"/>
      <c r="CI467" s="141"/>
      <c r="CJ467" s="141"/>
      <c r="CK467" s="141"/>
      <c r="CL467" s="141"/>
    </row>
    <row r="468" spans="74:90" ht="49.5" customHeight="1" x14ac:dyDescent="0.35">
      <c r="BV468" s="140"/>
      <c r="BY468" s="141"/>
      <c r="BZ468" s="141"/>
      <c r="CA468" s="141"/>
      <c r="CB468" s="141"/>
      <c r="CC468" s="141"/>
      <c r="CD468" s="141"/>
      <c r="CE468" s="141"/>
      <c r="CF468" s="141"/>
      <c r="CG468" s="141"/>
      <c r="CH468" s="141"/>
      <c r="CI468" s="141"/>
      <c r="CJ468" s="141"/>
      <c r="CK468" s="141"/>
      <c r="CL468" s="141"/>
    </row>
    <row r="469" spans="74:90" ht="49.5" customHeight="1" x14ac:dyDescent="0.35">
      <c r="BV469" s="140"/>
      <c r="BY469" s="141"/>
      <c r="BZ469" s="141"/>
      <c r="CA469" s="141"/>
      <c r="CB469" s="141"/>
      <c r="CC469" s="141"/>
      <c r="CD469" s="141"/>
      <c r="CE469" s="141"/>
      <c r="CF469" s="141"/>
      <c r="CG469" s="141"/>
      <c r="CH469" s="141"/>
      <c r="CI469" s="141"/>
      <c r="CJ469" s="141"/>
      <c r="CK469" s="141"/>
      <c r="CL469" s="141"/>
    </row>
    <row r="470" spans="74:90" ht="49.5" customHeight="1" x14ac:dyDescent="0.35">
      <c r="BV470" s="140"/>
      <c r="BY470" s="141"/>
      <c r="BZ470" s="141"/>
      <c r="CA470" s="141"/>
      <c r="CB470" s="141"/>
      <c r="CC470" s="141"/>
      <c r="CD470" s="141"/>
      <c r="CE470" s="141"/>
      <c r="CF470" s="141"/>
      <c r="CG470" s="141"/>
      <c r="CH470" s="141"/>
      <c r="CI470" s="141"/>
      <c r="CJ470" s="141"/>
      <c r="CK470" s="141"/>
      <c r="CL470" s="141"/>
    </row>
    <row r="471" spans="74:90" ht="49.5" customHeight="1" x14ac:dyDescent="0.35">
      <c r="BV471" s="140"/>
      <c r="BY471" s="141"/>
      <c r="BZ471" s="141"/>
      <c r="CA471" s="141"/>
      <c r="CB471" s="141"/>
      <c r="CC471" s="141"/>
      <c r="CD471" s="141"/>
      <c r="CE471" s="141"/>
      <c r="CF471" s="141"/>
      <c r="CG471" s="141"/>
      <c r="CH471" s="141"/>
      <c r="CI471" s="141"/>
      <c r="CJ471" s="141"/>
      <c r="CK471" s="141"/>
      <c r="CL471" s="141"/>
    </row>
    <row r="472" spans="74:90" ht="49.5" customHeight="1" x14ac:dyDescent="0.35">
      <c r="BV472" s="140"/>
      <c r="BY472" s="141"/>
      <c r="BZ472" s="141"/>
      <c r="CA472" s="141"/>
      <c r="CB472" s="141"/>
      <c r="CC472" s="141"/>
      <c r="CD472" s="141"/>
      <c r="CE472" s="141"/>
      <c r="CF472" s="141"/>
      <c r="CG472" s="141"/>
      <c r="CH472" s="141"/>
      <c r="CI472" s="141"/>
      <c r="CJ472" s="141"/>
      <c r="CK472" s="141"/>
      <c r="CL472" s="141"/>
    </row>
    <row r="473" spans="74:90" ht="49.5" customHeight="1" x14ac:dyDescent="0.35">
      <c r="BV473" s="140"/>
      <c r="BY473" s="141"/>
      <c r="BZ473" s="141"/>
      <c r="CA473" s="141"/>
      <c r="CB473" s="141"/>
      <c r="CC473" s="141"/>
      <c r="CD473" s="141"/>
      <c r="CE473" s="141"/>
      <c r="CF473" s="141"/>
      <c r="CG473" s="141"/>
      <c r="CH473" s="141"/>
      <c r="CI473" s="141"/>
      <c r="CJ473" s="141"/>
      <c r="CK473" s="141"/>
      <c r="CL473" s="141"/>
    </row>
    <row r="474" spans="74:90" ht="49.5" customHeight="1" x14ac:dyDescent="0.35">
      <c r="BV474" s="140"/>
      <c r="BY474" s="141"/>
      <c r="BZ474" s="141"/>
      <c r="CA474" s="141"/>
      <c r="CB474" s="141"/>
      <c r="CC474" s="141"/>
      <c r="CD474" s="141"/>
      <c r="CE474" s="141"/>
      <c r="CF474" s="141"/>
      <c r="CG474" s="141"/>
      <c r="CH474" s="141"/>
      <c r="CI474" s="141"/>
      <c r="CJ474" s="141"/>
      <c r="CK474" s="141"/>
      <c r="CL474" s="141"/>
    </row>
    <row r="475" spans="74:90" ht="49.5" customHeight="1" x14ac:dyDescent="0.35">
      <c r="BV475" s="140"/>
      <c r="BY475" s="141"/>
      <c r="BZ475" s="141"/>
      <c r="CA475" s="141"/>
      <c r="CB475" s="141"/>
      <c r="CC475" s="141"/>
      <c r="CD475" s="141"/>
      <c r="CE475" s="141"/>
      <c r="CF475" s="141"/>
      <c r="CG475" s="141"/>
      <c r="CH475" s="141"/>
      <c r="CI475" s="141"/>
      <c r="CJ475" s="141"/>
      <c r="CK475" s="141"/>
      <c r="CL475" s="141"/>
    </row>
    <row r="476" spans="74:90" ht="49.5" customHeight="1" x14ac:dyDescent="0.35">
      <c r="BV476" s="140"/>
      <c r="BY476" s="141"/>
      <c r="BZ476" s="141"/>
      <c r="CA476" s="141"/>
      <c r="CB476" s="141"/>
      <c r="CC476" s="141"/>
      <c r="CD476" s="141"/>
      <c r="CE476" s="141"/>
      <c r="CF476" s="141"/>
      <c r="CG476" s="141"/>
      <c r="CH476" s="141"/>
      <c r="CI476" s="141"/>
      <c r="CJ476" s="141"/>
      <c r="CK476" s="141"/>
      <c r="CL476" s="141"/>
    </row>
    <row r="477" spans="74:90" ht="49.5" customHeight="1" x14ac:dyDescent="0.35">
      <c r="BV477" s="140"/>
      <c r="BY477" s="141"/>
      <c r="BZ477" s="141"/>
      <c r="CA477" s="141"/>
      <c r="CB477" s="141"/>
      <c r="CC477" s="141"/>
      <c r="CD477" s="141"/>
      <c r="CE477" s="141"/>
      <c r="CF477" s="141"/>
      <c r="CG477" s="141"/>
      <c r="CH477" s="141"/>
      <c r="CI477" s="141"/>
      <c r="CJ477" s="141"/>
      <c r="CK477" s="141"/>
      <c r="CL477" s="141"/>
    </row>
    <row r="478" spans="74:90" ht="49.5" customHeight="1" x14ac:dyDescent="0.35">
      <c r="BV478" s="140"/>
      <c r="BY478" s="141"/>
      <c r="BZ478" s="141"/>
      <c r="CA478" s="141"/>
      <c r="CB478" s="141"/>
      <c r="CC478" s="141"/>
      <c r="CD478" s="141"/>
      <c r="CE478" s="141"/>
      <c r="CF478" s="141"/>
      <c r="CG478" s="141"/>
      <c r="CH478" s="141"/>
      <c r="CI478" s="141"/>
      <c r="CJ478" s="141"/>
      <c r="CK478" s="141"/>
      <c r="CL478" s="141"/>
    </row>
    <row r="479" spans="74:90" ht="49.5" customHeight="1" x14ac:dyDescent="0.35">
      <c r="BV479" s="140"/>
      <c r="BY479" s="141"/>
      <c r="BZ479" s="141"/>
      <c r="CA479" s="141"/>
      <c r="CB479" s="141"/>
      <c r="CC479" s="141"/>
      <c r="CD479" s="141"/>
      <c r="CE479" s="141"/>
      <c r="CF479" s="141"/>
      <c r="CG479" s="141"/>
      <c r="CH479" s="141"/>
      <c r="CI479" s="141"/>
      <c r="CJ479" s="141"/>
      <c r="CK479" s="141"/>
      <c r="CL479" s="141"/>
    </row>
    <row r="480" spans="74:90" ht="49.5" customHeight="1" x14ac:dyDescent="0.35">
      <c r="BV480" s="140"/>
      <c r="BY480" s="141"/>
      <c r="BZ480" s="141"/>
      <c r="CA480" s="141"/>
      <c r="CB480" s="141"/>
      <c r="CC480" s="141"/>
      <c r="CD480" s="141"/>
      <c r="CE480" s="141"/>
      <c r="CF480" s="141"/>
      <c r="CG480" s="141"/>
      <c r="CH480" s="141"/>
      <c r="CI480" s="141"/>
      <c r="CJ480" s="141"/>
      <c r="CK480" s="141"/>
      <c r="CL480" s="141"/>
    </row>
    <row r="481" spans="74:90" ht="49.5" customHeight="1" x14ac:dyDescent="0.35">
      <c r="BV481" s="140"/>
      <c r="BY481" s="141"/>
      <c r="BZ481" s="141"/>
      <c r="CA481" s="141"/>
      <c r="CB481" s="141"/>
      <c r="CC481" s="141"/>
      <c r="CD481" s="141"/>
      <c r="CE481" s="141"/>
      <c r="CF481" s="141"/>
      <c r="CG481" s="141"/>
      <c r="CH481" s="141"/>
      <c r="CI481" s="141"/>
      <c r="CJ481" s="141"/>
      <c r="CK481" s="141"/>
      <c r="CL481" s="141"/>
    </row>
    <row r="482" spans="74:90" ht="49.5" customHeight="1" x14ac:dyDescent="0.35">
      <c r="BV482" s="140"/>
      <c r="BY482" s="141"/>
      <c r="BZ482" s="141"/>
      <c r="CA482" s="141"/>
      <c r="CB482" s="141"/>
      <c r="CC482" s="141"/>
      <c r="CD482" s="141"/>
      <c r="CE482" s="141"/>
      <c r="CF482" s="141"/>
      <c r="CG482" s="141"/>
      <c r="CH482" s="141"/>
      <c r="CI482" s="141"/>
      <c r="CJ482" s="141"/>
      <c r="CK482" s="141"/>
      <c r="CL482" s="141"/>
    </row>
    <row r="483" spans="74:90" ht="49.5" customHeight="1" x14ac:dyDescent="0.35">
      <c r="BV483" s="140"/>
      <c r="BY483" s="141"/>
      <c r="BZ483" s="141"/>
      <c r="CA483" s="141"/>
      <c r="CB483" s="141"/>
      <c r="CC483" s="141"/>
      <c r="CD483" s="141"/>
      <c r="CE483" s="141"/>
      <c r="CF483" s="141"/>
      <c r="CG483" s="141"/>
      <c r="CH483" s="141"/>
      <c r="CI483" s="141"/>
      <c r="CJ483" s="141"/>
      <c r="CK483" s="141"/>
      <c r="CL483" s="141"/>
    </row>
    <row r="484" spans="74:90" ht="49.5" customHeight="1" x14ac:dyDescent="0.35">
      <c r="BV484" s="140"/>
      <c r="BY484" s="141"/>
      <c r="BZ484" s="141"/>
      <c r="CA484" s="141"/>
      <c r="CB484" s="141"/>
      <c r="CC484" s="141"/>
      <c r="CD484" s="141"/>
      <c r="CE484" s="141"/>
      <c r="CF484" s="141"/>
      <c r="CG484" s="141"/>
      <c r="CH484" s="141"/>
      <c r="CI484" s="141"/>
      <c r="CJ484" s="141"/>
      <c r="CK484" s="141"/>
      <c r="CL484" s="141"/>
    </row>
    <row r="485" spans="74:90" ht="49.5" customHeight="1" x14ac:dyDescent="0.35">
      <c r="BV485" s="140"/>
      <c r="BY485" s="141"/>
      <c r="BZ485" s="141"/>
      <c r="CA485" s="141"/>
      <c r="CB485" s="141"/>
      <c r="CC485" s="141"/>
      <c r="CD485" s="141"/>
      <c r="CE485" s="141"/>
      <c r="CF485" s="141"/>
      <c r="CG485" s="141"/>
      <c r="CH485" s="141"/>
      <c r="CI485" s="141"/>
      <c r="CJ485" s="141"/>
      <c r="CK485" s="141"/>
      <c r="CL485" s="141"/>
    </row>
    <row r="486" spans="74:90" ht="49.5" customHeight="1" x14ac:dyDescent="0.35">
      <c r="BV486" s="140"/>
      <c r="BY486" s="141"/>
      <c r="BZ486" s="141"/>
      <c r="CA486" s="141"/>
      <c r="CB486" s="141"/>
      <c r="CC486" s="141"/>
      <c r="CD486" s="141"/>
      <c r="CE486" s="141"/>
      <c r="CF486" s="141"/>
      <c r="CG486" s="141"/>
      <c r="CH486" s="141"/>
      <c r="CI486" s="141"/>
      <c r="CJ486" s="141"/>
      <c r="CK486" s="141"/>
      <c r="CL486" s="141"/>
    </row>
    <row r="487" spans="74:90" ht="49.5" customHeight="1" x14ac:dyDescent="0.35">
      <c r="BV487" s="140"/>
      <c r="BY487" s="141"/>
      <c r="BZ487" s="141"/>
      <c r="CA487" s="141"/>
      <c r="CB487" s="141"/>
      <c r="CC487" s="141"/>
      <c r="CD487" s="141"/>
      <c r="CE487" s="141"/>
      <c r="CF487" s="141"/>
      <c r="CG487" s="141"/>
      <c r="CH487" s="141"/>
      <c r="CI487" s="141"/>
      <c r="CJ487" s="141"/>
      <c r="CK487" s="141"/>
      <c r="CL487" s="141"/>
    </row>
    <row r="488" spans="74:90" ht="49.5" customHeight="1" x14ac:dyDescent="0.35">
      <c r="BV488" s="140"/>
      <c r="BY488" s="141"/>
      <c r="BZ488" s="141"/>
      <c r="CA488" s="141"/>
      <c r="CB488" s="141"/>
      <c r="CC488" s="141"/>
      <c r="CD488" s="141"/>
      <c r="CE488" s="141"/>
      <c r="CF488" s="141"/>
      <c r="CG488" s="141"/>
      <c r="CH488" s="141"/>
      <c r="CI488" s="141"/>
      <c r="CJ488" s="141"/>
      <c r="CK488" s="141"/>
      <c r="CL488" s="141"/>
    </row>
    <row r="489" spans="74:90" ht="49.5" customHeight="1" x14ac:dyDescent="0.35">
      <c r="BV489" s="140"/>
      <c r="BY489" s="141"/>
      <c r="BZ489" s="141"/>
      <c r="CA489" s="141"/>
      <c r="CB489" s="141"/>
      <c r="CC489" s="141"/>
      <c r="CD489" s="141"/>
      <c r="CE489" s="141"/>
      <c r="CF489" s="141"/>
      <c r="CG489" s="141"/>
      <c r="CH489" s="141"/>
      <c r="CI489" s="141"/>
      <c r="CJ489" s="141"/>
      <c r="CK489" s="141"/>
      <c r="CL489" s="141"/>
    </row>
    <row r="490" spans="74:90" ht="49.5" customHeight="1" x14ac:dyDescent="0.35">
      <c r="BV490" s="140"/>
      <c r="BY490" s="141"/>
      <c r="BZ490" s="141"/>
      <c r="CA490" s="141"/>
      <c r="CB490" s="141"/>
      <c r="CC490" s="141"/>
      <c r="CD490" s="141"/>
      <c r="CE490" s="141"/>
      <c r="CF490" s="141"/>
      <c r="CG490" s="141"/>
      <c r="CH490" s="141"/>
      <c r="CI490" s="141"/>
      <c r="CJ490" s="141"/>
      <c r="CK490" s="141"/>
      <c r="CL490" s="141"/>
    </row>
    <row r="491" spans="74:90" ht="49.5" customHeight="1" x14ac:dyDescent="0.35">
      <c r="BV491" s="140"/>
      <c r="BY491" s="141"/>
      <c r="BZ491" s="141"/>
      <c r="CA491" s="141"/>
      <c r="CB491" s="141"/>
      <c r="CC491" s="141"/>
      <c r="CD491" s="141"/>
      <c r="CE491" s="141"/>
      <c r="CF491" s="141"/>
      <c r="CG491" s="141"/>
      <c r="CH491" s="141"/>
      <c r="CI491" s="141"/>
      <c r="CJ491" s="141"/>
      <c r="CK491" s="141"/>
      <c r="CL491" s="141"/>
    </row>
    <row r="492" spans="74:90" ht="49.5" customHeight="1" x14ac:dyDescent="0.35">
      <c r="BV492" s="140"/>
      <c r="BY492" s="141"/>
      <c r="BZ492" s="141"/>
      <c r="CA492" s="141"/>
      <c r="CB492" s="141"/>
      <c r="CC492" s="141"/>
      <c r="CD492" s="141"/>
      <c r="CE492" s="141"/>
      <c r="CF492" s="141"/>
      <c r="CG492" s="141"/>
      <c r="CH492" s="141"/>
      <c r="CI492" s="141"/>
      <c r="CJ492" s="141"/>
      <c r="CK492" s="141"/>
      <c r="CL492" s="141"/>
    </row>
    <row r="493" spans="74:90" ht="49.5" customHeight="1" x14ac:dyDescent="0.35">
      <c r="BV493" s="140"/>
      <c r="BY493" s="141"/>
      <c r="BZ493" s="141"/>
      <c r="CA493" s="141"/>
      <c r="CB493" s="141"/>
      <c r="CC493" s="141"/>
      <c r="CD493" s="141"/>
      <c r="CE493" s="141"/>
      <c r="CF493" s="141"/>
      <c r="CG493" s="141"/>
      <c r="CH493" s="141"/>
      <c r="CI493" s="141"/>
      <c r="CJ493" s="141"/>
      <c r="CK493" s="141"/>
      <c r="CL493" s="141"/>
    </row>
    <row r="494" spans="74:90" ht="49.5" customHeight="1" x14ac:dyDescent="0.35">
      <c r="BV494" s="140"/>
      <c r="BY494" s="141"/>
      <c r="BZ494" s="141"/>
      <c r="CA494" s="141"/>
      <c r="CB494" s="141"/>
      <c r="CC494" s="141"/>
      <c r="CD494" s="141"/>
      <c r="CE494" s="141"/>
      <c r="CF494" s="141"/>
      <c r="CG494" s="141"/>
      <c r="CH494" s="141"/>
      <c r="CI494" s="141"/>
      <c r="CJ494" s="141"/>
      <c r="CK494" s="141"/>
      <c r="CL494" s="141"/>
    </row>
    <row r="495" spans="74:90" ht="49.5" customHeight="1" x14ac:dyDescent="0.35">
      <c r="BV495" s="140"/>
      <c r="BY495" s="141"/>
      <c r="BZ495" s="141"/>
      <c r="CA495" s="141"/>
      <c r="CB495" s="141"/>
      <c r="CC495" s="141"/>
      <c r="CD495" s="141"/>
      <c r="CE495" s="141"/>
      <c r="CF495" s="141"/>
      <c r="CG495" s="141"/>
      <c r="CH495" s="141"/>
      <c r="CI495" s="141"/>
      <c r="CJ495" s="141"/>
      <c r="CK495" s="141"/>
      <c r="CL495" s="141"/>
    </row>
    <row r="496" spans="74:90" ht="49.5" customHeight="1" x14ac:dyDescent="0.35">
      <c r="BV496" s="140"/>
      <c r="BY496" s="141"/>
      <c r="BZ496" s="141"/>
      <c r="CA496" s="141"/>
      <c r="CB496" s="141"/>
      <c r="CC496" s="141"/>
      <c r="CD496" s="141"/>
      <c r="CE496" s="141"/>
      <c r="CF496" s="141"/>
      <c r="CG496" s="141"/>
      <c r="CH496" s="141"/>
      <c r="CI496" s="141"/>
      <c r="CJ496" s="141"/>
      <c r="CK496" s="141"/>
      <c r="CL496" s="141"/>
    </row>
    <row r="497" spans="74:90" ht="49.5" customHeight="1" x14ac:dyDescent="0.35">
      <c r="BV497" s="140"/>
      <c r="BY497" s="141"/>
      <c r="BZ497" s="141"/>
      <c r="CA497" s="141"/>
      <c r="CB497" s="141"/>
      <c r="CC497" s="141"/>
      <c r="CD497" s="141"/>
      <c r="CE497" s="141"/>
      <c r="CF497" s="141"/>
      <c r="CG497" s="141"/>
      <c r="CH497" s="141"/>
      <c r="CI497" s="141"/>
      <c r="CJ497" s="141"/>
      <c r="CK497" s="141"/>
      <c r="CL497" s="141"/>
    </row>
    <row r="498" spans="74:90" ht="49.5" customHeight="1" x14ac:dyDescent="0.35">
      <c r="BV498" s="140"/>
      <c r="BY498" s="141"/>
      <c r="BZ498" s="141"/>
      <c r="CA498" s="141"/>
      <c r="CB498" s="141"/>
      <c r="CC498" s="141"/>
      <c r="CD498" s="141"/>
      <c r="CE498" s="141"/>
      <c r="CF498" s="141"/>
      <c r="CG498" s="141"/>
      <c r="CH498" s="141"/>
      <c r="CI498" s="141"/>
      <c r="CJ498" s="141"/>
      <c r="CK498" s="141"/>
      <c r="CL498" s="141"/>
    </row>
    <row r="499" spans="74:90" ht="49.5" customHeight="1" x14ac:dyDescent="0.35">
      <c r="BV499" s="140"/>
      <c r="BY499" s="141"/>
      <c r="BZ499" s="141"/>
      <c r="CA499" s="141"/>
      <c r="CB499" s="141"/>
      <c r="CC499" s="141"/>
      <c r="CD499" s="141"/>
      <c r="CE499" s="141"/>
      <c r="CF499" s="141"/>
      <c r="CG499" s="141"/>
      <c r="CH499" s="141"/>
      <c r="CI499" s="141"/>
      <c r="CJ499" s="141"/>
      <c r="CK499" s="141"/>
      <c r="CL499" s="141"/>
    </row>
    <row r="500" spans="74:90" ht="49.5" customHeight="1" x14ac:dyDescent="0.35">
      <c r="BV500" s="140"/>
      <c r="BY500" s="141"/>
      <c r="BZ500" s="141"/>
      <c r="CA500" s="141"/>
      <c r="CB500" s="141"/>
      <c r="CC500" s="141"/>
      <c r="CD500" s="141"/>
      <c r="CE500" s="141"/>
      <c r="CF500" s="141"/>
      <c r="CG500" s="141"/>
      <c r="CH500" s="141"/>
      <c r="CI500" s="141"/>
      <c r="CJ500" s="141"/>
      <c r="CK500" s="141"/>
      <c r="CL500" s="141"/>
    </row>
    <row r="501" spans="74:90" ht="49.5" customHeight="1" x14ac:dyDescent="0.35">
      <c r="BV501" s="140"/>
      <c r="BY501" s="141"/>
      <c r="BZ501" s="141"/>
      <c r="CA501" s="141"/>
      <c r="CB501" s="141"/>
      <c r="CC501" s="141"/>
      <c r="CD501" s="141"/>
      <c r="CE501" s="141"/>
      <c r="CF501" s="141"/>
      <c r="CG501" s="141"/>
      <c r="CH501" s="141"/>
      <c r="CI501" s="141"/>
      <c r="CJ501" s="141"/>
      <c r="CK501" s="141"/>
      <c r="CL501" s="141"/>
    </row>
    <row r="502" spans="74:90" ht="49.5" customHeight="1" x14ac:dyDescent="0.35">
      <c r="BV502" s="140"/>
      <c r="BY502" s="141"/>
      <c r="BZ502" s="141"/>
      <c r="CA502" s="141"/>
      <c r="CB502" s="141"/>
      <c r="CC502" s="141"/>
      <c r="CD502" s="141"/>
      <c r="CE502" s="141"/>
      <c r="CF502" s="141"/>
      <c r="CG502" s="141"/>
      <c r="CH502" s="141"/>
      <c r="CI502" s="141"/>
      <c r="CJ502" s="141"/>
      <c r="CK502" s="141"/>
      <c r="CL502" s="141"/>
    </row>
    <row r="503" spans="74:90" ht="49.5" customHeight="1" x14ac:dyDescent="0.35">
      <c r="BV503" s="140"/>
      <c r="BY503" s="141"/>
      <c r="BZ503" s="141"/>
      <c r="CA503" s="141"/>
      <c r="CB503" s="141"/>
      <c r="CC503" s="141"/>
      <c r="CD503" s="141"/>
      <c r="CE503" s="141"/>
      <c r="CF503" s="141"/>
      <c r="CG503" s="141"/>
      <c r="CH503" s="141"/>
      <c r="CI503" s="141"/>
      <c r="CJ503" s="141"/>
      <c r="CK503" s="141"/>
      <c r="CL503" s="141"/>
    </row>
    <row r="504" spans="74:90" ht="49.5" customHeight="1" x14ac:dyDescent="0.35">
      <c r="BV504" s="140"/>
      <c r="BY504" s="141"/>
      <c r="BZ504" s="141"/>
      <c r="CA504" s="141"/>
      <c r="CB504" s="141"/>
      <c r="CC504" s="141"/>
      <c r="CD504" s="141"/>
      <c r="CE504" s="141"/>
      <c r="CF504" s="141"/>
      <c r="CG504" s="141"/>
      <c r="CH504" s="141"/>
      <c r="CI504" s="141"/>
      <c r="CJ504" s="141"/>
      <c r="CK504" s="141"/>
      <c r="CL504" s="141"/>
    </row>
    <row r="505" spans="74:90" ht="49.5" customHeight="1" x14ac:dyDescent="0.35">
      <c r="BV505" s="140"/>
      <c r="BY505" s="141"/>
      <c r="BZ505" s="141"/>
      <c r="CA505" s="141"/>
      <c r="CB505" s="141"/>
      <c r="CC505" s="141"/>
      <c r="CD505" s="141"/>
      <c r="CE505" s="141"/>
      <c r="CF505" s="141"/>
      <c r="CG505" s="141"/>
      <c r="CH505" s="141"/>
      <c r="CI505" s="141"/>
      <c r="CJ505" s="141"/>
      <c r="CK505" s="141"/>
      <c r="CL505" s="141"/>
    </row>
    <row r="506" spans="74:90" ht="49.5" customHeight="1" x14ac:dyDescent="0.35">
      <c r="BV506" s="140"/>
      <c r="BY506" s="141"/>
      <c r="BZ506" s="141"/>
      <c r="CA506" s="141"/>
      <c r="CB506" s="141"/>
      <c r="CC506" s="141"/>
      <c r="CD506" s="141"/>
      <c r="CE506" s="141"/>
      <c r="CF506" s="141"/>
      <c r="CG506" s="141"/>
      <c r="CH506" s="141"/>
      <c r="CI506" s="141"/>
      <c r="CJ506" s="141"/>
      <c r="CK506" s="141"/>
      <c r="CL506" s="141"/>
    </row>
    <row r="507" spans="74:90" ht="49.5" customHeight="1" x14ac:dyDescent="0.35">
      <c r="BV507" s="140"/>
      <c r="BY507" s="141"/>
      <c r="BZ507" s="141"/>
      <c r="CA507" s="141"/>
      <c r="CB507" s="141"/>
      <c r="CC507" s="141"/>
      <c r="CD507" s="141"/>
      <c r="CE507" s="141"/>
      <c r="CF507" s="141"/>
      <c r="CG507" s="141"/>
      <c r="CH507" s="141"/>
      <c r="CI507" s="141"/>
      <c r="CJ507" s="141"/>
      <c r="CK507" s="141"/>
      <c r="CL507" s="141"/>
    </row>
    <row r="508" spans="74:90" ht="49.5" customHeight="1" x14ac:dyDescent="0.35">
      <c r="BV508" s="140"/>
      <c r="BY508" s="141"/>
      <c r="BZ508" s="141"/>
      <c r="CA508" s="141"/>
      <c r="CB508" s="141"/>
      <c r="CC508" s="141"/>
      <c r="CD508" s="141"/>
      <c r="CE508" s="141"/>
      <c r="CF508" s="141"/>
      <c r="CG508" s="141"/>
      <c r="CH508" s="141"/>
      <c r="CI508" s="141"/>
      <c r="CJ508" s="141"/>
      <c r="CK508" s="141"/>
      <c r="CL508" s="141"/>
    </row>
    <row r="509" spans="74:90" ht="49.5" customHeight="1" x14ac:dyDescent="0.35">
      <c r="BV509" s="140"/>
      <c r="BY509" s="141"/>
      <c r="BZ509" s="141"/>
      <c r="CA509" s="141"/>
      <c r="CB509" s="141"/>
      <c r="CC509" s="141"/>
      <c r="CD509" s="141"/>
      <c r="CE509" s="141"/>
      <c r="CF509" s="141"/>
      <c r="CG509" s="141"/>
      <c r="CH509" s="141"/>
      <c r="CI509" s="141"/>
      <c r="CJ509" s="141"/>
      <c r="CK509" s="141"/>
      <c r="CL509" s="141"/>
    </row>
    <row r="510" spans="74:90" ht="49.5" customHeight="1" x14ac:dyDescent="0.35">
      <c r="BV510" s="140"/>
      <c r="BY510" s="141"/>
      <c r="BZ510" s="141"/>
      <c r="CA510" s="141"/>
      <c r="CB510" s="141"/>
      <c r="CC510" s="141"/>
      <c r="CD510" s="141"/>
      <c r="CE510" s="141"/>
      <c r="CF510" s="141"/>
      <c r="CG510" s="141"/>
      <c r="CH510" s="141"/>
      <c r="CI510" s="141"/>
      <c r="CJ510" s="141"/>
      <c r="CK510" s="141"/>
      <c r="CL510" s="141"/>
    </row>
    <row r="511" spans="74:90" ht="49.5" customHeight="1" x14ac:dyDescent="0.35">
      <c r="BV511" s="140"/>
      <c r="BY511" s="141"/>
      <c r="BZ511" s="141"/>
      <c r="CA511" s="141"/>
      <c r="CB511" s="141"/>
      <c r="CC511" s="141"/>
      <c r="CD511" s="141"/>
      <c r="CE511" s="141"/>
      <c r="CF511" s="141"/>
      <c r="CG511" s="141"/>
      <c r="CH511" s="141"/>
      <c r="CI511" s="141"/>
      <c r="CJ511" s="141"/>
      <c r="CK511" s="141"/>
      <c r="CL511" s="141"/>
    </row>
    <row r="512" spans="74:90" ht="49.5" customHeight="1" x14ac:dyDescent="0.35">
      <c r="BV512" s="140"/>
      <c r="BY512" s="141"/>
      <c r="BZ512" s="141"/>
      <c r="CA512" s="141"/>
      <c r="CB512" s="141"/>
      <c r="CC512" s="141"/>
      <c r="CD512" s="141"/>
      <c r="CE512" s="141"/>
      <c r="CF512" s="141"/>
      <c r="CG512" s="141"/>
      <c r="CH512" s="141"/>
      <c r="CI512" s="141"/>
      <c r="CJ512" s="141"/>
      <c r="CK512" s="141"/>
      <c r="CL512" s="141"/>
    </row>
    <row r="513" spans="74:90" ht="49.5" customHeight="1" x14ac:dyDescent="0.35">
      <c r="BV513" s="140"/>
      <c r="BY513" s="141"/>
      <c r="BZ513" s="141"/>
      <c r="CA513" s="141"/>
      <c r="CB513" s="141"/>
      <c r="CC513" s="141"/>
      <c r="CD513" s="141"/>
      <c r="CE513" s="141"/>
      <c r="CF513" s="141"/>
      <c r="CG513" s="141"/>
      <c r="CH513" s="141"/>
      <c r="CI513" s="141"/>
      <c r="CJ513" s="141"/>
      <c r="CK513" s="141"/>
      <c r="CL513" s="141"/>
    </row>
    <row r="514" spans="74:90" ht="49.5" customHeight="1" x14ac:dyDescent="0.35">
      <c r="BV514" s="140"/>
      <c r="BY514" s="141"/>
      <c r="BZ514" s="141"/>
      <c r="CA514" s="141"/>
      <c r="CB514" s="141"/>
      <c r="CC514" s="141"/>
      <c r="CD514" s="141"/>
      <c r="CE514" s="141"/>
      <c r="CF514" s="141"/>
      <c r="CG514" s="141"/>
      <c r="CH514" s="141"/>
      <c r="CI514" s="141"/>
      <c r="CJ514" s="141"/>
      <c r="CK514" s="141"/>
      <c r="CL514" s="141"/>
    </row>
    <row r="515" spans="74:90" ht="49.5" customHeight="1" x14ac:dyDescent="0.35">
      <c r="BV515" s="140"/>
      <c r="BY515" s="141"/>
      <c r="BZ515" s="141"/>
      <c r="CA515" s="141"/>
      <c r="CB515" s="141"/>
      <c r="CC515" s="141"/>
      <c r="CD515" s="141"/>
      <c r="CE515" s="141"/>
      <c r="CF515" s="141"/>
      <c r="CG515" s="141"/>
      <c r="CH515" s="141"/>
      <c r="CI515" s="141"/>
      <c r="CJ515" s="141"/>
      <c r="CK515" s="141"/>
      <c r="CL515" s="141"/>
    </row>
    <row r="516" spans="74:90" ht="49.5" customHeight="1" x14ac:dyDescent="0.35">
      <c r="BV516" s="140"/>
      <c r="BY516" s="141"/>
      <c r="BZ516" s="141"/>
      <c r="CA516" s="141"/>
      <c r="CB516" s="141"/>
      <c r="CC516" s="141"/>
      <c r="CD516" s="141"/>
      <c r="CE516" s="141"/>
      <c r="CF516" s="141"/>
      <c r="CG516" s="141"/>
      <c r="CH516" s="141"/>
      <c r="CI516" s="141"/>
      <c r="CJ516" s="141"/>
      <c r="CK516" s="141"/>
      <c r="CL516" s="141"/>
    </row>
    <row r="517" spans="74:90" ht="49.5" customHeight="1" x14ac:dyDescent="0.35">
      <c r="BV517" s="140"/>
      <c r="BY517" s="141"/>
      <c r="BZ517" s="141"/>
      <c r="CA517" s="141"/>
      <c r="CB517" s="141"/>
      <c r="CC517" s="141"/>
      <c r="CD517" s="141"/>
      <c r="CE517" s="141"/>
      <c r="CF517" s="141"/>
      <c r="CG517" s="141"/>
      <c r="CH517" s="141"/>
      <c r="CI517" s="141"/>
      <c r="CJ517" s="141"/>
      <c r="CK517" s="141"/>
      <c r="CL517" s="141"/>
    </row>
    <row r="518" spans="74:90" ht="49.5" customHeight="1" x14ac:dyDescent="0.35">
      <c r="BV518" s="140"/>
      <c r="BY518" s="141"/>
      <c r="BZ518" s="141"/>
      <c r="CA518" s="141"/>
      <c r="CB518" s="141"/>
      <c r="CC518" s="141"/>
      <c r="CD518" s="141"/>
      <c r="CE518" s="141"/>
      <c r="CF518" s="141"/>
      <c r="CG518" s="141"/>
      <c r="CH518" s="141"/>
      <c r="CI518" s="141"/>
      <c r="CJ518" s="141"/>
      <c r="CK518" s="141"/>
      <c r="CL518" s="141"/>
    </row>
    <row r="519" spans="74:90" ht="49.5" customHeight="1" x14ac:dyDescent="0.35">
      <c r="BV519" s="140"/>
      <c r="BY519" s="141"/>
      <c r="BZ519" s="141"/>
      <c r="CA519" s="141"/>
      <c r="CB519" s="141"/>
      <c r="CC519" s="141"/>
      <c r="CD519" s="141"/>
      <c r="CE519" s="141"/>
      <c r="CF519" s="141"/>
      <c r="CG519" s="141"/>
      <c r="CH519" s="141"/>
      <c r="CI519" s="141"/>
      <c r="CJ519" s="141"/>
      <c r="CK519" s="141"/>
      <c r="CL519" s="141"/>
    </row>
    <row r="520" spans="74:90" ht="49.5" customHeight="1" x14ac:dyDescent="0.35">
      <c r="BV520" s="140"/>
      <c r="BY520" s="141"/>
      <c r="BZ520" s="141"/>
      <c r="CA520" s="141"/>
      <c r="CB520" s="141"/>
      <c r="CC520" s="141"/>
      <c r="CD520" s="141"/>
      <c r="CE520" s="141"/>
      <c r="CF520" s="141"/>
      <c r="CG520" s="141"/>
      <c r="CH520" s="141"/>
      <c r="CI520" s="141"/>
      <c r="CJ520" s="141"/>
      <c r="CK520" s="141"/>
      <c r="CL520" s="141"/>
    </row>
    <row r="521" spans="74:90" ht="49.5" customHeight="1" x14ac:dyDescent="0.35">
      <c r="BV521" s="140"/>
      <c r="BY521" s="141"/>
      <c r="BZ521" s="141"/>
      <c r="CA521" s="141"/>
      <c r="CB521" s="141"/>
      <c r="CC521" s="141"/>
      <c r="CD521" s="141"/>
      <c r="CE521" s="141"/>
      <c r="CF521" s="141"/>
      <c r="CG521" s="141"/>
      <c r="CH521" s="141"/>
      <c r="CI521" s="141"/>
      <c r="CJ521" s="141"/>
      <c r="CK521" s="141"/>
      <c r="CL521" s="141"/>
    </row>
    <row r="522" spans="74:90" ht="49.5" customHeight="1" x14ac:dyDescent="0.35">
      <c r="BV522" s="140"/>
      <c r="BY522" s="141"/>
      <c r="BZ522" s="141"/>
      <c r="CA522" s="141"/>
      <c r="CB522" s="141"/>
      <c r="CC522" s="141"/>
      <c r="CD522" s="141"/>
      <c r="CE522" s="141"/>
      <c r="CF522" s="141"/>
      <c r="CG522" s="141"/>
      <c r="CH522" s="141"/>
      <c r="CI522" s="141"/>
      <c r="CJ522" s="141"/>
      <c r="CK522" s="141"/>
      <c r="CL522" s="141"/>
    </row>
    <row r="523" spans="74:90" ht="49.5" customHeight="1" x14ac:dyDescent="0.35">
      <c r="BV523" s="140"/>
      <c r="BY523" s="141"/>
      <c r="BZ523" s="141"/>
      <c r="CA523" s="141"/>
      <c r="CB523" s="141"/>
      <c r="CC523" s="141"/>
      <c r="CD523" s="141"/>
      <c r="CE523" s="141"/>
      <c r="CF523" s="141"/>
      <c r="CG523" s="141"/>
      <c r="CH523" s="141"/>
      <c r="CI523" s="141"/>
      <c r="CJ523" s="141"/>
      <c r="CK523" s="141"/>
      <c r="CL523" s="141"/>
    </row>
    <row r="524" spans="74:90" ht="49.5" customHeight="1" x14ac:dyDescent="0.35">
      <c r="BV524" s="140"/>
      <c r="BY524" s="141"/>
      <c r="BZ524" s="141"/>
      <c r="CA524" s="141"/>
      <c r="CB524" s="141"/>
      <c r="CC524" s="141"/>
      <c r="CD524" s="141"/>
      <c r="CE524" s="141"/>
      <c r="CF524" s="141"/>
      <c r="CG524" s="141"/>
      <c r="CH524" s="141"/>
      <c r="CI524" s="141"/>
      <c r="CJ524" s="141"/>
      <c r="CK524" s="141"/>
      <c r="CL524" s="141"/>
    </row>
    <row r="525" spans="74:90" ht="49.5" customHeight="1" x14ac:dyDescent="0.35">
      <c r="BV525" s="140"/>
      <c r="BY525" s="141"/>
      <c r="BZ525" s="141"/>
      <c r="CA525" s="141"/>
      <c r="CB525" s="141"/>
      <c r="CC525" s="141"/>
      <c r="CD525" s="141"/>
      <c r="CE525" s="141"/>
      <c r="CF525" s="141"/>
      <c r="CG525" s="141"/>
      <c r="CH525" s="141"/>
      <c r="CI525" s="141"/>
      <c r="CJ525" s="141"/>
      <c r="CK525" s="141"/>
      <c r="CL525" s="141"/>
    </row>
    <row r="526" spans="74:90" ht="49.5" customHeight="1" x14ac:dyDescent="0.35">
      <c r="BV526" s="140"/>
      <c r="BY526" s="141"/>
      <c r="BZ526" s="141"/>
      <c r="CA526" s="141"/>
      <c r="CB526" s="141"/>
      <c r="CC526" s="141"/>
      <c r="CD526" s="141"/>
      <c r="CE526" s="141"/>
      <c r="CF526" s="141"/>
      <c r="CG526" s="141"/>
      <c r="CH526" s="141"/>
      <c r="CI526" s="141"/>
      <c r="CJ526" s="141"/>
      <c r="CK526" s="141"/>
      <c r="CL526" s="141"/>
    </row>
    <row r="527" spans="74:90" ht="49.5" customHeight="1" x14ac:dyDescent="0.35">
      <c r="BV527" s="140"/>
      <c r="BY527" s="141"/>
      <c r="BZ527" s="141"/>
      <c r="CA527" s="141"/>
      <c r="CB527" s="141"/>
      <c r="CC527" s="141"/>
      <c r="CD527" s="141"/>
      <c r="CE527" s="141"/>
      <c r="CF527" s="141"/>
      <c r="CG527" s="141"/>
      <c r="CH527" s="141"/>
      <c r="CI527" s="141"/>
      <c r="CJ527" s="141"/>
      <c r="CK527" s="141"/>
      <c r="CL527" s="141"/>
    </row>
    <row r="528" spans="74:90" ht="49.5" customHeight="1" x14ac:dyDescent="0.35">
      <c r="BV528" s="140"/>
      <c r="BY528" s="141"/>
      <c r="BZ528" s="141"/>
      <c r="CA528" s="141"/>
      <c r="CB528" s="141"/>
      <c r="CC528" s="141"/>
      <c r="CD528" s="141"/>
      <c r="CE528" s="141"/>
      <c r="CF528" s="141"/>
      <c r="CG528" s="141"/>
      <c r="CH528" s="141"/>
      <c r="CI528" s="141"/>
      <c r="CJ528" s="141"/>
      <c r="CK528" s="141"/>
      <c r="CL528" s="141"/>
    </row>
    <row r="529" spans="74:90" ht="49.5" customHeight="1" x14ac:dyDescent="0.35">
      <c r="BV529" s="140"/>
      <c r="BY529" s="141"/>
      <c r="BZ529" s="141"/>
      <c r="CA529" s="141"/>
      <c r="CB529" s="141"/>
      <c r="CC529" s="141"/>
      <c r="CD529" s="141"/>
      <c r="CE529" s="141"/>
      <c r="CF529" s="141"/>
      <c r="CG529" s="141"/>
      <c r="CH529" s="141"/>
      <c r="CI529" s="141"/>
      <c r="CJ529" s="141"/>
      <c r="CK529" s="141"/>
      <c r="CL529" s="141"/>
    </row>
    <row r="530" spans="74:90" ht="49.5" customHeight="1" x14ac:dyDescent="0.35">
      <c r="BV530" s="140"/>
      <c r="BY530" s="141"/>
      <c r="BZ530" s="141"/>
      <c r="CA530" s="141"/>
      <c r="CB530" s="141"/>
      <c r="CC530" s="141"/>
      <c r="CD530" s="141"/>
      <c r="CE530" s="141"/>
      <c r="CF530" s="141"/>
      <c r="CG530" s="141"/>
      <c r="CH530" s="141"/>
      <c r="CI530" s="141"/>
      <c r="CJ530" s="141"/>
      <c r="CK530" s="141"/>
      <c r="CL530" s="141"/>
    </row>
    <row r="531" spans="74:90" ht="49.5" customHeight="1" x14ac:dyDescent="0.35">
      <c r="BV531" s="140"/>
      <c r="BY531" s="141"/>
      <c r="BZ531" s="141"/>
      <c r="CA531" s="141"/>
      <c r="CB531" s="141"/>
      <c r="CC531" s="141"/>
      <c r="CD531" s="141"/>
      <c r="CE531" s="141"/>
      <c r="CF531" s="141"/>
      <c r="CG531" s="141"/>
      <c r="CH531" s="141"/>
      <c r="CI531" s="141"/>
      <c r="CJ531" s="141"/>
      <c r="CK531" s="141"/>
      <c r="CL531" s="141"/>
    </row>
    <row r="532" spans="74:90" ht="49.5" customHeight="1" x14ac:dyDescent="0.35">
      <c r="BV532" s="140"/>
      <c r="BY532" s="141"/>
      <c r="BZ532" s="141"/>
      <c r="CA532" s="141"/>
      <c r="CB532" s="141"/>
      <c r="CC532" s="141"/>
      <c r="CD532" s="141"/>
      <c r="CE532" s="141"/>
      <c r="CF532" s="141"/>
      <c r="CG532" s="141"/>
      <c r="CH532" s="141"/>
      <c r="CI532" s="141"/>
      <c r="CJ532" s="141"/>
      <c r="CK532" s="141"/>
      <c r="CL532" s="141"/>
    </row>
    <row r="533" spans="74:90" ht="49.5" customHeight="1" x14ac:dyDescent="0.35">
      <c r="BV533" s="140"/>
      <c r="BY533" s="141"/>
      <c r="BZ533" s="141"/>
      <c r="CA533" s="141"/>
      <c r="CB533" s="141"/>
      <c r="CC533" s="141"/>
      <c r="CD533" s="141"/>
      <c r="CE533" s="141"/>
      <c r="CF533" s="141"/>
      <c r="CG533" s="141"/>
      <c r="CH533" s="141"/>
      <c r="CI533" s="141"/>
      <c r="CJ533" s="141"/>
      <c r="CK533" s="141"/>
      <c r="CL533" s="141"/>
    </row>
    <row r="534" spans="74:90" ht="49.5" customHeight="1" x14ac:dyDescent="0.35">
      <c r="BV534" s="140"/>
      <c r="BY534" s="141"/>
      <c r="BZ534" s="141"/>
      <c r="CA534" s="141"/>
      <c r="CB534" s="141"/>
      <c r="CC534" s="141"/>
      <c r="CD534" s="141"/>
      <c r="CE534" s="141"/>
      <c r="CF534" s="141"/>
      <c r="CG534" s="141"/>
      <c r="CH534" s="141"/>
      <c r="CI534" s="141"/>
      <c r="CJ534" s="141"/>
      <c r="CK534" s="141"/>
      <c r="CL534" s="141"/>
    </row>
    <row r="535" spans="74:90" ht="49.5" customHeight="1" x14ac:dyDescent="0.35">
      <c r="BV535" s="140"/>
      <c r="BY535" s="141"/>
      <c r="BZ535" s="141"/>
      <c r="CA535" s="141"/>
      <c r="CB535" s="141"/>
      <c r="CC535" s="141"/>
      <c r="CD535" s="141"/>
      <c r="CE535" s="141"/>
      <c r="CF535" s="141"/>
      <c r="CG535" s="141"/>
      <c r="CH535" s="141"/>
      <c r="CI535" s="141"/>
      <c r="CJ535" s="141"/>
      <c r="CK535" s="141"/>
      <c r="CL535" s="141"/>
    </row>
    <row r="536" spans="74:90" ht="49.5" customHeight="1" x14ac:dyDescent="0.35">
      <c r="BV536" s="140"/>
      <c r="BY536" s="141"/>
      <c r="BZ536" s="141"/>
      <c r="CA536" s="141"/>
      <c r="CB536" s="141"/>
      <c r="CC536" s="141"/>
      <c r="CD536" s="141"/>
      <c r="CE536" s="141"/>
      <c r="CF536" s="141"/>
      <c r="CG536" s="141"/>
      <c r="CH536" s="141"/>
      <c r="CI536" s="141"/>
      <c r="CJ536" s="141"/>
      <c r="CK536" s="141"/>
      <c r="CL536" s="141"/>
    </row>
    <row r="537" spans="74:90" ht="49.5" customHeight="1" x14ac:dyDescent="0.35">
      <c r="BV537" s="140"/>
      <c r="BY537" s="141"/>
      <c r="BZ537" s="141"/>
      <c r="CA537" s="141"/>
      <c r="CB537" s="141"/>
      <c r="CC537" s="141"/>
      <c r="CD537" s="141"/>
      <c r="CE537" s="141"/>
      <c r="CF537" s="141"/>
      <c r="CG537" s="141"/>
      <c r="CH537" s="141"/>
      <c r="CI537" s="141"/>
      <c r="CJ537" s="141"/>
      <c r="CK537" s="141"/>
      <c r="CL537" s="141"/>
    </row>
    <row r="538" spans="74:90" ht="49.5" customHeight="1" x14ac:dyDescent="0.35">
      <c r="BV538" s="140"/>
      <c r="BY538" s="141"/>
      <c r="BZ538" s="141"/>
      <c r="CA538" s="141"/>
      <c r="CB538" s="141"/>
      <c r="CC538" s="141"/>
      <c r="CD538" s="141"/>
      <c r="CE538" s="141"/>
      <c r="CF538" s="141"/>
      <c r="CG538" s="141"/>
      <c r="CH538" s="141"/>
      <c r="CI538" s="141"/>
      <c r="CJ538" s="141"/>
      <c r="CK538" s="141"/>
      <c r="CL538" s="141"/>
    </row>
    <row r="539" spans="74:90" ht="49.5" customHeight="1" x14ac:dyDescent="0.35">
      <c r="BV539" s="140"/>
      <c r="BY539" s="141"/>
      <c r="BZ539" s="141"/>
      <c r="CA539" s="141"/>
      <c r="CB539" s="141"/>
      <c r="CC539" s="141"/>
      <c r="CD539" s="141"/>
      <c r="CE539" s="141"/>
      <c r="CF539" s="141"/>
      <c r="CG539" s="141"/>
      <c r="CH539" s="141"/>
      <c r="CI539" s="141"/>
      <c r="CJ539" s="141"/>
      <c r="CK539" s="141"/>
      <c r="CL539" s="141"/>
    </row>
    <row r="540" spans="74:90" ht="49.5" customHeight="1" x14ac:dyDescent="0.35">
      <c r="BV540" s="140"/>
      <c r="BY540" s="141"/>
      <c r="BZ540" s="141"/>
      <c r="CA540" s="141"/>
      <c r="CB540" s="141"/>
      <c r="CC540" s="141"/>
      <c r="CD540" s="141"/>
      <c r="CE540" s="141"/>
      <c r="CF540" s="141"/>
      <c r="CG540" s="141"/>
      <c r="CH540" s="141"/>
      <c r="CI540" s="141"/>
      <c r="CJ540" s="141"/>
      <c r="CK540" s="141"/>
      <c r="CL540" s="141"/>
    </row>
    <row r="541" spans="74:90" ht="49.5" customHeight="1" x14ac:dyDescent="0.35">
      <c r="BV541" s="140"/>
      <c r="BY541" s="141"/>
      <c r="BZ541" s="141"/>
      <c r="CA541" s="141"/>
      <c r="CB541" s="141"/>
      <c r="CC541" s="141"/>
      <c r="CD541" s="141"/>
      <c r="CE541" s="141"/>
      <c r="CF541" s="141"/>
      <c r="CG541" s="141"/>
      <c r="CH541" s="141"/>
      <c r="CI541" s="141"/>
      <c r="CJ541" s="141"/>
      <c r="CK541" s="141"/>
      <c r="CL541" s="141"/>
    </row>
    <row r="542" spans="74:90" ht="49.5" customHeight="1" x14ac:dyDescent="0.35">
      <c r="BV542" s="140"/>
      <c r="BY542" s="141"/>
      <c r="BZ542" s="141"/>
      <c r="CA542" s="141"/>
      <c r="CB542" s="141"/>
      <c r="CC542" s="141"/>
      <c r="CD542" s="141"/>
      <c r="CE542" s="141"/>
      <c r="CF542" s="141"/>
      <c r="CG542" s="141"/>
      <c r="CH542" s="141"/>
      <c r="CI542" s="141"/>
      <c r="CJ542" s="141"/>
      <c r="CK542" s="141"/>
      <c r="CL542" s="141"/>
    </row>
    <row r="543" spans="74:90" ht="49.5" customHeight="1" x14ac:dyDescent="0.35">
      <c r="BV543" s="140"/>
      <c r="BY543" s="141"/>
      <c r="BZ543" s="141"/>
      <c r="CA543" s="141"/>
      <c r="CB543" s="141"/>
      <c r="CC543" s="141"/>
      <c r="CD543" s="141"/>
      <c r="CE543" s="141"/>
      <c r="CF543" s="141"/>
      <c r="CG543" s="141"/>
      <c r="CH543" s="141"/>
      <c r="CI543" s="141"/>
      <c r="CJ543" s="141"/>
      <c r="CK543" s="141"/>
      <c r="CL543" s="141"/>
    </row>
    <row r="544" spans="74:90" ht="49.5" customHeight="1" x14ac:dyDescent="0.35">
      <c r="BV544" s="140"/>
      <c r="BY544" s="141"/>
      <c r="BZ544" s="141"/>
      <c r="CA544" s="141"/>
      <c r="CB544" s="141"/>
      <c r="CC544" s="141"/>
      <c r="CD544" s="141"/>
      <c r="CE544" s="141"/>
      <c r="CF544" s="141"/>
      <c r="CG544" s="141"/>
      <c r="CH544" s="141"/>
      <c r="CI544" s="141"/>
      <c r="CJ544" s="141"/>
      <c r="CK544" s="141"/>
      <c r="CL544" s="141"/>
    </row>
    <row r="545" spans="74:90" ht="49.5" customHeight="1" x14ac:dyDescent="0.35">
      <c r="BV545" s="140"/>
      <c r="BY545" s="141"/>
      <c r="BZ545" s="141"/>
      <c r="CA545" s="141"/>
      <c r="CB545" s="141"/>
      <c r="CC545" s="141"/>
      <c r="CD545" s="141"/>
      <c r="CE545" s="141"/>
      <c r="CF545" s="141"/>
      <c r="CG545" s="141"/>
      <c r="CH545" s="141"/>
      <c r="CI545" s="141"/>
      <c r="CJ545" s="141"/>
      <c r="CK545" s="141"/>
      <c r="CL545" s="141"/>
    </row>
    <row r="546" spans="74:90" ht="49.5" customHeight="1" x14ac:dyDescent="0.35">
      <c r="BV546" s="140"/>
      <c r="BY546" s="141"/>
      <c r="BZ546" s="141"/>
      <c r="CA546" s="141"/>
      <c r="CB546" s="141"/>
      <c r="CC546" s="141"/>
      <c r="CD546" s="141"/>
      <c r="CE546" s="141"/>
      <c r="CF546" s="141"/>
      <c r="CG546" s="141"/>
      <c r="CH546" s="141"/>
      <c r="CI546" s="141"/>
      <c r="CJ546" s="141"/>
      <c r="CK546" s="141"/>
      <c r="CL546" s="141"/>
    </row>
    <row r="547" spans="74:90" ht="49.5" customHeight="1" x14ac:dyDescent="0.35">
      <c r="BV547" s="140"/>
      <c r="BY547" s="141"/>
      <c r="BZ547" s="141"/>
      <c r="CA547" s="141"/>
      <c r="CB547" s="141"/>
      <c r="CC547" s="141"/>
      <c r="CD547" s="141"/>
      <c r="CE547" s="141"/>
      <c r="CF547" s="141"/>
      <c r="CG547" s="141"/>
      <c r="CH547" s="141"/>
      <c r="CI547" s="141"/>
      <c r="CJ547" s="141"/>
      <c r="CK547" s="141"/>
      <c r="CL547" s="141"/>
    </row>
    <row r="548" spans="74:90" ht="49.5" customHeight="1" x14ac:dyDescent="0.35">
      <c r="BV548" s="140"/>
      <c r="BY548" s="141"/>
      <c r="BZ548" s="141"/>
      <c r="CA548" s="141"/>
      <c r="CB548" s="141"/>
      <c r="CC548" s="141"/>
      <c r="CD548" s="141"/>
      <c r="CE548" s="141"/>
      <c r="CF548" s="141"/>
      <c r="CG548" s="141"/>
      <c r="CH548" s="141"/>
      <c r="CI548" s="141"/>
      <c r="CJ548" s="141"/>
      <c r="CK548" s="141"/>
      <c r="CL548" s="141"/>
    </row>
    <row r="549" spans="74:90" ht="49.5" customHeight="1" x14ac:dyDescent="0.35">
      <c r="BV549" s="140"/>
      <c r="BY549" s="141"/>
      <c r="BZ549" s="141"/>
      <c r="CA549" s="141"/>
      <c r="CB549" s="141"/>
      <c r="CC549" s="141"/>
      <c r="CD549" s="141"/>
      <c r="CE549" s="141"/>
      <c r="CF549" s="141"/>
      <c r="CG549" s="141"/>
      <c r="CH549" s="141"/>
      <c r="CI549" s="141"/>
      <c r="CJ549" s="141"/>
      <c r="CK549" s="141"/>
      <c r="CL549" s="141"/>
    </row>
    <row r="550" spans="74:90" ht="49.5" customHeight="1" x14ac:dyDescent="0.35">
      <c r="BV550" s="140"/>
      <c r="BY550" s="141"/>
      <c r="BZ550" s="141"/>
      <c r="CA550" s="141"/>
      <c r="CB550" s="141"/>
      <c r="CC550" s="141"/>
      <c r="CD550" s="141"/>
      <c r="CE550" s="141"/>
      <c r="CF550" s="141"/>
      <c r="CG550" s="141"/>
      <c r="CH550" s="141"/>
      <c r="CI550" s="141"/>
      <c r="CJ550" s="141"/>
      <c r="CK550" s="141"/>
      <c r="CL550" s="141"/>
    </row>
    <row r="551" spans="74:90" ht="49.5" customHeight="1" x14ac:dyDescent="0.35">
      <c r="BV551" s="140"/>
      <c r="BY551" s="141"/>
      <c r="BZ551" s="141"/>
      <c r="CA551" s="141"/>
      <c r="CB551" s="141"/>
      <c r="CC551" s="141"/>
      <c r="CD551" s="141"/>
      <c r="CE551" s="141"/>
      <c r="CF551" s="141"/>
      <c r="CG551" s="141"/>
      <c r="CH551" s="141"/>
      <c r="CI551" s="141"/>
      <c r="CJ551" s="141"/>
      <c r="CK551" s="141"/>
      <c r="CL551" s="141"/>
    </row>
    <row r="552" spans="74:90" ht="49.5" customHeight="1" x14ac:dyDescent="0.35">
      <c r="BV552" s="140"/>
      <c r="BY552" s="141"/>
      <c r="BZ552" s="141"/>
      <c r="CA552" s="141"/>
      <c r="CB552" s="141"/>
      <c r="CC552" s="141"/>
      <c r="CD552" s="141"/>
      <c r="CE552" s="141"/>
      <c r="CF552" s="141"/>
      <c r="CG552" s="141"/>
      <c r="CH552" s="141"/>
      <c r="CI552" s="141"/>
      <c r="CJ552" s="141"/>
      <c r="CK552" s="141"/>
      <c r="CL552" s="141"/>
    </row>
    <row r="553" spans="74:90" ht="49.5" customHeight="1" x14ac:dyDescent="0.35">
      <c r="BV553" s="140"/>
      <c r="BY553" s="141"/>
      <c r="BZ553" s="141"/>
      <c r="CA553" s="141"/>
      <c r="CB553" s="141"/>
      <c r="CC553" s="141"/>
      <c r="CD553" s="141"/>
      <c r="CE553" s="141"/>
      <c r="CF553" s="141"/>
      <c r="CG553" s="141"/>
      <c r="CH553" s="141"/>
      <c r="CI553" s="141"/>
      <c r="CJ553" s="141"/>
      <c r="CK553" s="141"/>
      <c r="CL553" s="141"/>
    </row>
    <row r="554" spans="74:90" ht="49.5" customHeight="1" x14ac:dyDescent="0.35">
      <c r="BV554" s="140"/>
      <c r="BY554" s="141"/>
      <c r="BZ554" s="141"/>
      <c r="CA554" s="141"/>
      <c r="CB554" s="141"/>
      <c r="CC554" s="141"/>
      <c r="CD554" s="141"/>
      <c r="CE554" s="141"/>
      <c r="CF554" s="141"/>
      <c r="CG554" s="141"/>
      <c r="CH554" s="141"/>
      <c r="CI554" s="141"/>
      <c r="CJ554" s="141"/>
      <c r="CK554" s="141"/>
      <c r="CL554" s="141"/>
    </row>
    <row r="555" spans="74:90" ht="49.5" customHeight="1" x14ac:dyDescent="0.35">
      <c r="BV555" s="140"/>
      <c r="BY555" s="141"/>
      <c r="BZ555" s="141"/>
      <c r="CA555" s="141"/>
      <c r="CB555" s="141"/>
      <c r="CC555" s="141"/>
      <c r="CD555" s="141"/>
      <c r="CE555" s="141"/>
      <c r="CF555" s="141"/>
      <c r="CG555" s="141"/>
      <c r="CH555" s="141"/>
      <c r="CI555" s="141"/>
      <c r="CJ555" s="141"/>
      <c r="CK555" s="141"/>
      <c r="CL555" s="141"/>
    </row>
    <row r="556" spans="74:90" ht="49.5" customHeight="1" x14ac:dyDescent="0.35">
      <c r="BV556" s="140"/>
      <c r="BY556" s="141"/>
      <c r="BZ556" s="141"/>
      <c r="CA556" s="141"/>
      <c r="CB556" s="141"/>
      <c r="CC556" s="141"/>
      <c r="CD556" s="141"/>
      <c r="CE556" s="141"/>
      <c r="CF556" s="141"/>
      <c r="CG556" s="141"/>
      <c r="CH556" s="141"/>
      <c r="CI556" s="141"/>
      <c r="CJ556" s="141"/>
      <c r="CK556" s="141"/>
      <c r="CL556" s="141"/>
    </row>
    <row r="557" spans="74:90" ht="49.5" customHeight="1" x14ac:dyDescent="0.35">
      <c r="BV557" s="140"/>
      <c r="BY557" s="141"/>
      <c r="BZ557" s="141"/>
      <c r="CA557" s="141"/>
      <c r="CB557" s="141"/>
      <c r="CC557" s="141"/>
      <c r="CD557" s="141"/>
      <c r="CE557" s="141"/>
      <c r="CF557" s="141"/>
      <c r="CG557" s="141"/>
      <c r="CH557" s="141"/>
      <c r="CI557" s="141"/>
      <c r="CJ557" s="141"/>
      <c r="CK557" s="141"/>
      <c r="CL557" s="141"/>
    </row>
    <row r="558" spans="74:90" ht="49.5" customHeight="1" x14ac:dyDescent="0.35">
      <c r="BV558" s="140"/>
      <c r="BY558" s="141"/>
      <c r="BZ558" s="141"/>
      <c r="CA558" s="141"/>
      <c r="CB558" s="141"/>
      <c r="CC558" s="141"/>
      <c r="CD558" s="141"/>
      <c r="CE558" s="141"/>
      <c r="CF558" s="141"/>
      <c r="CG558" s="141"/>
      <c r="CH558" s="141"/>
      <c r="CI558" s="141"/>
      <c r="CJ558" s="141"/>
      <c r="CK558" s="141"/>
      <c r="CL558" s="141"/>
    </row>
    <row r="559" spans="74:90" ht="49.5" customHeight="1" x14ac:dyDescent="0.35">
      <c r="BV559" s="140"/>
      <c r="BY559" s="141"/>
      <c r="BZ559" s="141"/>
      <c r="CA559" s="141"/>
      <c r="CB559" s="141"/>
      <c r="CC559" s="141"/>
      <c r="CD559" s="141"/>
      <c r="CE559" s="141"/>
      <c r="CF559" s="141"/>
      <c r="CG559" s="141"/>
      <c r="CH559" s="141"/>
      <c r="CI559" s="141"/>
      <c r="CJ559" s="141"/>
      <c r="CK559" s="141"/>
      <c r="CL559" s="141"/>
    </row>
    <row r="560" spans="74:90" ht="49.5" customHeight="1" x14ac:dyDescent="0.35">
      <c r="BV560" s="140"/>
      <c r="BY560" s="141"/>
      <c r="BZ560" s="141"/>
      <c r="CA560" s="141"/>
      <c r="CB560" s="141"/>
      <c r="CC560" s="141"/>
      <c r="CD560" s="141"/>
      <c r="CE560" s="141"/>
      <c r="CF560" s="141"/>
      <c r="CG560" s="141"/>
      <c r="CH560" s="141"/>
      <c r="CI560" s="141"/>
      <c r="CJ560" s="141"/>
      <c r="CK560" s="141"/>
      <c r="CL560" s="141"/>
    </row>
    <row r="561" spans="74:90" ht="49.5" customHeight="1" x14ac:dyDescent="0.35">
      <c r="BV561" s="140"/>
      <c r="BY561" s="141"/>
      <c r="BZ561" s="141"/>
      <c r="CA561" s="141"/>
      <c r="CB561" s="141"/>
      <c r="CC561" s="141"/>
      <c r="CD561" s="141"/>
      <c r="CE561" s="141"/>
      <c r="CF561" s="141"/>
      <c r="CG561" s="141"/>
      <c r="CH561" s="141"/>
      <c r="CI561" s="141"/>
      <c r="CJ561" s="141"/>
      <c r="CK561" s="141"/>
      <c r="CL561" s="141"/>
    </row>
    <row r="562" spans="74:90" ht="49.5" customHeight="1" x14ac:dyDescent="0.35">
      <c r="BV562" s="140"/>
      <c r="BY562" s="141"/>
      <c r="BZ562" s="141"/>
      <c r="CA562" s="141"/>
      <c r="CB562" s="141"/>
      <c r="CC562" s="141"/>
      <c r="CD562" s="141"/>
      <c r="CE562" s="141"/>
      <c r="CF562" s="141"/>
      <c r="CG562" s="141"/>
      <c r="CH562" s="141"/>
      <c r="CI562" s="141"/>
      <c r="CJ562" s="141"/>
      <c r="CK562" s="141"/>
      <c r="CL562" s="141"/>
    </row>
    <row r="563" spans="74:90" ht="49.5" customHeight="1" x14ac:dyDescent="0.35">
      <c r="BV563" s="140"/>
      <c r="BY563" s="141"/>
      <c r="BZ563" s="141"/>
      <c r="CA563" s="141"/>
      <c r="CB563" s="141"/>
      <c r="CC563" s="141"/>
      <c r="CD563" s="141"/>
      <c r="CE563" s="141"/>
      <c r="CF563" s="141"/>
      <c r="CG563" s="141"/>
      <c r="CH563" s="141"/>
      <c r="CI563" s="141"/>
      <c r="CJ563" s="141"/>
      <c r="CK563" s="141"/>
      <c r="CL563" s="141"/>
    </row>
    <row r="564" spans="74:90" ht="49.5" customHeight="1" x14ac:dyDescent="0.35">
      <c r="BV564" s="140"/>
      <c r="BY564" s="141"/>
      <c r="BZ564" s="141"/>
      <c r="CA564" s="141"/>
      <c r="CB564" s="141"/>
      <c r="CC564" s="141"/>
      <c r="CD564" s="141"/>
      <c r="CE564" s="141"/>
      <c r="CF564" s="141"/>
      <c r="CG564" s="141"/>
      <c r="CH564" s="141"/>
      <c r="CI564" s="141"/>
      <c r="CJ564" s="141"/>
      <c r="CK564" s="141"/>
      <c r="CL564" s="141"/>
    </row>
    <row r="565" spans="74:90" ht="49.5" customHeight="1" x14ac:dyDescent="0.35">
      <c r="BV565" s="140"/>
      <c r="BY565" s="141"/>
      <c r="BZ565" s="141"/>
      <c r="CA565" s="141"/>
      <c r="CB565" s="141"/>
      <c r="CC565" s="141"/>
      <c r="CD565" s="141"/>
      <c r="CE565" s="141"/>
      <c r="CF565" s="141"/>
      <c r="CG565" s="141"/>
      <c r="CH565" s="141"/>
      <c r="CI565" s="141"/>
      <c r="CJ565" s="141"/>
      <c r="CK565" s="141"/>
      <c r="CL565" s="141"/>
    </row>
    <row r="566" spans="74:90" ht="49.5" customHeight="1" x14ac:dyDescent="0.35">
      <c r="BV566" s="140"/>
      <c r="BY566" s="141"/>
      <c r="BZ566" s="141"/>
      <c r="CA566" s="141"/>
      <c r="CB566" s="141"/>
      <c r="CC566" s="141"/>
      <c r="CD566" s="141"/>
      <c r="CE566" s="141"/>
      <c r="CF566" s="141"/>
      <c r="CG566" s="141"/>
      <c r="CH566" s="141"/>
      <c r="CI566" s="141"/>
      <c r="CJ566" s="141"/>
      <c r="CK566" s="141"/>
      <c r="CL566" s="141"/>
    </row>
    <row r="567" spans="74:90" ht="49.5" customHeight="1" x14ac:dyDescent="0.35">
      <c r="BV567" s="140"/>
      <c r="BY567" s="141"/>
      <c r="BZ567" s="141"/>
      <c r="CA567" s="141"/>
      <c r="CB567" s="141"/>
      <c r="CC567" s="141"/>
      <c r="CD567" s="141"/>
      <c r="CE567" s="141"/>
      <c r="CF567" s="141"/>
      <c r="CG567" s="141"/>
      <c r="CH567" s="141"/>
      <c r="CI567" s="141"/>
      <c r="CJ567" s="141"/>
      <c r="CK567" s="141"/>
      <c r="CL567" s="141"/>
    </row>
    <row r="568" spans="74:90" ht="49.5" customHeight="1" x14ac:dyDescent="0.35">
      <c r="BV568" s="140"/>
      <c r="BY568" s="141"/>
      <c r="BZ568" s="141"/>
      <c r="CA568" s="141"/>
      <c r="CB568" s="141"/>
      <c r="CC568" s="141"/>
      <c r="CD568" s="141"/>
      <c r="CE568" s="141"/>
      <c r="CF568" s="141"/>
      <c r="CG568" s="141"/>
      <c r="CH568" s="141"/>
      <c r="CI568" s="141"/>
      <c r="CJ568" s="141"/>
      <c r="CK568" s="141"/>
      <c r="CL568" s="141"/>
    </row>
    <row r="569" spans="74:90" ht="49.5" customHeight="1" x14ac:dyDescent="0.35">
      <c r="BV569" s="140"/>
      <c r="BY569" s="141"/>
      <c r="BZ569" s="141"/>
      <c r="CA569" s="141"/>
      <c r="CB569" s="141"/>
      <c r="CC569" s="141"/>
      <c r="CD569" s="141"/>
      <c r="CE569" s="141"/>
      <c r="CF569" s="141"/>
      <c r="CG569" s="141"/>
      <c r="CH569" s="141"/>
      <c r="CI569" s="141"/>
      <c r="CJ569" s="141"/>
      <c r="CK569" s="141"/>
      <c r="CL569" s="141"/>
    </row>
    <row r="570" spans="74:90" ht="49.5" customHeight="1" x14ac:dyDescent="0.35">
      <c r="BV570" s="140"/>
      <c r="BY570" s="141"/>
      <c r="BZ570" s="141"/>
      <c r="CA570" s="141"/>
      <c r="CB570" s="141"/>
      <c r="CC570" s="141"/>
      <c r="CD570" s="141"/>
      <c r="CE570" s="141"/>
      <c r="CF570" s="141"/>
      <c r="CG570" s="141"/>
      <c r="CH570" s="141"/>
      <c r="CI570" s="141"/>
      <c r="CJ570" s="141"/>
      <c r="CK570" s="141"/>
      <c r="CL570" s="141"/>
    </row>
    <row r="571" spans="74:90" ht="49.5" customHeight="1" x14ac:dyDescent="0.35">
      <c r="BV571" s="140"/>
      <c r="BY571" s="141"/>
      <c r="BZ571" s="141"/>
      <c r="CA571" s="141"/>
      <c r="CB571" s="141"/>
      <c r="CC571" s="141"/>
      <c r="CD571" s="141"/>
      <c r="CE571" s="141"/>
      <c r="CF571" s="141"/>
      <c r="CG571" s="141"/>
      <c r="CH571" s="141"/>
      <c r="CI571" s="141"/>
      <c r="CJ571" s="141"/>
      <c r="CK571" s="141"/>
      <c r="CL571" s="141"/>
    </row>
    <row r="572" spans="74:90" ht="49.5" customHeight="1" x14ac:dyDescent="0.35">
      <c r="BV572" s="140"/>
      <c r="BY572" s="141"/>
      <c r="BZ572" s="141"/>
      <c r="CA572" s="141"/>
      <c r="CB572" s="141"/>
      <c r="CC572" s="141"/>
      <c r="CD572" s="141"/>
      <c r="CE572" s="141"/>
      <c r="CF572" s="141"/>
      <c r="CG572" s="141"/>
      <c r="CH572" s="141"/>
      <c r="CI572" s="141"/>
      <c r="CJ572" s="141"/>
      <c r="CK572" s="141"/>
      <c r="CL572" s="141"/>
    </row>
    <row r="573" spans="74:90" ht="49.5" customHeight="1" x14ac:dyDescent="0.35">
      <c r="BV573" s="140"/>
      <c r="BY573" s="141"/>
      <c r="BZ573" s="141"/>
      <c r="CA573" s="141"/>
      <c r="CB573" s="141"/>
      <c r="CC573" s="141"/>
      <c r="CD573" s="141"/>
      <c r="CE573" s="141"/>
      <c r="CF573" s="141"/>
      <c r="CG573" s="141"/>
      <c r="CH573" s="141"/>
      <c r="CI573" s="141"/>
      <c r="CJ573" s="141"/>
      <c r="CK573" s="141"/>
      <c r="CL573" s="141"/>
    </row>
    <row r="574" spans="74:90" ht="49.5" customHeight="1" x14ac:dyDescent="0.35">
      <c r="BV574" s="140"/>
      <c r="BY574" s="141"/>
      <c r="BZ574" s="141"/>
      <c r="CA574" s="141"/>
      <c r="CB574" s="141"/>
      <c r="CC574" s="141"/>
      <c r="CD574" s="141"/>
      <c r="CE574" s="141"/>
      <c r="CF574" s="141"/>
      <c r="CG574" s="141"/>
      <c r="CH574" s="141"/>
      <c r="CI574" s="141"/>
      <c r="CJ574" s="141"/>
      <c r="CK574" s="141"/>
      <c r="CL574" s="141"/>
    </row>
    <row r="575" spans="74:90" ht="49.5" customHeight="1" x14ac:dyDescent="0.35">
      <c r="BV575" s="140"/>
      <c r="BY575" s="141"/>
      <c r="BZ575" s="141"/>
      <c r="CA575" s="141"/>
      <c r="CB575" s="141"/>
      <c r="CC575" s="141"/>
      <c r="CD575" s="141"/>
      <c r="CE575" s="141"/>
      <c r="CF575" s="141"/>
      <c r="CG575" s="141"/>
      <c r="CH575" s="141"/>
      <c r="CI575" s="141"/>
      <c r="CJ575" s="141"/>
      <c r="CK575" s="141"/>
      <c r="CL575" s="141"/>
    </row>
    <row r="576" spans="74:90" ht="49.5" customHeight="1" x14ac:dyDescent="0.35">
      <c r="BV576" s="140"/>
      <c r="BY576" s="141"/>
      <c r="BZ576" s="141"/>
      <c r="CA576" s="141"/>
      <c r="CB576" s="141"/>
      <c r="CC576" s="141"/>
      <c r="CD576" s="141"/>
      <c r="CE576" s="141"/>
      <c r="CF576" s="141"/>
      <c r="CG576" s="141"/>
      <c r="CH576" s="141"/>
      <c r="CI576" s="141"/>
      <c r="CJ576" s="141"/>
      <c r="CK576" s="141"/>
      <c r="CL576" s="141"/>
    </row>
    <row r="577" spans="74:90" ht="49.5" customHeight="1" x14ac:dyDescent="0.35">
      <c r="BV577" s="140"/>
      <c r="BY577" s="141"/>
      <c r="BZ577" s="141"/>
      <c r="CA577" s="141"/>
      <c r="CB577" s="141"/>
      <c r="CC577" s="141"/>
      <c r="CD577" s="141"/>
      <c r="CE577" s="141"/>
      <c r="CF577" s="141"/>
      <c r="CG577" s="141"/>
      <c r="CH577" s="141"/>
      <c r="CI577" s="141"/>
      <c r="CJ577" s="141"/>
      <c r="CK577" s="141"/>
      <c r="CL577" s="141"/>
    </row>
    <row r="578" spans="74:90" ht="49.5" customHeight="1" x14ac:dyDescent="0.35">
      <c r="BV578" s="140"/>
      <c r="BY578" s="141"/>
      <c r="BZ578" s="141"/>
      <c r="CA578" s="141"/>
      <c r="CB578" s="141"/>
      <c r="CC578" s="141"/>
      <c r="CD578" s="141"/>
      <c r="CE578" s="141"/>
      <c r="CF578" s="141"/>
      <c r="CG578" s="141"/>
      <c r="CH578" s="141"/>
      <c r="CI578" s="141"/>
      <c r="CJ578" s="141"/>
      <c r="CK578" s="141"/>
      <c r="CL578" s="141"/>
    </row>
    <row r="579" spans="74:90" ht="49.5" customHeight="1" x14ac:dyDescent="0.35">
      <c r="BV579" s="140"/>
      <c r="BY579" s="141"/>
      <c r="BZ579" s="141"/>
      <c r="CA579" s="141"/>
      <c r="CB579" s="141"/>
      <c r="CC579" s="141"/>
      <c r="CD579" s="141"/>
      <c r="CE579" s="141"/>
      <c r="CF579" s="141"/>
      <c r="CG579" s="141"/>
      <c r="CH579" s="141"/>
      <c r="CI579" s="141"/>
      <c r="CJ579" s="141"/>
      <c r="CK579" s="141"/>
      <c r="CL579" s="141"/>
    </row>
    <row r="580" spans="74:90" ht="49.5" customHeight="1" x14ac:dyDescent="0.35">
      <c r="BV580" s="140"/>
      <c r="BY580" s="141"/>
      <c r="BZ580" s="141"/>
      <c r="CA580" s="141"/>
      <c r="CB580" s="141"/>
      <c r="CC580" s="141"/>
      <c r="CD580" s="141"/>
      <c r="CE580" s="141"/>
      <c r="CF580" s="141"/>
      <c r="CG580" s="141"/>
      <c r="CH580" s="141"/>
      <c r="CI580" s="141"/>
      <c r="CJ580" s="141"/>
      <c r="CK580" s="141"/>
      <c r="CL580" s="141"/>
    </row>
    <row r="581" spans="74:90" ht="49.5" customHeight="1" x14ac:dyDescent="0.35">
      <c r="BV581" s="140"/>
      <c r="BY581" s="141"/>
      <c r="BZ581" s="141"/>
      <c r="CA581" s="141"/>
      <c r="CB581" s="141"/>
      <c r="CC581" s="141"/>
      <c r="CD581" s="141"/>
      <c r="CE581" s="141"/>
      <c r="CF581" s="141"/>
      <c r="CG581" s="141"/>
      <c r="CH581" s="141"/>
      <c r="CI581" s="141"/>
      <c r="CJ581" s="141"/>
      <c r="CK581" s="141"/>
      <c r="CL581" s="141"/>
    </row>
    <row r="582" spans="74:90" ht="49.5" customHeight="1" x14ac:dyDescent="0.35">
      <c r="BV582" s="140"/>
      <c r="BY582" s="141"/>
      <c r="BZ582" s="141"/>
      <c r="CA582" s="141"/>
      <c r="CB582" s="141"/>
      <c r="CC582" s="141"/>
      <c r="CD582" s="141"/>
      <c r="CE582" s="141"/>
      <c r="CF582" s="141"/>
      <c r="CG582" s="141"/>
      <c r="CH582" s="141"/>
      <c r="CI582" s="141"/>
      <c r="CJ582" s="141"/>
      <c r="CK582" s="141"/>
      <c r="CL582" s="141"/>
    </row>
    <row r="583" spans="74:90" ht="49.5" customHeight="1" x14ac:dyDescent="0.35">
      <c r="BV583" s="140"/>
      <c r="BY583" s="141"/>
      <c r="BZ583" s="141"/>
      <c r="CA583" s="141"/>
      <c r="CB583" s="141"/>
      <c r="CC583" s="141"/>
      <c r="CD583" s="141"/>
      <c r="CE583" s="141"/>
      <c r="CF583" s="141"/>
      <c r="CG583" s="141"/>
      <c r="CH583" s="141"/>
      <c r="CI583" s="141"/>
      <c r="CJ583" s="141"/>
      <c r="CK583" s="141"/>
      <c r="CL583" s="141"/>
    </row>
    <row r="584" spans="74:90" ht="49.5" customHeight="1" x14ac:dyDescent="0.35">
      <c r="BV584" s="140"/>
      <c r="BY584" s="141"/>
      <c r="BZ584" s="141"/>
      <c r="CA584" s="141"/>
      <c r="CB584" s="141"/>
      <c r="CC584" s="141"/>
      <c r="CD584" s="141"/>
      <c r="CE584" s="141"/>
      <c r="CF584" s="141"/>
      <c r="CG584" s="141"/>
      <c r="CH584" s="141"/>
      <c r="CI584" s="141"/>
      <c r="CJ584" s="141"/>
      <c r="CK584" s="141"/>
      <c r="CL584" s="141"/>
    </row>
    <row r="585" spans="74:90" ht="49.5" customHeight="1" x14ac:dyDescent="0.35">
      <c r="BV585" s="140"/>
      <c r="BY585" s="141"/>
      <c r="BZ585" s="141"/>
      <c r="CA585" s="141"/>
      <c r="CB585" s="141"/>
      <c r="CC585" s="141"/>
      <c r="CD585" s="141"/>
      <c r="CE585" s="141"/>
      <c r="CF585" s="141"/>
      <c r="CG585" s="141"/>
      <c r="CH585" s="141"/>
      <c r="CI585" s="141"/>
      <c r="CJ585" s="141"/>
      <c r="CK585" s="141"/>
      <c r="CL585" s="141"/>
    </row>
    <row r="586" spans="74:90" ht="49.5" customHeight="1" x14ac:dyDescent="0.35">
      <c r="BV586" s="140"/>
      <c r="BY586" s="141"/>
      <c r="BZ586" s="141"/>
      <c r="CA586" s="141"/>
      <c r="CB586" s="141"/>
      <c r="CC586" s="141"/>
      <c r="CD586" s="141"/>
      <c r="CE586" s="141"/>
      <c r="CF586" s="141"/>
      <c r="CG586" s="141"/>
      <c r="CH586" s="141"/>
      <c r="CI586" s="141"/>
      <c r="CJ586" s="141"/>
      <c r="CK586" s="141"/>
      <c r="CL586" s="141"/>
    </row>
    <row r="587" spans="74:90" ht="49.5" customHeight="1" x14ac:dyDescent="0.35">
      <c r="BV587" s="140"/>
      <c r="BY587" s="141"/>
      <c r="BZ587" s="141"/>
      <c r="CA587" s="141"/>
      <c r="CB587" s="141"/>
      <c r="CC587" s="141"/>
      <c r="CD587" s="141"/>
      <c r="CE587" s="141"/>
      <c r="CF587" s="141"/>
      <c r="CG587" s="141"/>
      <c r="CH587" s="141"/>
      <c r="CI587" s="141"/>
      <c r="CJ587" s="141"/>
      <c r="CK587" s="141"/>
      <c r="CL587" s="141"/>
    </row>
    <row r="588" spans="74:90" ht="49.5" customHeight="1" x14ac:dyDescent="0.35">
      <c r="BV588" s="140"/>
      <c r="BY588" s="141"/>
      <c r="BZ588" s="141"/>
      <c r="CA588" s="141"/>
      <c r="CB588" s="141"/>
      <c r="CC588" s="141"/>
      <c r="CD588" s="141"/>
      <c r="CE588" s="141"/>
      <c r="CF588" s="141"/>
      <c r="CG588" s="141"/>
      <c r="CH588" s="141"/>
      <c r="CI588" s="141"/>
      <c r="CJ588" s="141"/>
      <c r="CK588" s="141"/>
      <c r="CL588" s="141"/>
    </row>
    <row r="589" spans="74:90" ht="49.5" customHeight="1" x14ac:dyDescent="0.35">
      <c r="BV589" s="140"/>
      <c r="BY589" s="141"/>
      <c r="BZ589" s="141"/>
      <c r="CA589" s="141"/>
      <c r="CB589" s="141"/>
      <c r="CC589" s="141"/>
      <c r="CD589" s="141"/>
      <c r="CE589" s="141"/>
      <c r="CF589" s="141"/>
      <c r="CG589" s="141"/>
      <c r="CH589" s="141"/>
      <c r="CI589" s="141"/>
      <c r="CJ589" s="141"/>
      <c r="CK589" s="141"/>
      <c r="CL589" s="141"/>
    </row>
    <row r="590" spans="74:90" ht="49.5" customHeight="1" x14ac:dyDescent="0.35">
      <c r="BV590" s="140"/>
      <c r="BY590" s="141"/>
      <c r="BZ590" s="141"/>
      <c r="CA590" s="141"/>
      <c r="CB590" s="141"/>
      <c r="CC590" s="141"/>
      <c r="CD590" s="141"/>
      <c r="CE590" s="141"/>
      <c r="CF590" s="141"/>
      <c r="CG590" s="141"/>
      <c r="CH590" s="141"/>
      <c r="CI590" s="141"/>
      <c r="CJ590" s="141"/>
      <c r="CK590" s="141"/>
      <c r="CL590" s="141"/>
    </row>
    <row r="591" spans="74:90" ht="49.5" customHeight="1" x14ac:dyDescent="0.35">
      <c r="BV591" s="140"/>
      <c r="BY591" s="141"/>
      <c r="BZ591" s="141"/>
      <c r="CA591" s="141"/>
      <c r="CB591" s="141"/>
      <c r="CC591" s="141"/>
      <c r="CD591" s="141"/>
      <c r="CE591" s="141"/>
      <c r="CF591" s="141"/>
      <c r="CG591" s="141"/>
      <c r="CH591" s="141"/>
      <c r="CI591" s="141"/>
      <c r="CJ591" s="141"/>
      <c r="CK591" s="141"/>
      <c r="CL591" s="141"/>
    </row>
    <row r="592" spans="74:90" ht="49.5" customHeight="1" x14ac:dyDescent="0.35">
      <c r="BV592" s="140"/>
      <c r="BY592" s="141"/>
      <c r="BZ592" s="141"/>
      <c r="CA592" s="141"/>
      <c r="CB592" s="141"/>
      <c r="CC592" s="141"/>
      <c r="CD592" s="141"/>
      <c r="CE592" s="141"/>
      <c r="CF592" s="141"/>
      <c r="CG592" s="141"/>
      <c r="CH592" s="141"/>
      <c r="CI592" s="141"/>
      <c r="CJ592" s="141"/>
      <c r="CK592" s="141"/>
      <c r="CL592" s="141"/>
    </row>
    <row r="593" spans="74:90" ht="49.5" customHeight="1" x14ac:dyDescent="0.35">
      <c r="BV593" s="140"/>
      <c r="BY593" s="141"/>
      <c r="BZ593" s="141"/>
      <c r="CA593" s="141"/>
      <c r="CB593" s="141"/>
      <c r="CC593" s="141"/>
      <c r="CD593" s="141"/>
      <c r="CE593" s="141"/>
      <c r="CF593" s="141"/>
      <c r="CG593" s="141"/>
      <c r="CH593" s="141"/>
      <c r="CI593" s="141"/>
      <c r="CJ593" s="141"/>
      <c r="CK593" s="141"/>
      <c r="CL593" s="141"/>
    </row>
    <row r="594" spans="74:90" ht="49.5" customHeight="1" x14ac:dyDescent="0.35">
      <c r="BV594" s="140"/>
      <c r="BY594" s="141"/>
      <c r="BZ594" s="141"/>
      <c r="CA594" s="141"/>
      <c r="CB594" s="141"/>
      <c r="CC594" s="141"/>
      <c r="CD594" s="141"/>
      <c r="CE594" s="141"/>
      <c r="CF594" s="141"/>
      <c r="CG594" s="141"/>
      <c r="CH594" s="141"/>
      <c r="CI594" s="141"/>
      <c r="CJ594" s="141"/>
      <c r="CK594" s="141"/>
      <c r="CL594" s="141"/>
    </row>
    <row r="595" spans="74:90" ht="49.5" customHeight="1" x14ac:dyDescent="0.35">
      <c r="BV595" s="140"/>
      <c r="BY595" s="141"/>
      <c r="BZ595" s="141"/>
      <c r="CA595" s="141"/>
      <c r="CB595" s="141"/>
      <c r="CC595" s="141"/>
      <c r="CD595" s="141"/>
      <c r="CE595" s="141"/>
      <c r="CF595" s="141"/>
      <c r="CG595" s="141"/>
      <c r="CH595" s="141"/>
      <c r="CI595" s="141"/>
      <c r="CJ595" s="141"/>
      <c r="CK595" s="141"/>
      <c r="CL595" s="141"/>
    </row>
    <row r="596" spans="74:90" ht="49.5" customHeight="1" x14ac:dyDescent="0.35">
      <c r="BV596" s="140"/>
      <c r="BY596" s="141"/>
      <c r="BZ596" s="141"/>
      <c r="CA596" s="141"/>
      <c r="CB596" s="141"/>
      <c r="CC596" s="141"/>
      <c r="CD596" s="141"/>
      <c r="CE596" s="141"/>
      <c r="CF596" s="141"/>
      <c r="CG596" s="141"/>
      <c r="CH596" s="141"/>
      <c r="CI596" s="141"/>
      <c r="CJ596" s="141"/>
      <c r="CK596" s="141"/>
      <c r="CL596" s="141"/>
    </row>
    <row r="597" spans="74:90" ht="49.5" customHeight="1" x14ac:dyDescent="0.35">
      <c r="BV597" s="140"/>
      <c r="BY597" s="141"/>
      <c r="BZ597" s="141"/>
      <c r="CA597" s="141"/>
      <c r="CB597" s="141"/>
      <c r="CC597" s="141"/>
      <c r="CD597" s="141"/>
      <c r="CE597" s="141"/>
      <c r="CF597" s="141"/>
      <c r="CG597" s="141"/>
      <c r="CH597" s="141"/>
      <c r="CI597" s="141"/>
      <c r="CJ597" s="141"/>
      <c r="CK597" s="141"/>
      <c r="CL597" s="141"/>
    </row>
    <row r="598" spans="74:90" ht="49.5" customHeight="1" x14ac:dyDescent="0.35">
      <c r="BV598" s="140"/>
      <c r="BY598" s="141"/>
      <c r="BZ598" s="141"/>
      <c r="CA598" s="141"/>
      <c r="CB598" s="141"/>
      <c r="CC598" s="141"/>
      <c r="CD598" s="141"/>
      <c r="CE598" s="141"/>
      <c r="CF598" s="141"/>
      <c r="CG598" s="141"/>
      <c r="CH598" s="141"/>
      <c r="CI598" s="141"/>
      <c r="CJ598" s="141"/>
      <c r="CK598" s="141"/>
      <c r="CL598" s="141"/>
    </row>
    <row r="599" spans="74:90" ht="49.5" customHeight="1" x14ac:dyDescent="0.35">
      <c r="BV599" s="140"/>
      <c r="BY599" s="141"/>
      <c r="BZ599" s="141"/>
      <c r="CA599" s="141"/>
      <c r="CB599" s="141"/>
      <c r="CC599" s="141"/>
      <c r="CD599" s="141"/>
      <c r="CE599" s="141"/>
      <c r="CF599" s="141"/>
      <c r="CG599" s="141"/>
      <c r="CH599" s="141"/>
      <c r="CI599" s="141"/>
      <c r="CJ599" s="141"/>
      <c r="CK599" s="141"/>
      <c r="CL599" s="141"/>
    </row>
    <row r="600" spans="74:90" ht="49.5" customHeight="1" x14ac:dyDescent="0.35">
      <c r="BV600" s="140"/>
      <c r="BY600" s="141"/>
      <c r="BZ600" s="141"/>
      <c r="CA600" s="141"/>
      <c r="CB600" s="141"/>
      <c r="CC600" s="141"/>
      <c r="CD600" s="141"/>
      <c r="CE600" s="141"/>
      <c r="CF600" s="141"/>
      <c r="CG600" s="141"/>
      <c r="CH600" s="141"/>
      <c r="CI600" s="141"/>
      <c r="CJ600" s="141"/>
      <c r="CK600" s="141"/>
      <c r="CL600" s="141"/>
    </row>
    <row r="601" spans="74:90" ht="49.5" customHeight="1" x14ac:dyDescent="0.35">
      <c r="BV601" s="140"/>
      <c r="BY601" s="141"/>
      <c r="BZ601" s="141"/>
      <c r="CA601" s="141"/>
      <c r="CB601" s="141"/>
      <c r="CC601" s="141"/>
      <c r="CD601" s="141"/>
      <c r="CE601" s="141"/>
      <c r="CF601" s="141"/>
      <c r="CG601" s="141"/>
      <c r="CH601" s="141"/>
      <c r="CI601" s="141"/>
      <c r="CJ601" s="141"/>
      <c r="CK601" s="141"/>
      <c r="CL601" s="141"/>
    </row>
    <row r="602" spans="74:90" ht="49.5" customHeight="1" x14ac:dyDescent="0.35">
      <c r="BV602" s="140"/>
      <c r="BY602" s="141"/>
      <c r="BZ602" s="141"/>
      <c r="CA602" s="141"/>
      <c r="CB602" s="141"/>
      <c r="CC602" s="141"/>
      <c r="CD602" s="141"/>
      <c r="CE602" s="141"/>
      <c r="CF602" s="141"/>
      <c r="CG602" s="141"/>
      <c r="CH602" s="141"/>
      <c r="CI602" s="141"/>
      <c r="CJ602" s="141"/>
      <c r="CK602" s="141"/>
      <c r="CL602" s="141"/>
    </row>
    <row r="603" spans="74:90" ht="49.5" customHeight="1" x14ac:dyDescent="0.35">
      <c r="BV603" s="140"/>
      <c r="BY603" s="141"/>
      <c r="BZ603" s="141"/>
      <c r="CA603" s="141"/>
      <c r="CB603" s="141"/>
      <c r="CC603" s="141"/>
      <c r="CD603" s="141"/>
      <c r="CE603" s="141"/>
      <c r="CF603" s="141"/>
      <c r="CG603" s="141"/>
      <c r="CH603" s="141"/>
      <c r="CI603" s="141"/>
      <c r="CJ603" s="141"/>
      <c r="CK603" s="141"/>
      <c r="CL603" s="141"/>
    </row>
    <row r="604" spans="74:90" ht="49.5" customHeight="1" x14ac:dyDescent="0.35">
      <c r="BV604" s="140"/>
      <c r="BY604" s="141"/>
      <c r="BZ604" s="141"/>
      <c r="CA604" s="141"/>
      <c r="CB604" s="141"/>
      <c r="CC604" s="141"/>
      <c r="CD604" s="141"/>
      <c r="CE604" s="141"/>
      <c r="CF604" s="141"/>
      <c r="CG604" s="141"/>
      <c r="CH604" s="141"/>
      <c r="CI604" s="141"/>
      <c r="CJ604" s="141"/>
      <c r="CK604" s="141"/>
      <c r="CL604" s="141"/>
    </row>
    <row r="605" spans="74:90" ht="49.5" customHeight="1" x14ac:dyDescent="0.35">
      <c r="BV605" s="140"/>
      <c r="BY605" s="141"/>
      <c r="BZ605" s="141"/>
      <c r="CA605" s="141"/>
      <c r="CB605" s="141"/>
      <c r="CC605" s="141"/>
      <c r="CD605" s="141"/>
      <c r="CE605" s="141"/>
      <c r="CF605" s="141"/>
      <c r="CG605" s="141"/>
      <c r="CH605" s="141"/>
      <c r="CI605" s="141"/>
      <c r="CJ605" s="141"/>
      <c r="CK605" s="141"/>
      <c r="CL605" s="141"/>
    </row>
    <row r="606" spans="74:90" ht="49.5" customHeight="1" x14ac:dyDescent="0.35">
      <c r="BV606" s="140"/>
      <c r="BY606" s="141"/>
      <c r="BZ606" s="141"/>
      <c r="CA606" s="141"/>
      <c r="CB606" s="141"/>
      <c r="CC606" s="141"/>
      <c r="CD606" s="141"/>
      <c r="CE606" s="141"/>
      <c r="CF606" s="141"/>
      <c r="CG606" s="141"/>
      <c r="CH606" s="141"/>
      <c r="CI606" s="141"/>
      <c r="CJ606" s="141"/>
      <c r="CK606" s="141"/>
      <c r="CL606" s="141"/>
    </row>
    <row r="607" spans="74:90" ht="49.5" customHeight="1" x14ac:dyDescent="0.35">
      <c r="BV607" s="140"/>
      <c r="BY607" s="141"/>
      <c r="BZ607" s="141"/>
      <c r="CA607" s="141"/>
      <c r="CB607" s="141"/>
      <c r="CC607" s="141"/>
      <c r="CD607" s="141"/>
      <c r="CE607" s="141"/>
      <c r="CF607" s="141"/>
      <c r="CG607" s="141"/>
      <c r="CH607" s="141"/>
      <c r="CI607" s="141"/>
      <c r="CJ607" s="141"/>
      <c r="CK607" s="141"/>
      <c r="CL607" s="141"/>
    </row>
    <row r="608" spans="74:90" ht="49.5" customHeight="1" x14ac:dyDescent="0.35">
      <c r="BV608" s="140"/>
      <c r="BY608" s="141"/>
      <c r="BZ608" s="141"/>
      <c r="CA608" s="141"/>
      <c r="CB608" s="141"/>
      <c r="CC608" s="141"/>
      <c r="CD608" s="141"/>
      <c r="CE608" s="141"/>
      <c r="CF608" s="141"/>
      <c r="CG608" s="141"/>
      <c r="CH608" s="141"/>
      <c r="CI608" s="141"/>
      <c r="CJ608" s="141"/>
      <c r="CK608" s="141"/>
      <c r="CL608" s="141"/>
    </row>
    <row r="609" spans="74:90" ht="49.5" customHeight="1" x14ac:dyDescent="0.35">
      <c r="BV609" s="140"/>
      <c r="BY609" s="141"/>
      <c r="BZ609" s="141"/>
      <c r="CA609" s="141"/>
      <c r="CB609" s="141"/>
      <c r="CC609" s="141"/>
      <c r="CD609" s="141"/>
      <c r="CE609" s="141"/>
      <c r="CF609" s="141"/>
      <c r="CG609" s="141"/>
      <c r="CH609" s="141"/>
      <c r="CI609" s="141"/>
      <c r="CJ609" s="141"/>
      <c r="CK609" s="141"/>
      <c r="CL609" s="141"/>
    </row>
    <row r="610" spans="74:90" ht="49.5" customHeight="1" x14ac:dyDescent="0.35">
      <c r="BV610" s="140"/>
      <c r="BY610" s="141"/>
      <c r="BZ610" s="141"/>
      <c r="CA610" s="141"/>
      <c r="CB610" s="141"/>
      <c r="CC610" s="141"/>
      <c r="CD610" s="141"/>
      <c r="CE610" s="141"/>
      <c r="CF610" s="141"/>
      <c r="CG610" s="141"/>
      <c r="CH610" s="141"/>
      <c r="CI610" s="141"/>
      <c r="CJ610" s="141"/>
      <c r="CK610" s="141"/>
      <c r="CL610" s="141"/>
    </row>
    <row r="611" spans="74:90" ht="49.5" customHeight="1" x14ac:dyDescent="0.35">
      <c r="BV611" s="140"/>
      <c r="BY611" s="141"/>
      <c r="BZ611" s="141"/>
      <c r="CA611" s="141"/>
      <c r="CB611" s="141"/>
      <c r="CC611" s="141"/>
      <c r="CD611" s="141"/>
      <c r="CE611" s="141"/>
      <c r="CF611" s="141"/>
      <c r="CG611" s="141"/>
      <c r="CH611" s="141"/>
      <c r="CI611" s="141"/>
      <c r="CJ611" s="141"/>
      <c r="CK611" s="141"/>
      <c r="CL611" s="141"/>
    </row>
    <row r="612" spans="74:90" ht="49.5" customHeight="1" x14ac:dyDescent="0.35">
      <c r="BV612" s="140"/>
      <c r="BY612" s="141"/>
      <c r="BZ612" s="141"/>
      <c r="CA612" s="141"/>
      <c r="CB612" s="141"/>
      <c r="CC612" s="141"/>
      <c r="CD612" s="141"/>
      <c r="CE612" s="141"/>
      <c r="CF612" s="141"/>
      <c r="CG612" s="141"/>
      <c r="CH612" s="141"/>
      <c r="CI612" s="141"/>
      <c r="CJ612" s="141"/>
      <c r="CK612" s="141"/>
      <c r="CL612" s="141"/>
    </row>
    <row r="613" spans="74:90" ht="49.5" customHeight="1" x14ac:dyDescent="0.35">
      <c r="BV613" s="140"/>
      <c r="BY613" s="141"/>
      <c r="BZ613" s="141"/>
      <c r="CA613" s="141"/>
      <c r="CB613" s="141"/>
      <c r="CC613" s="141"/>
      <c r="CD613" s="141"/>
      <c r="CE613" s="141"/>
      <c r="CF613" s="141"/>
      <c r="CG613" s="141"/>
      <c r="CH613" s="141"/>
      <c r="CI613" s="141"/>
      <c r="CJ613" s="141"/>
      <c r="CK613" s="141"/>
      <c r="CL613" s="141"/>
    </row>
    <row r="614" spans="74:90" ht="49.5" customHeight="1" x14ac:dyDescent="0.35">
      <c r="BV614" s="140"/>
      <c r="BY614" s="141"/>
      <c r="BZ614" s="141"/>
      <c r="CA614" s="141"/>
      <c r="CB614" s="141"/>
      <c r="CC614" s="141"/>
      <c r="CD614" s="141"/>
      <c r="CE614" s="141"/>
      <c r="CF614" s="141"/>
      <c r="CG614" s="141"/>
      <c r="CH614" s="141"/>
      <c r="CI614" s="141"/>
      <c r="CJ614" s="141"/>
      <c r="CK614" s="141"/>
      <c r="CL614" s="141"/>
    </row>
    <row r="615" spans="74:90" ht="49.5" customHeight="1" x14ac:dyDescent="0.35">
      <c r="BV615" s="140"/>
      <c r="BY615" s="141"/>
      <c r="BZ615" s="141"/>
      <c r="CA615" s="141"/>
      <c r="CB615" s="141"/>
      <c r="CC615" s="141"/>
      <c r="CD615" s="141"/>
      <c r="CE615" s="141"/>
      <c r="CF615" s="141"/>
      <c r="CG615" s="141"/>
      <c r="CH615" s="141"/>
      <c r="CI615" s="141"/>
      <c r="CJ615" s="141"/>
      <c r="CK615" s="141"/>
      <c r="CL615" s="141"/>
    </row>
    <row r="616" spans="74:90" ht="49.5" customHeight="1" x14ac:dyDescent="0.35">
      <c r="BV616" s="140"/>
      <c r="BY616" s="141"/>
      <c r="BZ616" s="141"/>
      <c r="CA616" s="141"/>
      <c r="CB616" s="141"/>
      <c r="CC616" s="141"/>
      <c r="CD616" s="141"/>
      <c r="CE616" s="141"/>
      <c r="CF616" s="141"/>
      <c r="CG616" s="141"/>
      <c r="CH616" s="141"/>
      <c r="CI616" s="141"/>
      <c r="CJ616" s="141"/>
      <c r="CK616" s="141"/>
      <c r="CL616" s="141"/>
    </row>
    <row r="617" spans="74:90" ht="49.5" customHeight="1" x14ac:dyDescent="0.35">
      <c r="BV617" s="140"/>
      <c r="BY617" s="141"/>
      <c r="BZ617" s="141"/>
      <c r="CA617" s="141"/>
      <c r="CB617" s="141"/>
      <c r="CC617" s="141"/>
      <c r="CD617" s="141"/>
      <c r="CE617" s="141"/>
      <c r="CF617" s="141"/>
      <c r="CG617" s="141"/>
      <c r="CH617" s="141"/>
      <c r="CI617" s="141"/>
      <c r="CJ617" s="141"/>
      <c r="CK617" s="141"/>
      <c r="CL617" s="141"/>
    </row>
    <row r="618" spans="74:90" ht="49.5" customHeight="1" x14ac:dyDescent="0.35">
      <c r="BV618" s="140"/>
      <c r="BY618" s="141"/>
      <c r="BZ618" s="141"/>
      <c r="CA618" s="141"/>
      <c r="CB618" s="141"/>
      <c r="CC618" s="141"/>
      <c r="CD618" s="141"/>
      <c r="CE618" s="141"/>
      <c r="CF618" s="141"/>
      <c r="CG618" s="141"/>
      <c r="CH618" s="141"/>
      <c r="CI618" s="141"/>
      <c r="CJ618" s="141"/>
      <c r="CK618" s="141"/>
      <c r="CL618" s="141"/>
    </row>
    <row r="619" spans="74:90" ht="49.5" customHeight="1" x14ac:dyDescent="0.35">
      <c r="BV619" s="140"/>
      <c r="BY619" s="141"/>
      <c r="BZ619" s="141"/>
      <c r="CA619" s="141"/>
      <c r="CB619" s="141"/>
      <c r="CC619" s="141"/>
      <c r="CD619" s="141"/>
      <c r="CE619" s="141"/>
      <c r="CF619" s="141"/>
      <c r="CG619" s="141"/>
      <c r="CH619" s="141"/>
      <c r="CI619" s="141"/>
      <c r="CJ619" s="141"/>
      <c r="CK619" s="141"/>
      <c r="CL619" s="141"/>
    </row>
    <row r="620" spans="74:90" ht="49.5" customHeight="1" x14ac:dyDescent="0.35">
      <c r="BV620" s="140"/>
      <c r="BY620" s="141"/>
      <c r="BZ620" s="141"/>
      <c r="CA620" s="141"/>
      <c r="CB620" s="141"/>
      <c r="CC620" s="141"/>
      <c r="CD620" s="141"/>
      <c r="CE620" s="141"/>
      <c r="CF620" s="141"/>
      <c r="CG620" s="141"/>
      <c r="CH620" s="141"/>
      <c r="CI620" s="141"/>
      <c r="CJ620" s="141"/>
      <c r="CK620" s="141"/>
      <c r="CL620" s="141"/>
    </row>
    <row r="621" spans="74:90" ht="49.5" customHeight="1" x14ac:dyDescent="0.35">
      <c r="BV621" s="140"/>
      <c r="BY621" s="141"/>
      <c r="BZ621" s="141"/>
      <c r="CA621" s="141"/>
      <c r="CB621" s="141"/>
      <c r="CC621" s="141"/>
      <c r="CD621" s="141"/>
      <c r="CE621" s="141"/>
      <c r="CF621" s="141"/>
      <c r="CG621" s="141"/>
      <c r="CH621" s="141"/>
      <c r="CI621" s="141"/>
      <c r="CJ621" s="141"/>
      <c r="CK621" s="141"/>
      <c r="CL621" s="141"/>
    </row>
    <row r="622" spans="74:90" ht="49.5" customHeight="1" x14ac:dyDescent="0.35">
      <c r="BV622" s="140"/>
      <c r="BY622" s="141"/>
      <c r="BZ622" s="141"/>
      <c r="CA622" s="141"/>
      <c r="CB622" s="141"/>
      <c r="CC622" s="141"/>
      <c r="CD622" s="141"/>
      <c r="CE622" s="141"/>
      <c r="CF622" s="141"/>
      <c r="CG622" s="141"/>
      <c r="CH622" s="141"/>
      <c r="CI622" s="141"/>
      <c r="CJ622" s="141"/>
      <c r="CK622" s="141"/>
      <c r="CL622" s="141"/>
    </row>
    <row r="623" spans="74:90" ht="49.5" customHeight="1" x14ac:dyDescent="0.35">
      <c r="BV623" s="140"/>
      <c r="BY623" s="141"/>
      <c r="BZ623" s="141"/>
      <c r="CA623" s="141"/>
      <c r="CB623" s="141"/>
      <c r="CC623" s="141"/>
      <c r="CD623" s="141"/>
      <c r="CE623" s="141"/>
      <c r="CF623" s="141"/>
      <c r="CG623" s="141"/>
      <c r="CH623" s="141"/>
      <c r="CI623" s="141"/>
      <c r="CJ623" s="141"/>
      <c r="CK623" s="141"/>
      <c r="CL623" s="141"/>
    </row>
    <row r="624" spans="74:90" ht="49.5" customHeight="1" x14ac:dyDescent="0.35">
      <c r="BV624" s="140"/>
      <c r="BY624" s="141"/>
      <c r="BZ624" s="141"/>
      <c r="CA624" s="141"/>
      <c r="CB624" s="141"/>
      <c r="CC624" s="141"/>
      <c r="CD624" s="141"/>
      <c r="CE624" s="141"/>
      <c r="CF624" s="141"/>
      <c r="CG624" s="141"/>
      <c r="CH624" s="141"/>
      <c r="CI624" s="141"/>
      <c r="CJ624" s="141"/>
      <c r="CK624" s="141"/>
      <c r="CL624" s="141"/>
    </row>
    <row r="625" spans="74:90" ht="49.5" customHeight="1" x14ac:dyDescent="0.35">
      <c r="BV625" s="140"/>
      <c r="BY625" s="141"/>
      <c r="BZ625" s="141"/>
      <c r="CA625" s="141"/>
      <c r="CB625" s="141"/>
      <c r="CC625" s="141"/>
      <c r="CD625" s="141"/>
      <c r="CE625" s="141"/>
      <c r="CF625" s="141"/>
      <c r="CG625" s="141"/>
      <c r="CH625" s="141"/>
      <c r="CI625" s="141"/>
      <c r="CJ625" s="141"/>
      <c r="CK625" s="141"/>
      <c r="CL625" s="141"/>
    </row>
    <row r="626" spans="74:90" ht="49.5" customHeight="1" x14ac:dyDescent="0.35">
      <c r="BV626" s="140"/>
      <c r="BY626" s="141"/>
      <c r="BZ626" s="141"/>
      <c r="CA626" s="141"/>
      <c r="CB626" s="141"/>
      <c r="CC626" s="141"/>
      <c r="CD626" s="141"/>
      <c r="CE626" s="141"/>
      <c r="CF626" s="141"/>
      <c r="CG626" s="141"/>
      <c r="CH626" s="141"/>
      <c r="CI626" s="141"/>
      <c r="CJ626" s="141"/>
      <c r="CK626" s="141"/>
      <c r="CL626" s="141"/>
    </row>
    <row r="627" spans="74:90" ht="49.5" customHeight="1" x14ac:dyDescent="0.35">
      <c r="BV627" s="140"/>
      <c r="BY627" s="141"/>
      <c r="BZ627" s="141"/>
      <c r="CA627" s="141"/>
      <c r="CB627" s="141"/>
      <c r="CC627" s="141"/>
      <c r="CD627" s="141"/>
      <c r="CE627" s="141"/>
      <c r="CF627" s="141"/>
      <c r="CG627" s="141"/>
      <c r="CH627" s="141"/>
      <c r="CI627" s="141"/>
      <c r="CJ627" s="141"/>
      <c r="CK627" s="141"/>
      <c r="CL627" s="141"/>
    </row>
    <row r="628" spans="74:90" ht="49.5" customHeight="1" x14ac:dyDescent="0.35">
      <c r="BV628" s="140"/>
      <c r="BY628" s="141"/>
      <c r="BZ628" s="141"/>
      <c r="CA628" s="141"/>
      <c r="CB628" s="141"/>
      <c r="CC628" s="141"/>
      <c r="CD628" s="141"/>
      <c r="CE628" s="141"/>
      <c r="CF628" s="141"/>
      <c r="CG628" s="141"/>
      <c r="CH628" s="141"/>
      <c r="CI628" s="141"/>
      <c r="CJ628" s="141"/>
      <c r="CK628" s="141"/>
      <c r="CL628" s="141"/>
    </row>
    <row r="629" spans="74:90" ht="49.5" customHeight="1" x14ac:dyDescent="0.35">
      <c r="BV629" s="140"/>
      <c r="BY629" s="141"/>
      <c r="BZ629" s="141"/>
      <c r="CA629" s="141"/>
      <c r="CB629" s="141"/>
      <c r="CC629" s="141"/>
      <c r="CD629" s="141"/>
      <c r="CE629" s="141"/>
      <c r="CF629" s="141"/>
      <c r="CG629" s="141"/>
      <c r="CH629" s="141"/>
      <c r="CI629" s="141"/>
      <c r="CJ629" s="141"/>
      <c r="CK629" s="141"/>
      <c r="CL629" s="141"/>
    </row>
    <row r="630" spans="74:90" ht="49.5" customHeight="1" x14ac:dyDescent="0.35">
      <c r="BV630" s="140"/>
      <c r="BY630" s="141"/>
      <c r="BZ630" s="141"/>
      <c r="CA630" s="141"/>
      <c r="CB630" s="141"/>
      <c r="CC630" s="141"/>
      <c r="CD630" s="141"/>
      <c r="CE630" s="141"/>
      <c r="CF630" s="141"/>
      <c r="CG630" s="141"/>
      <c r="CH630" s="141"/>
      <c r="CI630" s="141"/>
      <c r="CJ630" s="141"/>
      <c r="CK630" s="141"/>
      <c r="CL630" s="141"/>
    </row>
    <row r="631" spans="74:90" ht="49.5" customHeight="1" x14ac:dyDescent="0.35">
      <c r="BV631" s="140"/>
      <c r="BY631" s="141"/>
      <c r="BZ631" s="141"/>
      <c r="CA631" s="141"/>
      <c r="CB631" s="141"/>
      <c r="CC631" s="141"/>
      <c r="CD631" s="141"/>
      <c r="CE631" s="141"/>
      <c r="CF631" s="141"/>
      <c r="CG631" s="141"/>
      <c r="CH631" s="141"/>
      <c r="CI631" s="141"/>
      <c r="CJ631" s="141"/>
      <c r="CK631" s="141"/>
      <c r="CL631" s="141"/>
    </row>
    <row r="632" spans="74:90" ht="49.5" customHeight="1" x14ac:dyDescent="0.35">
      <c r="BV632" s="140"/>
      <c r="BY632" s="141"/>
      <c r="BZ632" s="141"/>
      <c r="CA632" s="141"/>
      <c r="CB632" s="141"/>
      <c r="CC632" s="141"/>
      <c r="CD632" s="141"/>
      <c r="CE632" s="141"/>
      <c r="CF632" s="141"/>
      <c r="CG632" s="141"/>
      <c r="CH632" s="141"/>
      <c r="CI632" s="141"/>
      <c r="CJ632" s="141"/>
      <c r="CK632" s="141"/>
      <c r="CL632" s="141"/>
    </row>
    <row r="633" spans="74:90" ht="49.5" customHeight="1" x14ac:dyDescent="0.35">
      <c r="BV633" s="140"/>
      <c r="BY633" s="141"/>
      <c r="BZ633" s="141"/>
      <c r="CA633" s="141"/>
      <c r="CB633" s="141"/>
      <c r="CC633" s="141"/>
      <c r="CD633" s="141"/>
      <c r="CE633" s="141"/>
      <c r="CF633" s="141"/>
      <c r="CG633" s="141"/>
      <c r="CH633" s="141"/>
      <c r="CI633" s="141"/>
      <c r="CJ633" s="141"/>
      <c r="CK633" s="141"/>
      <c r="CL633" s="141"/>
    </row>
    <row r="634" spans="74:90" ht="49.5" customHeight="1" x14ac:dyDescent="0.35">
      <c r="BV634" s="140"/>
      <c r="BY634" s="141"/>
      <c r="BZ634" s="141"/>
      <c r="CA634" s="141"/>
      <c r="CB634" s="141"/>
      <c r="CC634" s="141"/>
      <c r="CD634" s="141"/>
      <c r="CE634" s="141"/>
      <c r="CF634" s="141"/>
      <c r="CG634" s="141"/>
      <c r="CH634" s="141"/>
      <c r="CI634" s="141"/>
      <c r="CJ634" s="141"/>
      <c r="CK634" s="141"/>
      <c r="CL634" s="141"/>
    </row>
    <row r="635" spans="74:90" ht="49.5" customHeight="1" x14ac:dyDescent="0.35">
      <c r="BV635" s="140"/>
      <c r="BY635" s="141"/>
      <c r="BZ635" s="141"/>
      <c r="CA635" s="141"/>
      <c r="CB635" s="141"/>
      <c r="CC635" s="141"/>
      <c r="CD635" s="141"/>
      <c r="CE635" s="141"/>
      <c r="CF635" s="141"/>
      <c r="CG635" s="141"/>
      <c r="CH635" s="141"/>
      <c r="CI635" s="141"/>
      <c r="CJ635" s="141"/>
      <c r="CK635" s="141"/>
      <c r="CL635" s="141"/>
    </row>
    <row r="636" spans="74:90" ht="49.5" customHeight="1" x14ac:dyDescent="0.35">
      <c r="BV636" s="140"/>
      <c r="BY636" s="141"/>
      <c r="BZ636" s="141"/>
      <c r="CA636" s="141"/>
      <c r="CB636" s="141"/>
      <c r="CC636" s="141"/>
      <c r="CD636" s="141"/>
      <c r="CE636" s="141"/>
      <c r="CF636" s="141"/>
      <c r="CG636" s="141"/>
      <c r="CH636" s="141"/>
      <c r="CI636" s="141"/>
      <c r="CJ636" s="141"/>
      <c r="CK636" s="141"/>
      <c r="CL636" s="141"/>
    </row>
    <row r="637" spans="74:90" ht="49.5" customHeight="1" x14ac:dyDescent="0.35">
      <c r="BV637" s="140"/>
      <c r="BY637" s="141"/>
      <c r="BZ637" s="141"/>
      <c r="CA637" s="141"/>
      <c r="CB637" s="141"/>
      <c r="CC637" s="141"/>
      <c r="CD637" s="141"/>
      <c r="CE637" s="141"/>
      <c r="CF637" s="141"/>
      <c r="CG637" s="141"/>
      <c r="CH637" s="141"/>
      <c r="CI637" s="141"/>
      <c r="CJ637" s="141"/>
      <c r="CK637" s="141"/>
      <c r="CL637" s="141"/>
    </row>
    <row r="638" spans="74:90" ht="49.5" customHeight="1" x14ac:dyDescent="0.35">
      <c r="BV638" s="140"/>
      <c r="BY638" s="141"/>
      <c r="BZ638" s="141"/>
      <c r="CA638" s="141"/>
      <c r="CB638" s="141"/>
      <c r="CC638" s="141"/>
      <c r="CD638" s="141"/>
      <c r="CE638" s="141"/>
      <c r="CF638" s="141"/>
      <c r="CG638" s="141"/>
      <c r="CH638" s="141"/>
      <c r="CI638" s="141"/>
      <c r="CJ638" s="141"/>
      <c r="CK638" s="141"/>
      <c r="CL638" s="141"/>
    </row>
    <row r="639" spans="74:90" ht="49.5" customHeight="1" x14ac:dyDescent="0.35">
      <c r="BV639" s="140"/>
      <c r="BY639" s="141"/>
      <c r="BZ639" s="141"/>
      <c r="CA639" s="141"/>
      <c r="CB639" s="141"/>
      <c r="CC639" s="141"/>
      <c r="CD639" s="141"/>
      <c r="CE639" s="141"/>
      <c r="CF639" s="141"/>
      <c r="CG639" s="141"/>
      <c r="CH639" s="141"/>
      <c r="CI639" s="141"/>
      <c r="CJ639" s="141"/>
      <c r="CK639" s="141"/>
      <c r="CL639" s="141"/>
    </row>
    <row r="640" spans="74:90" ht="49.5" customHeight="1" x14ac:dyDescent="0.35">
      <c r="BV640" s="140"/>
      <c r="BY640" s="141"/>
      <c r="BZ640" s="141"/>
      <c r="CA640" s="141"/>
      <c r="CB640" s="141"/>
      <c r="CC640" s="141"/>
      <c r="CD640" s="141"/>
      <c r="CE640" s="141"/>
      <c r="CF640" s="141"/>
      <c r="CG640" s="141"/>
      <c r="CH640" s="141"/>
      <c r="CI640" s="141"/>
      <c r="CJ640" s="141"/>
      <c r="CK640" s="141"/>
      <c r="CL640" s="141"/>
    </row>
    <row r="641" spans="74:90" ht="49.5" customHeight="1" x14ac:dyDescent="0.35">
      <c r="BV641" s="140"/>
      <c r="BY641" s="141"/>
      <c r="BZ641" s="141"/>
      <c r="CA641" s="141"/>
      <c r="CB641" s="141"/>
      <c r="CC641" s="141"/>
      <c r="CD641" s="141"/>
      <c r="CE641" s="141"/>
      <c r="CF641" s="141"/>
      <c r="CG641" s="141"/>
      <c r="CH641" s="141"/>
      <c r="CI641" s="141"/>
      <c r="CJ641" s="141"/>
      <c r="CK641" s="141"/>
      <c r="CL641" s="141"/>
    </row>
    <row r="642" spans="74:90" ht="49.5" customHeight="1" x14ac:dyDescent="0.35">
      <c r="BV642" s="140"/>
      <c r="BY642" s="141"/>
      <c r="BZ642" s="141"/>
      <c r="CA642" s="141"/>
      <c r="CB642" s="141"/>
      <c r="CC642" s="141"/>
      <c r="CD642" s="141"/>
      <c r="CE642" s="141"/>
      <c r="CF642" s="141"/>
      <c r="CG642" s="141"/>
      <c r="CH642" s="141"/>
      <c r="CI642" s="141"/>
      <c r="CJ642" s="141"/>
      <c r="CK642" s="141"/>
      <c r="CL642" s="141"/>
    </row>
    <row r="643" spans="74:90" ht="49.5" customHeight="1" x14ac:dyDescent="0.35">
      <c r="BV643" s="140"/>
      <c r="BY643" s="141"/>
      <c r="BZ643" s="141"/>
      <c r="CA643" s="141"/>
      <c r="CB643" s="141"/>
      <c r="CC643" s="141"/>
      <c r="CD643" s="141"/>
      <c r="CE643" s="141"/>
      <c r="CF643" s="141"/>
      <c r="CG643" s="141"/>
      <c r="CH643" s="141"/>
      <c r="CI643" s="141"/>
      <c r="CJ643" s="141"/>
      <c r="CK643" s="141"/>
      <c r="CL643" s="141"/>
    </row>
    <row r="644" spans="74:90" ht="49.5" customHeight="1" x14ac:dyDescent="0.35">
      <c r="BV644" s="140"/>
      <c r="BY644" s="141"/>
      <c r="BZ644" s="141"/>
      <c r="CA644" s="141"/>
      <c r="CB644" s="141"/>
      <c r="CC644" s="141"/>
      <c r="CD644" s="141"/>
      <c r="CE644" s="141"/>
      <c r="CF644" s="141"/>
      <c r="CG644" s="141"/>
      <c r="CH644" s="141"/>
      <c r="CI644" s="141"/>
      <c r="CJ644" s="141"/>
      <c r="CK644" s="141"/>
      <c r="CL644" s="141"/>
    </row>
    <row r="645" spans="74:90" ht="49.5" customHeight="1" x14ac:dyDescent="0.35">
      <c r="BV645" s="140"/>
      <c r="BY645" s="141"/>
      <c r="BZ645" s="141"/>
      <c r="CA645" s="141"/>
      <c r="CB645" s="141"/>
      <c r="CC645" s="141"/>
      <c r="CD645" s="141"/>
      <c r="CE645" s="141"/>
      <c r="CF645" s="141"/>
      <c r="CG645" s="141"/>
      <c r="CH645" s="141"/>
      <c r="CI645" s="141"/>
      <c r="CJ645" s="141"/>
      <c r="CK645" s="141"/>
      <c r="CL645" s="141"/>
    </row>
    <row r="646" spans="74:90" ht="49.5" customHeight="1" x14ac:dyDescent="0.35">
      <c r="BV646" s="140"/>
      <c r="BY646" s="141"/>
      <c r="BZ646" s="141"/>
      <c r="CA646" s="141"/>
      <c r="CB646" s="141"/>
      <c r="CC646" s="141"/>
      <c r="CD646" s="141"/>
      <c r="CE646" s="141"/>
      <c r="CF646" s="141"/>
      <c r="CG646" s="141"/>
      <c r="CH646" s="141"/>
      <c r="CI646" s="141"/>
      <c r="CJ646" s="141"/>
      <c r="CK646" s="141"/>
      <c r="CL646" s="141"/>
    </row>
    <row r="647" spans="74:90" ht="49.5" customHeight="1" x14ac:dyDescent="0.35">
      <c r="BV647" s="140"/>
      <c r="BY647" s="141"/>
      <c r="BZ647" s="141"/>
      <c r="CA647" s="141"/>
      <c r="CB647" s="141"/>
      <c r="CC647" s="141"/>
      <c r="CD647" s="141"/>
      <c r="CE647" s="141"/>
      <c r="CF647" s="141"/>
      <c r="CG647" s="141"/>
      <c r="CH647" s="141"/>
      <c r="CI647" s="141"/>
      <c r="CJ647" s="141"/>
      <c r="CK647" s="141"/>
      <c r="CL647" s="141"/>
    </row>
    <row r="648" spans="74:90" ht="49.5" customHeight="1" x14ac:dyDescent="0.35">
      <c r="BV648" s="140"/>
      <c r="BY648" s="141"/>
      <c r="BZ648" s="141"/>
      <c r="CA648" s="141"/>
      <c r="CB648" s="141"/>
      <c r="CC648" s="141"/>
      <c r="CD648" s="141"/>
      <c r="CE648" s="141"/>
      <c r="CF648" s="141"/>
      <c r="CG648" s="141"/>
      <c r="CH648" s="141"/>
      <c r="CI648" s="141"/>
      <c r="CJ648" s="141"/>
      <c r="CK648" s="141"/>
      <c r="CL648" s="141"/>
    </row>
    <row r="649" spans="74:90" ht="49.5" customHeight="1" x14ac:dyDescent="0.35">
      <c r="BV649" s="140"/>
      <c r="BY649" s="141"/>
      <c r="BZ649" s="141"/>
      <c r="CA649" s="141"/>
      <c r="CB649" s="141"/>
      <c r="CC649" s="141"/>
      <c r="CD649" s="141"/>
      <c r="CE649" s="141"/>
      <c r="CF649" s="141"/>
      <c r="CG649" s="141"/>
      <c r="CH649" s="141"/>
      <c r="CI649" s="141"/>
      <c r="CJ649" s="141"/>
      <c r="CK649" s="141"/>
      <c r="CL649" s="141"/>
    </row>
    <row r="650" spans="74:90" ht="49.5" customHeight="1" x14ac:dyDescent="0.35">
      <c r="BV650" s="140"/>
      <c r="BY650" s="141"/>
      <c r="BZ650" s="141"/>
      <c r="CA650" s="141"/>
      <c r="CB650" s="141"/>
      <c r="CC650" s="141"/>
      <c r="CD650" s="141"/>
      <c r="CE650" s="141"/>
      <c r="CF650" s="141"/>
      <c r="CG650" s="141"/>
      <c r="CH650" s="141"/>
      <c r="CI650" s="141"/>
      <c r="CJ650" s="141"/>
      <c r="CK650" s="141"/>
      <c r="CL650" s="141"/>
    </row>
    <row r="651" spans="74:90" ht="49.5" customHeight="1" x14ac:dyDescent="0.35">
      <c r="BV651" s="140"/>
      <c r="BY651" s="141"/>
      <c r="BZ651" s="141"/>
      <c r="CA651" s="141"/>
      <c r="CB651" s="141"/>
      <c r="CC651" s="141"/>
      <c r="CD651" s="141"/>
      <c r="CE651" s="141"/>
      <c r="CF651" s="141"/>
      <c r="CG651" s="141"/>
      <c r="CH651" s="141"/>
      <c r="CI651" s="141"/>
      <c r="CJ651" s="141"/>
      <c r="CK651" s="141"/>
      <c r="CL651" s="141"/>
    </row>
    <row r="652" spans="74:90" ht="49.5" customHeight="1" x14ac:dyDescent="0.35">
      <c r="BV652" s="140"/>
      <c r="BY652" s="141"/>
      <c r="BZ652" s="141"/>
      <c r="CA652" s="141"/>
      <c r="CB652" s="141"/>
      <c r="CC652" s="141"/>
      <c r="CD652" s="141"/>
      <c r="CE652" s="141"/>
      <c r="CF652" s="141"/>
      <c r="CG652" s="141"/>
      <c r="CH652" s="141"/>
      <c r="CI652" s="141"/>
      <c r="CJ652" s="141"/>
      <c r="CK652" s="141"/>
      <c r="CL652" s="141"/>
    </row>
    <row r="653" spans="74:90" ht="49.5" customHeight="1" x14ac:dyDescent="0.35">
      <c r="BV653" s="140"/>
      <c r="BY653" s="141"/>
      <c r="BZ653" s="141"/>
      <c r="CA653" s="141"/>
      <c r="CB653" s="141"/>
      <c r="CC653" s="141"/>
      <c r="CD653" s="141"/>
      <c r="CE653" s="141"/>
      <c r="CF653" s="141"/>
      <c r="CG653" s="141"/>
      <c r="CH653" s="141"/>
      <c r="CI653" s="141"/>
      <c r="CJ653" s="141"/>
      <c r="CK653" s="141"/>
      <c r="CL653" s="141"/>
    </row>
    <row r="654" spans="74:90" ht="49.5" customHeight="1" x14ac:dyDescent="0.35">
      <c r="BV654" s="140"/>
      <c r="BY654" s="141"/>
      <c r="BZ654" s="141"/>
      <c r="CA654" s="141"/>
      <c r="CB654" s="141"/>
      <c r="CC654" s="141"/>
      <c r="CD654" s="141"/>
      <c r="CE654" s="141"/>
      <c r="CF654" s="141"/>
      <c r="CG654" s="141"/>
      <c r="CH654" s="141"/>
      <c r="CI654" s="141"/>
      <c r="CJ654" s="141"/>
      <c r="CK654" s="141"/>
      <c r="CL654" s="141"/>
    </row>
    <row r="655" spans="74:90" ht="49.5" customHeight="1" x14ac:dyDescent="0.35">
      <c r="BV655" s="140"/>
      <c r="BY655" s="141"/>
      <c r="BZ655" s="141"/>
      <c r="CA655" s="141"/>
      <c r="CB655" s="141"/>
      <c r="CC655" s="141"/>
      <c r="CD655" s="141"/>
      <c r="CE655" s="141"/>
      <c r="CF655" s="141"/>
      <c r="CG655" s="141"/>
      <c r="CH655" s="141"/>
      <c r="CI655" s="141"/>
      <c r="CJ655" s="141"/>
      <c r="CK655" s="141"/>
      <c r="CL655" s="141"/>
    </row>
    <row r="656" spans="74:90" ht="49.5" customHeight="1" x14ac:dyDescent="0.35">
      <c r="BV656" s="140"/>
      <c r="BY656" s="141"/>
      <c r="BZ656" s="141"/>
      <c r="CA656" s="141"/>
      <c r="CB656" s="141"/>
      <c r="CC656" s="141"/>
      <c r="CD656" s="141"/>
      <c r="CE656" s="141"/>
      <c r="CF656" s="141"/>
      <c r="CG656" s="141"/>
      <c r="CH656" s="141"/>
      <c r="CI656" s="141"/>
      <c r="CJ656" s="141"/>
      <c r="CK656" s="141"/>
      <c r="CL656" s="141"/>
    </row>
    <row r="657" spans="74:90" ht="49.5" customHeight="1" x14ac:dyDescent="0.35">
      <c r="BV657" s="140"/>
      <c r="BY657" s="141"/>
      <c r="BZ657" s="141"/>
      <c r="CA657" s="141"/>
      <c r="CB657" s="141"/>
      <c r="CC657" s="141"/>
      <c r="CD657" s="141"/>
      <c r="CE657" s="141"/>
      <c r="CF657" s="141"/>
      <c r="CG657" s="141"/>
      <c r="CH657" s="141"/>
      <c r="CI657" s="141"/>
      <c r="CJ657" s="141"/>
      <c r="CK657" s="141"/>
      <c r="CL657" s="141"/>
    </row>
    <row r="658" spans="74:90" ht="49.5" customHeight="1" x14ac:dyDescent="0.35">
      <c r="BV658" s="140"/>
      <c r="BY658" s="141"/>
      <c r="BZ658" s="141"/>
      <c r="CA658" s="141"/>
      <c r="CB658" s="141"/>
      <c r="CC658" s="141"/>
      <c r="CD658" s="141"/>
      <c r="CE658" s="141"/>
      <c r="CF658" s="141"/>
      <c r="CG658" s="141"/>
      <c r="CH658" s="141"/>
      <c r="CI658" s="141"/>
      <c r="CJ658" s="141"/>
      <c r="CK658" s="141"/>
      <c r="CL658" s="141"/>
    </row>
    <row r="659" spans="74:90" ht="49.5" customHeight="1" x14ac:dyDescent="0.35">
      <c r="BV659" s="140"/>
      <c r="BY659" s="141"/>
      <c r="BZ659" s="141"/>
      <c r="CA659" s="141"/>
      <c r="CB659" s="141"/>
      <c r="CC659" s="141"/>
      <c r="CD659" s="141"/>
      <c r="CE659" s="141"/>
      <c r="CF659" s="141"/>
      <c r="CG659" s="141"/>
      <c r="CH659" s="141"/>
      <c r="CI659" s="141"/>
      <c r="CJ659" s="141"/>
      <c r="CK659" s="141"/>
      <c r="CL659" s="141"/>
    </row>
    <row r="660" spans="74:90" ht="49.5" customHeight="1" x14ac:dyDescent="0.35">
      <c r="BV660" s="140"/>
      <c r="BY660" s="141"/>
      <c r="BZ660" s="141"/>
      <c r="CA660" s="141"/>
      <c r="CB660" s="141"/>
      <c r="CC660" s="141"/>
      <c r="CD660" s="141"/>
      <c r="CE660" s="141"/>
      <c r="CF660" s="141"/>
      <c r="CG660" s="141"/>
      <c r="CH660" s="141"/>
      <c r="CI660" s="141"/>
      <c r="CJ660" s="141"/>
      <c r="CK660" s="141"/>
      <c r="CL660" s="141"/>
    </row>
    <row r="661" spans="74:90" ht="49.5" customHeight="1" x14ac:dyDescent="0.35">
      <c r="BV661" s="140"/>
      <c r="BY661" s="141"/>
      <c r="BZ661" s="141"/>
      <c r="CA661" s="141"/>
      <c r="CB661" s="141"/>
      <c r="CC661" s="141"/>
      <c r="CD661" s="141"/>
      <c r="CE661" s="141"/>
      <c r="CF661" s="141"/>
      <c r="CG661" s="141"/>
      <c r="CH661" s="141"/>
      <c r="CI661" s="141"/>
      <c r="CJ661" s="141"/>
      <c r="CK661" s="141"/>
      <c r="CL661" s="141"/>
    </row>
    <row r="662" spans="74:90" ht="49.5" customHeight="1" x14ac:dyDescent="0.35">
      <c r="BV662" s="140"/>
      <c r="BY662" s="141"/>
      <c r="BZ662" s="141"/>
      <c r="CA662" s="141"/>
      <c r="CB662" s="141"/>
      <c r="CC662" s="141"/>
      <c r="CD662" s="141"/>
      <c r="CE662" s="141"/>
      <c r="CF662" s="141"/>
      <c r="CG662" s="141"/>
      <c r="CH662" s="141"/>
      <c r="CI662" s="141"/>
      <c r="CJ662" s="141"/>
      <c r="CK662" s="141"/>
      <c r="CL662" s="141"/>
    </row>
    <row r="663" spans="74:90" ht="49.5" customHeight="1" x14ac:dyDescent="0.35">
      <c r="BV663" s="140"/>
      <c r="BY663" s="141"/>
      <c r="BZ663" s="141"/>
      <c r="CA663" s="141"/>
      <c r="CB663" s="141"/>
      <c r="CC663" s="141"/>
      <c r="CD663" s="141"/>
      <c r="CE663" s="141"/>
      <c r="CF663" s="141"/>
      <c r="CG663" s="141"/>
      <c r="CH663" s="141"/>
      <c r="CI663" s="141"/>
      <c r="CJ663" s="141"/>
      <c r="CK663" s="141"/>
      <c r="CL663" s="141"/>
    </row>
    <row r="664" spans="74:90" ht="49.5" customHeight="1" x14ac:dyDescent="0.35">
      <c r="BV664" s="140"/>
      <c r="BY664" s="141"/>
      <c r="BZ664" s="141"/>
      <c r="CA664" s="141"/>
      <c r="CB664" s="141"/>
      <c r="CC664" s="141"/>
      <c r="CD664" s="141"/>
      <c r="CE664" s="141"/>
      <c r="CF664" s="141"/>
      <c r="CG664" s="141"/>
      <c r="CH664" s="141"/>
      <c r="CI664" s="141"/>
      <c r="CJ664" s="141"/>
      <c r="CK664" s="141"/>
      <c r="CL664" s="141"/>
    </row>
    <row r="665" spans="74:90" ht="49.5" customHeight="1" x14ac:dyDescent="0.35">
      <c r="BV665" s="140"/>
      <c r="BY665" s="141"/>
      <c r="BZ665" s="141"/>
      <c r="CA665" s="141"/>
      <c r="CB665" s="141"/>
      <c r="CC665" s="141"/>
      <c r="CD665" s="141"/>
      <c r="CE665" s="141"/>
      <c r="CF665" s="141"/>
      <c r="CG665" s="141"/>
      <c r="CH665" s="141"/>
      <c r="CI665" s="141"/>
      <c r="CJ665" s="141"/>
      <c r="CK665" s="141"/>
      <c r="CL665" s="141"/>
    </row>
    <row r="666" spans="74:90" ht="49.5" customHeight="1" x14ac:dyDescent="0.35">
      <c r="BV666" s="140"/>
      <c r="BY666" s="141"/>
      <c r="BZ666" s="141"/>
      <c r="CA666" s="141"/>
      <c r="CB666" s="141"/>
      <c r="CC666" s="141"/>
      <c r="CD666" s="141"/>
      <c r="CE666" s="141"/>
      <c r="CF666" s="141"/>
      <c r="CG666" s="141"/>
      <c r="CH666" s="141"/>
      <c r="CI666" s="141"/>
      <c r="CJ666" s="141"/>
      <c r="CK666" s="141"/>
      <c r="CL666" s="141"/>
    </row>
    <row r="667" spans="74:90" ht="49.5" customHeight="1" x14ac:dyDescent="0.35">
      <c r="BV667" s="140"/>
      <c r="BY667" s="141"/>
      <c r="BZ667" s="141"/>
      <c r="CA667" s="141"/>
      <c r="CB667" s="141"/>
      <c r="CC667" s="141"/>
      <c r="CD667" s="141"/>
      <c r="CE667" s="141"/>
      <c r="CF667" s="141"/>
      <c r="CG667" s="141"/>
      <c r="CH667" s="141"/>
      <c r="CI667" s="141"/>
      <c r="CJ667" s="141"/>
      <c r="CK667" s="141"/>
      <c r="CL667" s="141"/>
    </row>
    <row r="668" spans="74:90" ht="49.5" customHeight="1" x14ac:dyDescent="0.35">
      <c r="BV668" s="140"/>
      <c r="BY668" s="141"/>
      <c r="BZ668" s="141"/>
      <c r="CA668" s="141"/>
      <c r="CB668" s="141"/>
      <c r="CC668" s="141"/>
      <c r="CD668" s="141"/>
      <c r="CE668" s="141"/>
      <c r="CF668" s="141"/>
      <c r="CG668" s="141"/>
      <c r="CH668" s="141"/>
      <c r="CI668" s="141"/>
      <c r="CJ668" s="141"/>
      <c r="CK668" s="141"/>
      <c r="CL668" s="141"/>
    </row>
    <row r="669" spans="74:90" ht="49.5" customHeight="1" x14ac:dyDescent="0.35">
      <c r="BV669" s="140"/>
      <c r="BY669" s="141"/>
      <c r="BZ669" s="141"/>
      <c r="CA669" s="141"/>
      <c r="CB669" s="141"/>
      <c r="CC669" s="141"/>
      <c r="CD669" s="141"/>
      <c r="CE669" s="141"/>
      <c r="CF669" s="141"/>
      <c r="CG669" s="141"/>
      <c r="CH669" s="141"/>
      <c r="CI669" s="141"/>
      <c r="CJ669" s="141"/>
      <c r="CK669" s="141"/>
      <c r="CL669" s="141"/>
    </row>
    <row r="670" spans="74:90" ht="49.5" customHeight="1" x14ac:dyDescent="0.35">
      <c r="BV670" s="140"/>
      <c r="BY670" s="141"/>
      <c r="BZ670" s="141"/>
      <c r="CA670" s="141"/>
      <c r="CB670" s="141"/>
      <c r="CC670" s="141"/>
      <c r="CD670" s="141"/>
      <c r="CE670" s="141"/>
      <c r="CF670" s="141"/>
      <c r="CG670" s="141"/>
      <c r="CH670" s="141"/>
      <c r="CI670" s="141"/>
      <c r="CJ670" s="141"/>
      <c r="CK670" s="141"/>
      <c r="CL670" s="141"/>
    </row>
    <row r="671" spans="74:90" ht="49.5" customHeight="1" x14ac:dyDescent="0.35">
      <c r="BV671" s="140"/>
      <c r="BY671" s="141"/>
      <c r="BZ671" s="141"/>
      <c r="CA671" s="141"/>
      <c r="CB671" s="141"/>
      <c r="CC671" s="141"/>
      <c r="CD671" s="141"/>
      <c r="CE671" s="141"/>
      <c r="CF671" s="141"/>
      <c r="CG671" s="141"/>
      <c r="CH671" s="141"/>
      <c r="CI671" s="141"/>
      <c r="CJ671" s="141"/>
      <c r="CK671" s="141"/>
      <c r="CL671" s="141"/>
    </row>
    <row r="672" spans="74:90" ht="49.5" customHeight="1" x14ac:dyDescent="0.35">
      <c r="BV672" s="140"/>
      <c r="BY672" s="141"/>
      <c r="BZ672" s="141"/>
      <c r="CA672" s="141"/>
      <c r="CB672" s="141"/>
      <c r="CC672" s="141"/>
      <c r="CD672" s="141"/>
      <c r="CE672" s="141"/>
      <c r="CF672" s="141"/>
      <c r="CG672" s="141"/>
      <c r="CH672" s="141"/>
      <c r="CI672" s="141"/>
      <c r="CJ672" s="141"/>
      <c r="CK672" s="141"/>
      <c r="CL672" s="141"/>
    </row>
    <row r="673" spans="74:90" ht="49.5" customHeight="1" x14ac:dyDescent="0.35">
      <c r="BV673" s="140"/>
      <c r="BY673" s="141"/>
      <c r="BZ673" s="141"/>
      <c r="CA673" s="141"/>
      <c r="CB673" s="141"/>
      <c r="CC673" s="141"/>
      <c r="CD673" s="141"/>
      <c r="CE673" s="141"/>
      <c r="CF673" s="141"/>
      <c r="CG673" s="141"/>
      <c r="CH673" s="141"/>
      <c r="CI673" s="141"/>
      <c r="CJ673" s="141"/>
      <c r="CK673" s="141"/>
      <c r="CL673" s="141"/>
    </row>
    <row r="674" spans="74:90" ht="49.5" customHeight="1" x14ac:dyDescent="0.35">
      <c r="BV674" s="140"/>
      <c r="BY674" s="141"/>
      <c r="BZ674" s="141"/>
      <c r="CA674" s="141"/>
      <c r="CB674" s="141"/>
      <c r="CC674" s="141"/>
      <c r="CD674" s="141"/>
      <c r="CE674" s="141"/>
      <c r="CF674" s="141"/>
      <c r="CG674" s="141"/>
      <c r="CH674" s="141"/>
      <c r="CI674" s="141"/>
      <c r="CJ674" s="141"/>
      <c r="CK674" s="141"/>
      <c r="CL674" s="141"/>
    </row>
    <row r="675" spans="74:90" ht="49.5" customHeight="1" x14ac:dyDescent="0.35">
      <c r="BV675" s="140"/>
      <c r="BY675" s="141"/>
      <c r="BZ675" s="141"/>
      <c r="CA675" s="141"/>
      <c r="CB675" s="141"/>
      <c r="CC675" s="141"/>
      <c r="CD675" s="141"/>
      <c r="CE675" s="141"/>
      <c r="CF675" s="141"/>
      <c r="CG675" s="141"/>
      <c r="CH675" s="141"/>
      <c r="CI675" s="141"/>
      <c r="CJ675" s="141"/>
      <c r="CK675" s="141"/>
      <c r="CL675" s="141"/>
    </row>
    <row r="676" spans="74:90" ht="49.5" customHeight="1" x14ac:dyDescent="0.35">
      <c r="BV676" s="140"/>
      <c r="BY676" s="141"/>
      <c r="BZ676" s="141"/>
      <c r="CA676" s="141"/>
      <c r="CB676" s="141"/>
      <c r="CC676" s="141"/>
      <c r="CD676" s="141"/>
      <c r="CE676" s="141"/>
      <c r="CF676" s="141"/>
      <c r="CG676" s="141"/>
      <c r="CH676" s="141"/>
      <c r="CI676" s="141"/>
      <c r="CJ676" s="141"/>
      <c r="CK676" s="141"/>
      <c r="CL676" s="141"/>
    </row>
    <row r="677" spans="74:90" ht="49.5" customHeight="1" x14ac:dyDescent="0.35">
      <c r="BV677" s="140"/>
      <c r="BY677" s="141"/>
      <c r="BZ677" s="141"/>
      <c r="CA677" s="141"/>
      <c r="CB677" s="141"/>
      <c r="CC677" s="141"/>
      <c r="CD677" s="141"/>
      <c r="CE677" s="141"/>
      <c r="CF677" s="141"/>
      <c r="CG677" s="141"/>
      <c r="CH677" s="141"/>
      <c r="CI677" s="141"/>
      <c r="CJ677" s="141"/>
      <c r="CK677" s="141"/>
      <c r="CL677" s="141"/>
    </row>
    <row r="678" spans="74:90" ht="49.5" customHeight="1" x14ac:dyDescent="0.35">
      <c r="BV678" s="140"/>
      <c r="BY678" s="141"/>
      <c r="BZ678" s="141"/>
      <c r="CA678" s="141"/>
      <c r="CB678" s="141"/>
      <c r="CC678" s="141"/>
      <c r="CD678" s="141"/>
      <c r="CE678" s="141"/>
      <c r="CF678" s="141"/>
      <c r="CG678" s="141"/>
      <c r="CH678" s="141"/>
      <c r="CI678" s="141"/>
      <c r="CJ678" s="141"/>
      <c r="CK678" s="141"/>
      <c r="CL678" s="141"/>
    </row>
    <row r="679" spans="74:90" ht="49.5" customHeight="1" x14ac:dyDescent="0.35">
      <c r="BV679" s="140"/>
      <c r="BY679" s="141"/>
      <c r="BZ679" s="141"/>
      <c r="CA679" s="141"/>
      <c r="CB679" s="141"/>
      <c r="CC679" s="141"/>
      <c r="CD679" s="141"/>
      <c r="CE679" s="141"/>
      <c r="CF679" s="141"/>
      <c r="CG679" s="141"/>
      <c r="CH679" s="141"/>
      <c r="CI679" s="141"/>
      <c r="CJ679" s="141"/>
      <c r="CK679" s="141"/>
      <c r="CL679" s="141"/>
    </row>
    <row r="680" spans="74:90" ht="49.5" customHeight="1" x14ac:dyDescent="0.35">
      <c r="BV680" s="140"/>
      <c r="BY680" s="141"/>
      <c r="BZ680" s="141"/>
      <c r="CA680" s="141"/>
      <c r="CB680" s="141"/>
      <c r="CC680" s="141"/>
      <c r="CD680" s="141"/>
      <c r="CE680" s="141"/>
      <c r="CF680" s="141"/>
      <c r="CG680" s="141"/>
      <c r="CH680" s="141"/>
      <c r="CI680" s="141"/>
      <c r="CJ680" s="141"/>
      <c r="CK680" s="141"/>
      <c r="CL680" s="141"/>
    </row>
    <row r="681" spans="74:90" ht="49.5" customHeight="1" x14ac:dyDescent="0.35">
      <c r="BV681" s="140"/>
      <c r="BY681" s="141"/>
      <c r="BZ681" s="141"/>
      <c r="CA681" s="141"/>
      <c r="CB681" s="141"/>
      <c r="CC681" s="141"/>
      <c r="CD681" s="141"/>
      <c r="CE681" s="141"/>
      <c r="CF681" s="141"/>
      <c r="CG681" s="141"/>
      <c r="CH681" s="141"/>
      <c r="CI681" s="141"/>
      <c r="CJ681" s="141"/>
      <c r="CK681" s="141"/>
      <c r="CL681" s="141"/>
    </row>
    <row r="682" spans="74:90" ht="49.5" customHeight="1" x14ac:dyDescent="0.35">
      <c r="BV682" s="140"/>
      <c r="BY682" s="141"/>
      <c r="BZ682" s="141"/>
      <c r="CA682" s="141"/>
      <c r="CB682" s="141"/>
      <c r="CC682" s="141"/>
      <c r="CD682" s="141"/>
      <c r="CE682" s="141"/>
      <c r="CF682" s="141"/>
      <c r="CG682" s="141"/>
      <c r="CH682" s="141"/>
      <c r="CI682" s="141"/>
      <c r="CJ682" s="141"/>
      <c r="CK682" s="141"/>
      <c r="CL682" s="141"/>
    </row>
    <row r="683" spans="74:90" ht="49.5" customHeight="1" x14ac:dyDescent="0.35">
      <c r="BV683" s="140"/>
      <c r="BY683" s="141"/>
      <c r="BZ683" s="141"/>
      <c r="CA683" s="141"/>
      <c r="CB683" s="141"/>
      <c r="CC683" s="141"/>
      <c r="CD683" s="141"/>
      <c r="CE683" s="141"/>
      <c r="CF683" s="141"/>
      <c r="CG683" s="141"/>
      <c r="CH683" s="141"/>
      <c r="CI683" s="141"/>
      <c r="CJ683" s="141"/>
      <c r="CK683" s="141"/>
      <c r="CL683" s="141"/>
    </row>
    <row r="684" spans="74:90" ht="49.5" customHeight="1" x14ac:dyDescent="0.35">
      <c r="BV684" s="140"/>
      <c r="BY684" s="141"/>
      <c r="BZ684" s="141"/>
      <c r="CA684" s="141"/>
      <c r="CB684" s="141"/>
      <c r="CC684" s="141"/>
      <c r="CD684" s="141"/>
      <c r="CE684" s="141"/>
      <c r="CF684" s="141"/>
      <c r="CG684" s="141"/>
      <c r="CH684" s="141"/>
      <c r="CI684" s="141"/>
      <c r="CJ684" s="141"/>
      <c r="CK684" s="141"/>
      <c r="CL684" s="141"/>
    </row>
    <row r="685" spans="74:90" ht="49.5" customHeight="1" x14ac:dyDescent="0.35">
      <c r="BV685" s="140"/>
      <c r="BY685" s="141"/>
      <c r="BZ685" s="141"/>
      <c r="CA685" s="141"/>
      <c r="CB685" s="141"/>
      <c r="CC685" s="141"/>
      <c r="CD685" s="141"/>
      <c r="CE685" s="141"/>
      <c r="CF685" s="141"/>
      <c r="CG685" s="141"/>
      <c r="CH685" s="141"/>
      <c r="CI685" s="141"/>
      <c r="CJ685" s="141"/>
      <c r="CK685" s="141"/>
      <c r="CL685" s="141"/>
    </row>
    <row r="686" spans="74:90" ht="49.5" customHeight="1" x14ac:dyDescent="0.35">
      <c r="BV686" s="140"/>
      <c r="BY686" s="141"/>
      <c r="BZ686" s="141"/>
      <c r="CA686" s="141"/>
      <c r="CB686" s="141"/>
      <c r="CC686" s="141"/>
      <c r="CD686" s="141"/>
      <c r="CE686" s="141"/>
      <c r="CF686" s="141"/>
      <c r="CG686" s="141"/>
      <c r="CH686" s="141"/>
      <c r="CI686" s="141"/>
      <c r="CJ686" s="141"/>
      <c r="CK686" s="141"/>
      <c r="CL686" s="141"/>
    </row>
    <row r="687" spans="74:90" ht="49.5" customHeight="1" x14ac:dyDescent="0.35">
      <c r="BV687" s="140"/>
      <c r="BY687" s="141"/>
      <c r="BZ687" s="141"/>
      <c r="CA687" s="141"/>
      <c r="CB687" s="141"/>
      <c r="CC687" s="141"/>
      <c r="CD687" s="141"/>
      <c r="CE687" s="141"/>
      <c r="CF687" s="141"/>
      <c r="CG687" s="141"/>
      <c r="CH687" s="141"/>
      <c r="CI687" s="141"/>
      <c r="CJ687" s="141"/>
      <c r="CK687" s="141"/>
      <c r="CL687" s="141"/>
    </row>
    <row r="688" spans="74:90" ht="49.5" customHeight="1" x14ac:dyDescent="0.35">
      <c r="BV688" s="140"/>
      <c r="BY688" s="141"/>
      <c r="BZ688" s="141"/>
      <c r="CA688" s="141"/>
      <c r="CB688" s="141"/>
      <c r="CC688" s="141"/>
      <c r="CD688" s="141"/>
      <c r="CE688" s="141"/>
      <c r="CF688" s="141"/>
      <c r="CG688" s="141"/>
      <c r="CH688" s="141"/>
      <c r="CI688" s="141"/>
      <c r="CJ688" s="141"/>
      <c r="CK688" s="141"/>
      <c r="CL688" s="141"/>
    </row>
    <row r="689" spans="74:90" ht="49.5" customHeight="1" x14ac:dyDescent="0.35">
      <c r="BV689" s="140"/>
      <c r="BY689" s="141"/>
      <c r="BZ689" s="141"/>
      <c r="CA689" s="141"/>
      <c r="CB689" s="141"/>
      <c r="CC689" s="141"/>
      <c r="CD689" s="141"/>
      <c r="CE689" s="141"/>
      <c r="CF689" s="141"/>
      <c r="CG689" s="141"/>
      <c r="CH689" s="141"/>
      <c r="CI689" s="141"/>
      <c r="CJ689" s="141"/>
      <c r="CK689" s="141"/>
      <c r="CL689" s="141"/>
    </row>
    <row r="690" spans="74:90" ht="49.5" customHeight="1" x14ac:dyDescent="0.35">
      <c r="BV690" s="140"/>
      <c r="BY690" s="141"/>
      <c r="BZ690" s="141"/>
      <c r="CA690" s="141"/>
      <c r="CB690" s="141"/>
      <c r="CC690" s="141"/>
      <c r="CD690" s="141"/>
      <c r="CE690" s="141"/>
      <c r="CF690" s="141"/>
      <c r="CG690" s="141"/>
      <c r="CH690" s="141"/>
      <c r="CI690" s="141"/>
      <c r="CJ690" s="141"/>
      <c r="CK690" s="141"/>
      <c r="CL690" s="141"/>
    </row>
    <row r="691" spans="74:90" ht="49.5" customHeight="1" x14ac:dyDescent="0.35">
      <c r="BV691" s="140"/>
      <c r="BY691" s="141"/>
      <c r="BZ691" s="141"/>
      <c r="CA691" s="141"/>
      <c r="CB691" s="141"/>
      <c r="CC691" s="141"/>
      <c r="CD691" s="141"/>
      <c r="CE691" s="141"/>
      <c r="CF691" s="141"/>
      <c r="CG691" s="141"/>
      <c r="CH691" s="141"/>
      <c r="CI691" s="141"/>
      <c r="CJ691" s="141"/>
      <c r="CK691" s="141"/>
      <c r="CL691" s="141"/>
    </row>
    <row r="692" spans="74:90" ht="49.5" customHeight="1" x14ac:dyDescent="0.35">
      <c r="BV692" s="140"/>
      <c r="BY692" s="141"/>
      <c r="BZ692" s="141"/>
      <c r="CA692" s="141"/>
      <c r="CB692" s="141"/>
      <c r="CC692" s="141"/>
      <c r="CD692" s="141"/>
      <c r="CE692" s="141"/>
      <c r="CF692" s="141"/>
      <c r="CG692" s="141"/>
      <c r="CH692" s="141"/>
      <c r="CI692" s="141"/>
      <c r="CJ692" s="141"/>
      <c r="CK692" s="141"/>
      <c r="CL692" s="141"/>
    </row>
    <row r="693" spans="74:90" ht="49.5" customHeight="1" x14ac:dyDescent="0.35">
      <c r="BV693" s="140"/>
      <c r="BY693" s="141"/>
      <c r="BZ693" s="141"/>
      <c r="CA693" s="141"/>
      <c r="CB693" s="141"/>
      <c r="CC693" s="141"/>
      <c r="CD693" s="141"/>
      <c r="CE693" s="141"/>
      <c r="CF693" s="141"/>
      <c r="CG693" s="141"/>
      <c r="CH693" s="141"/>
      <c r="CI693" s="141"/>
      <c r="CJ693" s="141"/>
      <c r="CK693" s="141"/>
      <c r="CL693" s="141"/>
    </row>
    <row r="694" spans="74:90" ht="49.5" customHeight="1" x14ac:dyDescent="0.35">
      <c r="BV694" s="140"/>
      <c r="BY694" s="141"/>
      <c r="BZ694" s="141"/>
      <c r="CA694" s="141"/>
      <c r="CB694" s="141"/>
      <c r="CC694" s="141"/>
      <c r="CD694" s="141"/>
      <c r="CE694" s="141"/>
      <c r="CF694" s="141"/>
      <c r="CG694" s="141"/>
      <c r="CH694" s="141"/>
      <c r="CI694" s="141"/>
      <c r="CJ694" s="141"/>
      <c r="CK694" s="141"/>
      <c r="CL694" s="141"/>
    </row>
    <row r="695" spans="74:90" ht="49.5" customHeight="1" x14ac:dyDescent="0.35">
      <c r="BV695" s="140"/>
      <c r="BY695" s="141"/>
      <c r="BZ695" s="141"/>
      <c r="CA695" s="141"/>
      <c r="CB695" s="141"/>
      <c r="CC695" s="141"/>
      <c r="CD695" s="141"/>
      <c r="CE695" s="141"/>
      <c r="CF695" s="141"/>
      <c r="CG695" s="141"/>
      <c r="CH695" s="141"/>
      <c r="CI695" s="141"/>
      <c r="CJ695" s="141"/>
      <c r="CK695" s="141"/>
      <c r="CL695" s="141"/>
    </row>
    <row r="696" spans="74:90" ht="49.5" customHeight="1" x14ac:dyDescent="0.35">
      <c r="BV696" s="140"/>
      <c r="BY696" s="141"/>
      <c r="BZ696" s="141"/>
      <c r="CA696" s="141"/>
      <c r="CB696" s="141"/>
      <c r="CC696" s="141"/>
      <c r="CD696" s="141"/>
      <c r="CE696" s="141"/>
      <c r="CF696" s="141"/>
      <c r="CG696" s="141"/>
      <c r="CH696" s="141"/>
      <c r="CI696" s="141"/>
      <c r="CJ696" s="141"/>
      <c r="CK696" s="141"/>
      <c r="CL696" s="141"/>
    </row>
    <row r="697" spans="74:90" ht="49.5" customHeight="1" x14ac:dyDescent="0.35">
      <c r="BV697" s="140"/>
      <c r="BY697" s="141"/>
      <c r="BZ697" s="141"/>
      <c r="CA697" s="141"/>
      <c r="CB697" s="141"/>
      <c r="CC697" s="141"/>
      <c r="CD697" s="141"/>
      <c r="CE697" s="141"/>
      <c r="CF697" s="141"/>
      <c r="CG697" s="141"/>
      <c r="CH697" s="141"/>
      <c r="CI697" s="141"/>
      <c r="CJ697" s="141"/>
      <c r="CK697" s="141"/>
      <c r="CL697" s="141"/>
    </row>
    <row r="698" spans="74:90" ht="49.5" customHeight="1" x14ac:dyDescent="0.35">
      <c r="BV698" s="140"/>
      <c r="BY698" s="141"/>
      <c r="BZ698" s="141"/>
      <c r="CA698" s="141"/>
      <c r="CB698" s="141"/>
      <c r="CC698" s="141"/>
      <c r="CD698" s="141"/>
      <c r="CE698" s="141"/>
      <c r="CF698" s="141"/>
      <c r="CG698" s="141"/>
      <c r="CH698" s="141"/>
      <c r="CI698" s="141"/>
      <c r="CJ698" s="141"/>
      <c r="CK698" s="141"/>
      <c r="CL698" s="141"/>
    </row>
    <row r="699" spans="74:90" ht="49.5" customHeight="1" x14ac:dyDescent="0.35">
      <c r="BV699" s="140"/>
      <c r="BY699" s="141"/>
      <c r="BZ699" s="141"/>
      <c r="CA699" s="141"/>
      <c r="CB699" s="141"/>
      <c r="CC699" s="141"/>
      <c r="CD699" s="141"/>
      <c r="CE699" s="141"/>
      <c r="CF699" s="141"/>
      <c r="CG699" s="141"/>
      <c r="CH699" s="141"/>
      <c r="CI699" s="141"/>
      <c r="CJ699" s="141"/>
      <c r="CK699" s="141"/>
      <c r="CL699" s="141"/>
    </row>
    <row r="700" spans="74:90" ht="49.5" customHeight="1" x14ac:dyDescent="0.35">
      <c r="BV700" s="140"/>
      <c r="BY700" s="141"/>
      <c r="BZ700" s="141"/>
      <c r="CA700" s="141"/>
      <c r="CB700" s="141"/>
      <c r="CC700" s="141"/>
      <c r="CD700" s="141"/>
      <c r="CE700" s="141"/>
      <c r="CF700" s="141"/>
      <c r="CG700" s="141"/>
      <c r="CH700" s="141"/>
      <c r="CI700" s="141"/>
      <c r="CJ700" s="141"/>
      <c r="CK700" s="141"/>
      <c r="CL700" s="141"/>
    </row>
    <row r="701" spans="74:90" ht="49.5" customHeight="1" x14ac:dyDescent="0.35">
      <c r="BV701" s="140"/>
      <c r="BY701" s="141"/>
      <c r="BZ701" s="141"/>
      <c r="CA701" s="141"/>
      <c r="CB701" s="141"/>
      <c r="CC701" s="141"/>
      <c r="CD701" s="141"/>
      <c r="CE701" s="141"/>
      <c r="CF701" s="141"/>
      <c r="CG701" s="141"/>
      <c r="CH701" s="141"/>
      <c r="CI701" s="141"/>
      <c r="CJ701" s="141"/>
      <c r="CK701" s="141"/>
      <c r="CL701" s="141"/>
    </row>
    <row r="702" spans="74:90" ht="49.5" customHeight="1" x14ac:dyDescent="0.35">
      <c r="BV702" s="140"/>
      <c r="BY702" s="141"/>
      <c r="BZ702" s="141"/>
      <c r="CA702" s="141"/>
      <c r="CB702" s="141"/>
      <c r="CC702" s="141"/>
      <c r="CD702" s="141"/>
      <c r="CE702" s="141"/>
      <c r="CF702" s="141"/>
      <c r="CG702" s="141"/>
      <c r="CH702" s="141"/>
      <c r="CI702" s="141"/>
      <c r="CJ702" s="141"/>
      <c r="CK702" s="141"/>
      <c r="CL702" s="141"/>
    </row>
    <row r="703" spans="74:90" ht="49.5" customHeight="1" x14ac:dyDescent="0.35">
      <c r="BV703" s="140"/>
      <c r="BY703" s="141"/>
      <c r="BZ703" s="141"/>
      <c r="CA703" s="141"/>
      <c r="CB703" s="141"/>
      <c r="CC703" s="141"/>
      <c r="CD703" s="141"/>
      <c r="CE703" s="141"/>
      <c r="CF703" s="141"/>
      <c r="CG703" s="141"/>
      <c r="CH703" s="141"/>
      <c r="CI703" s="141"/>
      <c r="CJ703" s="141"/>
      <c r="CK703" s="141"/>
      <c r="CL703" s="141"/>
    </row>
    <row r="704" spans="74:90" ht="49.5" customHeight="1" x14ac:dyDescent="0.35">
      <c r="BV704" s="140"/>
      <c r="BY704" s="141"/>
      <c r="BZ704" s="141"/>
      <c r="CA704" s="141"/>
      <c r="CB704" s="141"/>
      <c r="CC704" s="141"/>
      <c r="CD704" s="141"/>
      <c r="CE704" s="141"/>
      <c r="CF704" s="141"/>
      <c r="CG704" s="141"/>
      <c r="CH704" s="141"/>
      <c r="CI704" s="141"/>
      <c r="CJ704" s="141"/>
      <c r="CK704" s="141"/>
      <c r="CL704" s="141"/>
    </row>
    <row r="705" spans="74:90" ht="49.5" customHeight="1" x14ac:dyDescent="0.35">
      <c r="BV705" s="140"/>
      <c r="BY705" s="141"/>
      <c r="BZ705" s="141"/>
      <c r="CA705" s="141"/>
      <c r="CB705" s="141"/>
      <c r="CC705" s="141"/>
      <c r="CD705" s="141"/>
      <c r="CE705" s="141"/>
      <c r="CF705" s="141"/>
      <c r="CG705" s="141"/>
      <c r="CH705" s="141"/>
      <c r="CI705" s="141"/>
      <c r="CJ705" s="141"/>
      <c r="CK705" s="141"/>
      <c r="CL705" s="141"/>
    </row>
    <row r="706" spans="74:90" ht="49.5" customHeight="1" x14ac:dyDescent="0.35">
      <c r="BV706" s="140"/>
      <c r="BY706" s="141"/>
      <c r="BZ706" s="141"/>
      <c r="CA706" s="141"/>
      <c r="CB706" s="141"/>
      <c r="CC706" s="141"/>
      <c r="CD706" s="141"/>
      <c r="CE706" s="141"/>
      <c r="CF706" s="141"/>
      <c r="CG706" s="141"/>
      <c r="CH706" s="141"/>
      <c r="CI706" s="141"/>
      <c r="CJ706" s="141"/>
      <c r="CK706" s="141"/>
      <c r="CL706" s="141"/>
    </row>
    <row r="707" spans="74:90" ht="49.5" customHeight="1" x14ac:dyDescent="0.35">
      <c r="BV707" s="140"/>
      <c r="BY707" s="141"/>
      <c r="BZ707" s="141"/>
      <c r="CA707" s="141"/>
      <c r="CB707" s="141"/>
      <c r="CC707" s="141"/>
      <c r="CD707" s="141"/>
      <c r="CE707" s="141"/>
      <c r="CF707" s="141"/>
      <c r="CG707" s="141"/>
      <c r="CH707" s="141"/>
      <c r="CI707" s="141"/>
      <c r="CJ707" s="141"/>
      <c r="CK707" s="141"/>
      <c r="CL707" s="141"/>
    </row>
    <row r="708" spans="74:90" ht="49.5" customHeight="1" x14ac:dyDescent="0.35">
      <c r="BV708" s="140"/>
      <c r="BY708" s="141"/>
      <c r="BZ708" s="141"/>
      <c r="CA708" s="141"/>
      <c r="CB708" s="141"/>
      <c r="CC708" s="141"/>
      <c r="CD708" s="141"/>
      <c r="CE708" s="141"/>
      <c r="CF708" s="141"/>
      <c r="CG708" s="141"/>
      <c r="CH708" s="141"/>
      <c r="CI708" s="141"/>
      <c r="CJ708" s="141"/>
      <c r="CK708" s="141"/>
      <c r="CL708" s="141"/>
    </row>
    <row r="709" spans="74:90" ht="49.5" customHeight="1" x14ac:dyDescent="0.35">
      <c r="BV709" s="140"/>
      <c r="BY709" s="141"/>
      <c r="BZ709" s="141"/>
      <c r="CA709" s="141"/>
      <c r="CB709" s="141"/>
      <c r="CC709" s="141"/>
      <c r="CD709" s="141"/>
      <c r="CE709" s="141"/>
      <c r="CF709" s="141"/>
      <c r="CG709" s="141"/>
      <c r="CH709" s="141"/>
      <c r="CI709" s="141"/>
      <c r="CJ709" s="141"/>
      <c r="CK709" s="141"/>
      <c r="CL709" s="141"/>
    </row>
    <row r="710" spans="74:90" ht="49.5" customHeight="1" x14ac:dyDescent="0.35">
      <c r="BV710" s="140"/>
      <c r="BY710" s="141"/>
      <c r="BZ710" s="141"/>
      <c r="CA710" s="141"/>
      <c r="CB710" s="141"/>
      <c r="CC710" s="141"/>
      <c r="CD710" s="141"/>
      <c r="CE710" s="141"/>
      <c r="CF710" s="141"/>
      <c r="CG710" s="141"/>
      <c r="CH710" s="141"/>
      <c r="CI710" s="141"/>
      <c r="CJ710" s="141"/>
      <c r="CK710" s="141"/>
      <c r="CL710" s="141"/>
    </row>
    <row r="711" spans="74:90" ht="49.5" customHeight="1" x14ac:dyDescent="0.35">
      <c r="BV711" s="140"/>
      <c r="BY711" s="141"/>
      <c r="BZ711" s="141"/>
      <c r="CA711" s="141"/>
      <c r="CB711" s="141"/>
      <c r="CC711" s="141"/>
      <c r="CD711" s="141"/>
      <c r="CE711" s="141"/>
      <c r="CF711" s="141"/>
      <c r="CG711" s="141"/>
      <c r="CH711" s="141"/>
      <c r="CI711" s="141"/>
      <c r="CJ711" s="141"/>
      <c r="CK711" s="141"/>
      <c r="CL711" s="141"/>
    </row>
    <row r="712" spans="74:90" ht="49.5" customHeight="1" x14ac:dyDescent="0.35">
      <c r="BV712" s="140"/>
      <c r="BY712" s="141"/>
      <c r="BZ712" s="141"/>
      <c r="CA712" s="141"/>
      <c r="CB712" s="141"/>
      <c r="CC712" s="141"/>
      <c r="CD712" s="141"/>
      <c r="CE712" s="141"/>
      <c r="CF712" s="141"/>
      <c r="CG712" s="141"/>
      <c r="CH712" s="141"/>
      <c r="CI712" s="141"/>
      <c r="CJ712" s="141"/>
      <c r="CK712" s="141"/>
      <c r="CL712" s="141"/>
    </row>
    <row r="713" spans="74:90" ht="49.5" customHeight="1" x14ac:dyDescent="0.35">
      <c r="BV713" s="140"/>
      <c r="BY713" s="141"/>
      <c r="BZ713" s="141"/>
      <c r="CA713" s="141"/>
      <c r="CB713" s="141"/>
      <c r="CC713" s="141"/>
      <c r="CD713" s="141"/>
      <c r="CE713" s="141"/>
      <c r="CF713" s="141"/>
      <c r="CG713" s="141"/>
      <c r="CH713" s="141"/>
      <c r="CI713" s="141"/>
      <c r="CJ713" s="141"/>
      <c r="CK713" s="141"/>
      <c r="CL713" s="141"/>
    </row>
    <row r="714" spans="74:90" ht="49.5" customHeight="1" x14ac:dyDescent="0.35">
      <c r="BV714" s="140"/>
      <c r="BY714" s="141"/>
      <c r="BZ714" s="141"/>
      <c r="CA714" s="141"/>
      <c r="CB714" s="141"/>
      <c r="CC714" s="141"/>
      <c r="CD714" s="141"/>
      <c r="CE714" s="141"/>
      <c r="CF714" s="141"/>
      <c r="CG714" s="141"/>
      <c r="CH714" s="141"/>
      <c r="CI714" s="141"/>
      <c r="CJ714" s="141"/>
      <c r="CK714" s="141"/>
      <c r="CL714" s="141"/>
    </row>
    <row r="715" spans="74:90" ht="49.5" customHeight="1" x14ac:dyDescent="0.35">
      <c r="BV715" s="140"/>
      <c r="BY715" s="141"/>
      <c r="BZ715" s="141"/>
      <c r="CA715" s="141"/>
      <c r="CB715" s="141"/>
      <c r="CC715" s="141"/>
      <c r="CD715" s="141"/>
      <c r="CE715" s="141"/>
      <c r="CF715" s="141"/>
      <c r="CG715" s="141"/>
      <c r="CH715" s="141"/>
      <c r="CI715" s="141"/>
      <c r="CJ715" s="141"/>
      <c r="CK715" s="141"/>
      <c r="CL715" s="141"/>
    </row>
    <row r="716" spans="74:90" ht="49.5" customHeight="1" x14ac:dyDescent="0.35">
      <c r="BV716" s="140"/>
      <c r="BY716" s="141"/>
      <c r="BZ716" s="141"/>
      <c r="CA716" s="141"/>
      <c r="CB716" s="141"/>
      <c r="CC716" s="141"/>
      <c r="CD716" s="141"/>
      <c r="CE716" s="141"/>
      <c r="CF716" s="141"/>
      <c r="CG716" s="141"/>
      <c r="CH716" s="141"/>
      <c r="CI716" s="141"/>
      <c r="CJ716" s="141"/>
      <c r="CK716" s="141"/>
      <c r="CL716" s="141"/>
    </row>
    <row r="717" spans="74:90" ht="49.5" customHeight="1" x14ac:dyDescent="0.35">
      <c r="BV717" s="140"/>
      <c r="BY717" s="141"/>
      <c r="BZ717" s="141"/>
      <c r="CA717" s="141"/>
      <c r="CB717" s="141"/>
      <c r="CC717" s="141"/>
      <c r="CD717" s="141"/>
      <c r="CE717" s="141"/>
      <c r="CF717" s="141"/>
      <c r="CG717" s="141"/>
      <c r="CH717" s="141"/>
      <c r="CI717" s="141"/>
      <c r="CJ717" s="141"/>
      <c r="CK717" s="141"/>
      <c r="CL717" s="141"/>
    </row>
    <row r="718" spans="74:90" ht="49.5" customHeight="1" x14ac:dyDescent="0.35">
      <c r="BV718" s="140"/>
      <c r="BY718" s="141"/>
      <c r="BZ718" s="141"/>
      <c r="CA718" s="141"/>
      <c r="CB718" s="141"/>
      <c r="CC718" s="141"/>
      <c r="CD718" s="141"/>
      <c r="CE718" s="141"/>
      <c r="CF718" s="141"/>
      <c r="CG718" s="141"/>
      <c r="CH718" s="141"/>
      <c r="CI718" s="141"/>
      <c r="CJ718" s="141"/>
      <c r="CK718" s="141"/>
      <c r="CL718" s="141"/>
    </row>
    <row r="719" spans="74:90" ht="49.5" customHeight="1" x14ac:dyDescent="0.35">
      <c r="BV719" s="140"/>
      <c r="BY719" s="141"/>
      <c r="BZ719" s="141"/>
      <c r="CA719" s="141"/>
      <c r="CB719" s="141"/>
      <c r="CC719" s="141"/>
      <c r="CD719" s="141"/>
      <c r="CE719" s="141"/>
      <c r="CF719" s="141"/>
      <c r="CG719" s="141"/>
      <c r="CH719" s="141"/>
      <c r="CI719" s="141"/>
      <c r="CJ719" s="141"/>
      <c r="CK719" s="141"/>
      <c r="CL719" s="141"/>
    </row>
    <row r="720" spans="74:90" ht="49.5" customHeight="1" x14ac:dyDescent="0.35">
      <c r="BV720" s="140"/>
      <c r="BY720" s="141"/>
      <c r="BZ720" s="141"/>
      <c r="CA720" s="141"/>
      <c r="CB720" s="141"/>
      <c r="CC720" s="141"/>
      <c r="CD720" s="141"/>
      <c r="CE720" s="141"/>
      <c r="CF720" s="141"/>
      <c r="CG720" s="141"/>
      <c r="CH720" s="141"/>
      <c r="CI720" s="141"/>
      <c r="CJ720" s="141"/>
      <c r="CK720" s="141"/>
      <c r="CL720" s="141"/>
    </row>
    <row r="721" spans="74:90" ht="49.5" customHeight="1" x14ac:dyDescent="0.35">
      <c r="BV721" s="140"/>
      <c r="BY721" s="141"/>
      <c r="BZ721" s="141"/>
      <c r="CA721" s="141"/>
      <c r="CB721" s="141"/>
      <c r="CC721" s="141"/>
      <c r="CD721" s="141"/>
      <c r="CE721" s="141"/>
      <c r="CF721" s="141"/>
      <c r="CG721" s="141"/>
      <c r="CH721" s="141"/>
      <c r="CI721" s="141"/>
      <c r="CJ721" s="141"/>
      <c r="CK721" s="141"/>
      <c r="CL721" s="141"/>
    </row>
    <row r="722" spans="74:90" ht="49.5" customHeight="1" x14ac:dyDescent="0.35">
      <c r="BV722" s="140"/>
      <c r="BY722" s="141"/>
      <c r="BZ722" s="141"/>
      <c r="CA722" s="141"/>
      <c r="CB722" s="141"/>
      <c r="CC722" s="141"/>
      <c r="CD722" s="141"/>
      <c r="CE722" s="141"/>
      <c r="CF722" s="141"/>
      <c r="CG722" s="141"/>
      <c r="CH722" s="141"/>
      <c r="CI722" s="141"/>
      <c r="CJ722" s="141"/>
      <c r="CK722" s="141"/>
      <c r="CL722" s="141"/>
    </row>
    <row r="723" spans="74:90" ht="49.5" customHeight="1" x14ac:dyDescent="0.35">
      <c r="BV723" s="140"/>
      <c r="BY723" s="141"/>
      <c r="BZ723" s="141"/>
      <c r="CA723" s="141"/>
      <c r="CB723" s="141"/>
      <c r="CC723" s="141"/>
      <c r="CD723" s="141"/>
      <c r="CE723" s="141"/>
      <c r="CF723" s="141"/>
      <c r="CG723" s="141"/>
      <c r="CH723" s="141"/>
      <c r="CI723" s="141"/>
      <c r="CJ723" s="141"/>
      <c r="CK723" s="141"/>
      <c r="CL723" s="141"/>
    </row>
    <row r="724" spans="74:90" ht="49.5" customHeight="1" x14ac:dyDescent="0.35">
      <c r="BV724" s="140"/>
      <c r="BY724" s="141"/>
      <c r="BZ724" s="141"/>
      <c r="CA724" s="141"/>
      <c r="CB724" s="141"/>
      <c r="CC724" s="141"/>
      <c r="CD724" s="141"/>
      <c r="CE724" s="141"/>
      <c r="CF724" s="141"/>
      <c r="CG724" s="141"/>
      <c r="CH724" s="141"/>
      <c r="CI724" s="141"/>
      <c r="CJ724" s="141"/>
      <c r="CK724" s="141"/>
      <c r="CL724" s="141"/>
    </row>
    <row r="725" spans="74:90" ht="49.5" customHeight="1" x14ac:dyDescent="0.35">
      <c r="BV725" s="140"/>
      <c r="BY725" s="141"/>
      <c r="BZ725" s="141"/>
      <c r="CA725" s="141"/>
      <c r="CB725" s="141"/>
      <c r="CC725" s="141"/>
      <c r="CD725" s="141"/>
      <c r="CE725" s="141"/>
      <c r="CF725" s="141"/>
      <c r="CG725" s="141"/>
      <c r="CH725" s="141"/>
      <c r="CI725" s="141"/>
      <c r="CJ725" s="141"/>
      <c r="CK725" s="141"/>
      <c r="CL725" s="141"/>
    </row>
    <row r="726" spans="74:90" ht="49.5" customHeight="1" x14ac:dyDescent="0.35">
      <c r="BV726" s="140"/>
      <c r="BY726" s="141"/>
      <c r="BZ726" s="141"/>
      <c r="CA726" s="141"/>
      <c r="CB726" s="141"/>
      <c r="CC726" s="141"/>
      <c r="CD726" s="141"/>
      <c r="CE726" s="141"/>
      <c r="CF726" s="141"/>
      <c r="CG726" s="141"/>
      <c r="CH726" s="141"/>
      <c r="CI726" s="141"/>
      <c r="CJ726" s="141"/>
      <c r="CK726" s="141"/>
      <c r="CL726" s="141"/>
    </row>
    <row r="727" spans="74:90" ht="49.5" customHeight="1" x14ac:dyDescent="0.35">
      <c r="BV727" s="140"/>
      <c r="BY727" s="141"/>
      <c r="BZ727" s="141"/>
      <c r="CA727" s="141"/>
      <c r="CB727" s="141"/>
      <c r="CC727" s="141"/>
      <c r="CD727" s="141"/>
      <c r="CE727" s="141"/>
      <c r="CF727" s="141"/>
      <c r="CG727" s="141"/>
      <c r="CH727" s="141"/>
      <c r="CI727" s="141"/>
      <c r="CJ727" s="141"/>
      <c r="CK727" s="141"/>
      <c r="CL727" s="141"/>
    </row>
    <row r="728" spans="74:90" ht="49.5" customHeight="1" x14ac:dyDescent="0.35">
      <c r="BV728" s="140"/>
      <c r="BY728" s="141"/>
      <c r="BZ728" s="141"/>
      <c r="CA728" s="141"/>
      <c r="CB728" s="141"/>
      <c r="CC728" s="141"/>
      <c r="CD728" s="141"/>
      <c r="CE728" s="141"/>
      <c r="CF728" s="141"/>
      <c r="CG728" s="141"/>
      <c r="CH728" s="141"/>
      <c r="CI728" s="141"/>
      <c r="CJ728" s="141"/>
      <c r="CK728" s="141"/>
      <c r="CL728" s="141"/>
    </row>
    <row r="729" spans="74:90" ht="49.5" customHeight="1" x14ac:dyDescent="0.35">
      <c r="BV729" s="140"/>
      <c r="BY729" s="141"/>
      <c r="BZ729" s="141"/>
      <c r="CA729" s="141"/>
      <c r="CB729" s="141"/>
      <c r="CC729" s="141"/>
      <c r="CD729" s="141"/>
      <c r="CE729" s="141"/>
      <c r="CF729" s="141"/>
      <c r="CG729" s="141"/>
      <c r="CH729" s="141"/>
      <c r="CI729" s="141"/>
      <c r="CJ729" s="141"/>
      <c r="CK729" s="141"/>
      <c r="CL729" s="141"/>
    </row>
    <row r="730" spans="74:90" ht="49.5" customHeight="1" x14ac:dyDescent="0.35">
      <c r="BV730" s="140"/>
      <c r="BY730" s="141"/>
      <c r="BZ730" s="141"/>
      <c r="CA730" s="141"/>
      <c r="CB730" s="141"/>
      <c r="CC730" s="141"/>
      <c r="CD730" s="141"/>
      <c r="CE730" s="141"/>
      <c r="CF730" s="141"/>
      <c r="CG730" s="141"/>
      <c r="CH730" s="141"/>
      <c r="CI730" s="141"/>
      <c r="CJ730" s="141"/>
      <c r="CK730" s="141"/>
      <c r="CL730" s="141"/>
    </row>
    <row r="731" spans="74:90" ht="49.5" customHeight="1" x14ac:dyDescent="0.35">
      <c r="BV731" s="140"/>
      <c r="BY731" s="141"/>
      <c r="BZ731" s="141"/>
      <c r="CA731" s="141"/>
      <c r="CB731" s="141"/>
      <c r="CC731" s="141"/>
      <c r="CD731" s="141"/>
      <c r="CE731" s="141"/>
      <c r="CF731" s="141"/>
      <c r="CG731" s="141"/>
      <c r="CH731" s="141"/>
      <c r="CI731" s="141"/>
      <c r="CJ731" s="141"/>
      <c r="CK731" s="141"/>
      <c r="CL731" s="141"/>
    </row>
    <row r="732" spans="74:90" ht="49.5" customHeight="1" x14ac:dyDescent="0.35">
      <c r="BV732" s="140"/>
      <c r="BY732" s="141"/>
      <c r="BZ732" s="141"/>
      <c r="CA732" s="141"/>
      <c r="CB732" s="141"/>
      <c r="CC732" s="141"/>
      <c r="CD732" s="141"/>
      <c r="CE732" s="141"/>
      <c r="CF732" s="141"/>
      <c r="CG732" s="141"/>
      <c r="CH732" s="141"/>
      <c r="CI732" s="141"/>
      <c r="CJ732" s="141"/>
      <c r="CK732" s="141"/>
      <c r="CL732" s="141"/>
    </row>
    <row r="733" spans="74:90" ht="49.5" customHeight="1" x14ac:dyDescent="0.35">
      <c r="BV733" s="140"/>
      <c r="BY733" s="141"/>
      <c r="BZ733" s="141"/>
      <c r="CA733" s="141"/>
      <c r="CB733" s="141"/>
      <c r="CC733" s="141"/>
      <c r="CD733" s="141"/>
      <c r="CE733" s="141"/>
      <c r="CF733" s="141"/>
      <c r="CG733" s="141"/>
      <c r="CH733" s="141"/>
      <c r="CI733" s="141"/>
      <c r="CJ733" s="141"/>
      <c r="CK733" s="141"/>
      <c r="CL733" s="141"/>
    </row>
    <row r="734" spans="74:90" ht="49.5" customHeight="1" x14ac:dyDescent="0.35">
      <c r="BV734" s="140"/>
      <c r="BY734" s="141"/>
      <c r="BZ734" s="141"/>
      <c r="CA734" s="141"/>
      <c r="CB734" s="141"/>
      <c r="CC734" s="141"/>
      <c r="CD734" s="141"/>
      <c r="CE734" s="141"/>
      <c r="CF734" s="141"/>
      <c r="CG734" s="141"/>
      <c r="CH734" s="141"/>
      <c r="CI734" s="141"/>
      <c r="CJ734" s="141"/>
      <c r="CK734" s="141"/>
      <c r="CL734" s="141"/>
    </row>
    <row r="735" spans="74:90" ht="49.5" customHeight="1" x14ac:dyDescent="0.35">
      <c r="BV735" s="140"/>
      <c r="BY735" s="141"/>
      <c r="BZ735" s="141"/>
      <c r="CA735" s="141"/>
      <c r="CB735" s="141"/>
      <c r="CC735" s="141"/>
      <c r="CD735" s="141"/>
      <c r="CE735" s="141"/>
      <c r="CF735" s="141"/>
      <c r="CG735" s="141"/>
      <c r="CH735" s="141"/>
      <c r="CI735" s="141"/>
      <c r="CJ735" s="141"/>
      <c r="CK735" s="141"/>
      <c r="CL735" s="141"/>
    </row>
    <row r="736" spans="74:90" ht="49.5" customHeight="1" x14ac:dyDescent="0.35">
      <c r="BV736" s="140"/>
      <c r="BY736" s="141"/>
      <c r="BZ736" s="141"/>
      <c r="CA736" s="141"/>
      <c r="CB736" s="141"/>
      <c r="CC736" s="141"/>
      <c r="CD736" s="141"/>
      <c r="CE736" s="141"/>
      <c r="CF736" s="141"/>
      <c r="CG736" s="141"/>
      <c r="CH736" s="141"/>
      <c r="CI736" s="141"/>
      <c r="CJ736" s="141"/>
      <c r="CK736" s="141"/>
      <c r="CL736" s="141"/>
    </row>
    <row r="737" spans="74:90" ht="49.5" customHeight="1" x14ac:dyDescent="0.35">
      <c r="BV737" s="140"/>
      <c r="BY737" s="141"/>
      <c r="BZ737" s="141"/>
      <c r="CA737" s="141"/>
      <c r="CB737" s="141"/>
      <c r="CC737" s="141"/>
      <c r="CD737" s="141"/>
      <c r="CE737" s="141"/>
      <c r="CF737" s="141"/>
      <c r="CG737" s="141"/>
      <c r="CH737" s="141"/>
      <c r="CI737" s="141"/>
      <c r="CJ737" s="141"/>
      <c r="CK737" s="141"/>
      <c r="CL737" s="141"/>
    </row>
    <row r="738" spans="74:90" ht="49.5" customHeight="1" x14ac:dyDescent="0.35">
      <c r="BV738" s="140"/>
      <c r="BY738" s="141"/>
      <c r="BZ738" s="141"/>
      <c r="CA738" s="141"/>
      <c r="CB738" s="141"/>
      <c r="CC738" s="141"/>
      <c r="CD738" s="141"/>
      <c r="CE738" s="141"/>
      <c r="CF738" s="141"/>
      <c r="CG738" s="141"/>
      <c r="CH738" s="141"/>
      <c r="CI738" s="141"/>
      <c r="CJ738" s="141"/>
      <c r="CK738" s="141"/>
      <c r="CL738" s="141"/>
    </row>
    <row r="739" spans="74:90" ht="49.5" customHeight="1" x14ac:dyDescent="0.35">
      <c r="BV739" s="140"/>
      <c r="BY739" s="141"/>
      <c r="BZ739" s="141"/>
      <c r="CA739" s="141"/>
      <c r="CB739" s="141"/>
      <c r="CC739" s="141"/>
      <c r="CD739" s="141"/>
      <c r="CE739" s="141"/>
      <c r="CF739" s="141"/>
      <c r="CG739" s="141"/>
      <c r="CH739" s="141"/>
      <c r="CI739" s="141"/>
      <c r="CJ739" s="141"/>
      <c r="CK739" s="141"/>
      <c r="CL739" s="141"/>
    </row>
    <row r="740" spans="74:90" ht="49.5" customHeight="1" x14ac:dyDescent="0.35">
      <c r="BV740" s="140"/>
      <c r="BY740" s="141"/>
      <c r="BZ740" s="141"/>
      <c r="CA740" s="141"/>
      <c r="CB740" s="141"/>
      <c r="CC740" s="141"/>
      <c r="CD740" s="141"/>
      <c r="CE740" s="141"/>
      <c r="CF740" s="141"/>
      <c r="CG740" s="141"/>
      <c r="CH740" s="141"/>
      <c r="CI740" s="141"/>
      <c r="CJ740" s="141"/>
      <c r="CK740" s="141"/>
      <c r="CL740" s="141"/>
    </row>
    <row r="741" spans="74:90" ht="49.5" customHeight="1" x14ac:dyDescent="0.35">
      <c r="BV741" s="140"/>
      <c r="BY741" s="141"/>
      <c r="BZ741" s="141"/>
      <c r="CA741" s="141"/>
      <c r="CB741" s="141"/>
      <c r="CC741" s="141"/>
      <c r="CD741" s="141"/>
      <c r="CE741" s="141"/>
      <c r="CF741" s="141"/>
      <c r="CG741" s="141"/>
      <c r="CH741" s="141"/>
      <c r="CI741" s="141"/>
      <c r="CJ741" s="141"/>
      <c r="CK741" s="141"/>
      <c r="CL741" s="141"/>
    </row>
    <row r="742" spans="74:90" ht="49.5" customHeight="1" x14ac:dyDescent="0.35">
      <c r="BV742" s="140"/>
      <c r="BY742" s="141"/>
      <c r="BZ742" s="141"/>
      <c r="CA742" s="141"/>
      <c r="CB742" s="141"/>
      <c r="CC742" s="141"/>
      <c r="CD742" s="141"/>
      <c r="CE742" s="141"/>
      <c r="CF742" s="141"/>
      <c r="CG742" s="141"/>
      <c r="CH742" s="141"/>
      <c r="CI742" s="141"/>
      <c r="CJ742" s="141"/>
      <c r="CK742" s="141"/>
      <c r="CL742" s="141"/>
    </row>
    <row r="743" spans="74:90" ht="49.5" customHeight="1" x14ac:dyDescent="0.35">
      <c r="BV743" s="140"/>
      <c r="BY743" s="141"/>
      <c r="BZ743" s="141"/>
      <c r="CA743" s="141"/>
      <c r="CB743" s="141"/>
      <c r="CC743" s="141"/>
      <c r="CD743" s="141"/>
      <c r="CE743" s="141"/>
      <c r="CF743" s="141"/>
      <c r="CG743" s="141"/>
      <c r="CH743" s="141"/>
      <c r="CI743" s="141"/>
      <c r="CJ743" s="141"/>
      <c r="CK743" s="141"/>
      <c r="CL743" s="141"/>
    </row>
    <row r="744" spans="74:90" ht="49.5" customHeight="1" x14ac:dyDescent="0.35">
      <c r="BV744" s="140"/>
      <c r="BY744" s="141"/>
      <c r="BZ744" s="141"/>
      <c r="CA744" s="141"/>
      <c r="CB744" s="141"/>
      <c r="CC744" s="141"/>
      <c r="CD744" s="141"/>
      <c r="CE744" s="141"/>
      <c r="CF744" s="141"/>
      <c r="CG744" s="141"/>
      <c r="CH744" s="141"/>
      <c r="CI744" s="141"/>
      <c r="CJ744" s="141"/>
      <c r="CK744" s="141"/>
      <c r="CL744" s="141"/>
    </row>
    <row r="745" spans="74:90" ht="49.5" customHeight="1" x14ac:dyDescent="0.35">
      <c r="BV745" s="140"/>
      <c r="BY745" s="141"/>
      <c r="BZ745" s="141"/>
      <c r="CA745" s="141"/>
      <c r="CB745" s="141"/>
      <c r="CC745" s="141"/>
      <c r="CD745" s="141"/>
      <c r="CE745" s="141"/>
      <c r="CF745" s="141"/>
      <c r="CG745" s="141"/>
      <c r="CH745" s="141"/>
      <c r="CI745" s="141"/>
      <c r="CJ745" s="141"/>
      <c r="CK745" s="141"/>
      <c r="CL745" s="141"/>
    </row>
    <row r="746" spans="74:90" ht="49.5" customHeight="1" x14ac:dyDescent="0.35">
      <c r="BV746" s="140"/>
      <c r="BY746" s="141"/>
      <c r="BZ746" s="141"/>
      <c r="CA746" s="141"/>
      <c r="CB746" s="141"/>
      <c r="CC746" s="141"/>
      <c r="CD746" s="141"/>
      <c r="CE746" s="141"/>
      <c r="CF746" s="141"/>
      <c r="CG746" s="141"/>
      <c r="CH746" s="141"/>
      <c r="CI746" s="141"/>
      <c r="CJ746" s="141"/>
      <c r="CK746" s="141"/>
      <c r="CL746" s="141"/>
    </row>
    <row r="747" spans="74:90" ht="49.5" customHeight="1" x14ac:dyDescent="0.35">
      <c r="BV747" s="140"/>
      <c r="BY747" s="141"/>
      <c r="BZ747" s="141"/>
      <c r="CA747" s="141"/>
      <c r="CB747" s="141"/>
      <c r="CC747" s="141"/>
      <c r="CD747" s="141"/>
      <c r="CE747" s="141"/>
      <c r="CF747" s="141"/>
      <c r="CG747" s="141"/>
      <c r="CH747" s="141"/>
      <c r="CI747" s="141"/>
      <c r="CJ747" s="141"/>
      <c r="CK747" s="141"/>
      <c r="CL747" s="141"/>
    </row>
    <row r="748" spans="74:90" ht="49.5" customHeight="1" x14ac:dyDescent="0.35">
      <c r="BV748" s="140"/>
      <c r="BY748" s="141"/>
      <c r="BZ748" s="141"/>
      <c r="CA748" s="141"/>
      <c r="CB748" s="141"/>
      <c r="CC748" s="141"/>
      <c r="CD748" s="141"/>
      <c r="CE748" s="141"/>
      <c r="CF748" s="141"/>
      <c r="CG748" s="141"/>
      <c r="CH748" s="141"/>
      <c r="CI748" s="141"/>
      <c r="CJ748" s="141"/>
      <c r="CK748" s="141"/>
      <c r="CL748" s="141"/>
    </row>
    <row r="749" spans="74:90" ht="49.5" customHeight="1" x14ac:dyDescent="0.35">
      <c r="BV749" s="140"/>
      <c r="BY749" s="141"/>
      <c r="BZ749" s="141"/>
      <c r="CA749" s="141"/>
      <c r="CB749" s="141"/>
      <c r="CC749" s="141"/>
      <c r="CD749" s="141"/>
      <c r="CE749" s="141"/>
      <c r="CF749" s="141"/>
      <c r="CG749" s="141"/>
      <c r="CH749" s="141"/>
      <c r="CI749" s="141"/>
      <c r="CJ749" s="141"/>
      <c r="CK749" s="141"/>
      <c r="CL749" s="141"/>
    </row>
    <row r="750" spans="74:90" ht="49.5" customHeight="1" x14ac:dyDescent="0.35">
      <c r="BV750" s="140"/>
      <c r="BY750" s="141"/>
      <c r="BZ750" s="141"/>
      <c r="CA750" s="141"/>
      <c r="CB750" s="141"/>
      <c r="CC750" s="141"/>
      <c r="CD750" s="141"/>
      <c r="CE750" s="141"/>
      <c r="CF750" s="141"/>
      <c r="CG750" s="141"/>
      <c r="CH750" s="141"/>
      <c r="CI750" s="141"/>
      <c r="CJ750" s="141"/>
      <c r="CK750" s="141"/>
      <c r="CL750" s="141"/>
    </row>
    <row r="751" spans="74:90" ht="49.5" customHeight="1" x14ac:dyDescent="0.35">
      <c r="BV751" s="140"/>
      <c r="BY751" s="141"/>
      <c r="BZ751" s="141"/>
      <c r="CA751" s="141"/>
      <c r="CB751" s="141"/>
      <c r="CC751" s="141"/>
      <c r="CD751" s="141"/>
      <c r="CE751" s="141"/>
      <c r="CF751" s="141"/>
      <c r="CG751" s="141"/>
      <c r="CH751" s="141"/>
      <c r="CI751" s="141"/>
      <c r="CJ751" s="141"/>
      <c r="CK751" s="141"/>
      <c r="CL751" s="141"/>
    </row>
    <row r="752" spans="74:90" ht="49.5" customHeight="1" x14ac:dyDescent="0.35">
      <c r="BV752" s="140"/>
      <c r="BY752" s="141"/>
      <c r="BZ752" s="141"/>
      <c r="CA752" s="141"/>
      <c r="CB752" s="141"/>
      <c r="CC752" s="141"/>
      <c r="CD752" s="141"/>
      <c r="CE752" s="141"/>
      <c r="CF752" s="141"/>
      <c r="CG752" s="141"/>
      <c r="CH752" s="141"/>
      <c r="CI752" s="141"/>
      <c r="CJ752" s="141"/>
      <c r="CK752" s="141"/>
      <c r="CL752" s="141"/>
    </row>
    <row r="753" spans="74:90" ht="49.5" customHeight="1" x14ac:dyDescent="0.35">
      <c r="BV753" s="140"/>
      <c r="BY753" s="141"/>
      <c r="BZ753" s="141"/>
      <c r="CA753" s="141"/>
      <c r="CB753" s="141"/>
      <c r="CC753" s="141"/>
      <c r="CD753" s="141"/>
      <c r="CE753" s="141"/>
      <c r="CF753" s="141"/>
      <c r="CG753" s="141"/>
      <c r="CH753" s="141"/>
      <c r="CI753" s="141"/>
      <c r="CJ753" s="141"/>
      <c r="CK753" s="141"/>
      <c r="CL753" s="141"/>
    </row>
    <row r="754" spans="74:90" ht="49.5" customHeight="1" x14ac:dyDescent="0.35">
      <c r="BV754" s="140"/>
      <c r="BY754" s="141"/>
      <c r="BZ754" s="141"/>
      <c r="CA754" s="141"/>
      <c r="CB754" s="141"/>
      <c r="CC754" s="141"/>
      <c r="CD754" s="141"/>
      <c r="CE754" s="141"/>
      <c r="CF754" s="141"/>
      <c r="CG754" s="141"/>
      <c r="CH754" s="141"/>
      <c r="CI754" s="141"/>
      <c r="CJ754" s="141"/>
      <c r="CK754" s="141"/>
      <c r="CL754" s="141"/>
    </row>
    <row r="755" spans="74:90" ht="49.5" customHeight="1" x14ac:dyDescent="0.35">
      <c r="BV755" s="140"/>
      <c r="BY755" s="141"/>
      <c r="BZ755" s="141"/>
      <c r="CA755" s="141"/>
      <c r="CB755" s="141"/>
      <c r="CC755" s="141"/>
      <c r="CD755" s="141"/>
      <c r="CE755" s="141"/>
      <c r="CF755" s="141"/>
      <c r="CG755" s="141"/>
      <c r="CH755" s="141"/>
      <c r="CI755" s="141"/>
      <c r="CJ755" s="141"/>
      <c r="CK755" s="141"/>
      <c r="CL755" s="141"/>
    </row>
    <row r="756" spans="74:90" ht="49.5" customHeight="1" x14ac:dyDescent="0.35">
      <c r="BV756" s="140"/>
      <c r="BY756" s="141"/>
      <c r="BZ756" s="141"/>
      <c r="CA756" s="141"/>
      <c r="CB756" s="141"/>
      <c r="CC756" s="141"/>
      <c r="CD756" s="141"/>
      <c r="CE756" s="141"/>
      <c r="CF756" s="141"/>
      <c r="CG756" s="141"/>
      <c r="CH756" s="141"/>
      <c r="CI756" s="141"/>
      <c r="CJ756" s="141"/>
      <c r="CK756" s="141"/>
      <c r="CL756" s="141"/>
    </row>
    <row r="757" spans="74:90" ht="49.5" customHeight="1" x14ac:dyDescent="0.35">
      <c r="BV757" s="140"/>
      <c r="BY757" s="141"/>
      <c r="BZ757" s="141"/>
      <c r="CA757" s="141"/>
      <c r="CB757" s="141"/>
      <c r="CC757" s="141"/>
      <c r="CD757" s="141"/>
      <c r="CE757" s="141"/>
      <c r="CF757" s="141"/>
      <c r="CG757" s="141"/>
      <c r="CH757" s="141"/>
      <c r="CI757" s="141"/>
      <c r="CJ757" s="141"/>
      <c r="CK757" s="141"/>
      <c r="CL757" s="141"/>
    </row>
    <row r="758" spans="74:90" ht="49.5" customHeight="1" x14ac:dyDescent="0.35">
      <c r="BV758" s="140"/>
      <c r="BY758" s="141"/>
      <c r="BZ758" s="141"/>
      <c r="CA758" s="141"/>
      <c r="CB758" s="141"/>
      <c r="CC758" s="141"/>
      <c r="CD758" s="141"/>
      <c r="CE758" s="141"/>
      <c r="CF758" s="141"/>
      <c r="CG758" s="141"/>
      <c r="CH758" s="141"/>
      <c r="CI758" s="141"/>
      <c r="CJ758" s="141"/>
      <c r="CK758" s="141"/>
      <c r="CL758" s="141"/>
    </row>
    <row r="759" spans="74:90" ht="49.5" customHeight="1" x14ac:dyDescent="0.35">
      <c r="BV759" s="140"/>
      <c r="BY759" s="141"/>
      <c r="BZ759" s="141"/>
      <c r="CA759" s="141"/>
      <c r="CB759" s="141"/>
      <c r="CC759" s="141"/>
      <c r="CD759" s="141"/>
      <c r="CE759" s="141"/>
      <c r="CF759" s="141"/>
      <c r="CG759" s="141"/>
      <c r="CH759" s="141"/>
      <c r="CI759" s="141"/>
      <c r="CJ759" s="141"/>
      <c r="CK759" s="141"/>
      <c r="CL759" s="141"/>
    </row>
    <row r="760" spans="74:90" ht="49.5" customHeight="1" x14ac:dyDescent="0.35">
      <c r="BV760" s="140"/>
      <c r="BY760" s="141"/>
      <c r="BZ760" s="141"/>
      <c r="CA760" s="141"/>
      <c r="CB760" s="141"/>
      <c r="CC760" s="141"/>
      <c r="CD760" s="141"/>
      <c r="CE760" s="141"/>
      <c r="CF760" s="141"/>
      <c r="CG760" s="141"/>
      <c r="CH760" s="141"/>
      <c r="CI760" s="141"/>
      <c r="CJ760" s="141"/>
      <c r="CK760" s="141"/>
      <c r="CL760" s="141"/>
    </row>
    <row r="761" spans="74:90" ht="49.5" customHeight="1" x14ac:dyDescent="0.35">
      <c r="BV761" s="140"/>
      <c r="BY761" s="141"/>
      <c r="BZ761" s="141"/>
      <c r="CA761" s="141"/>
      <c r="CB761" s="141"/>
      <c r="CC761" s="141"/>
      <c r="CD761" s="141"/>
      <c r="CE761" s="141"/>
      <c r="CF761" s="141"/>
      <c r="CG761" s="141"/>
      <c r="CH761" s="141"/>
      <c r="CI761" s="141"/>
      <c r="CJ761" s="141"/>
      <c r="CK761" s="141"/>
      <c r="CL761" s="141"/>
    </row>
    <row r="762" spans="74:90" ht="49.5" customHeight="1" x14ac:dyDescent="0.35">
      <c r="BV762" s="140"/>
      <c r="BY762" s="141"/>
      <c r="BZ762" s="141"/>
      <c r="CA762" s="141"/>
      <c r="CB762" s="141"/>
      <c r="CC762" s="141"/>
      <c r="CD762" s="141"/>
      <c r="CE762" s="141"/>
      <c r="CF762" s="141"/>
      <c r="CG762" s="141"/>
      <c r="CH762" s="141"/>
      <c r="CI762" s="141"/>
      <c r="CJ762" s="141"/>
      <c r="CK762" s="141"/>
      <c r="CL762" s="141"/>
    </row>
    <row r="763" spans="74:90" ht="49.5" customHeight="1" x14ac:dyDescent="0.35">
      <c r="BV763" s="140"/>
      <c r="BY763" s="141"/>
      <c r="BZ763" s="141"/>
      <c r="CA763" s="141"/>
      <c r="CB763" s="141"/>
      <c r="CC763" s="141"/>
      <c r="CD763" s="141"/>
      <c r="CE763" s="141"/>
      <c r="CF763" s="141"/>
      <c r="CG763" s="141"/>
      <c r="CH763" s="141"/>
      <c r="CI763" s="141"/>
      <c r="CJ763" s="141"/>
      <c r="CK763" s="141"/>
      <c r="CL763" s="141"/>
    </row>
    <row r="764" spans="74:90" ht="49.5" customHeight="1" x14ac:dyDescent="0.35">
      <c r="BV764" s="140"/>
      <c r="BY764" s="141"/>
      <c r="BZ764" s="141"/>
      <c r="CA764" s="141"/>
      <c r="CB764" s="141"/>
      <c r="CC764" s="141"/>
      <c r="CD764" s="141"/>
      <c r="CE764" s="141"/>
      <c r="CF764" s="141"/>
      <c r="CG764" s="141"/>
      <c r="CH764" s="141"/>
      <c r="CI764" s="141"/>
      <c r="CJ764" s="141"/>
      <c r="CK764" s="141"/>
      <c r="CL764" s="141"/>
    </row>
    <row r="765" spans="74:90" ht="49.5" customHeight="1" x14ac:dyDescent="0.35">
      <c r="BV765" s="140"/>
      <c r="BY765" s="141"/>
      <c r="BZ765" s="141"/>
      <c r="CA765" s="141"/>
      <c r="CB765" s="141"/>
      <c r="CC765" s="141"/>
      <c r="CD765" s="141"/>
      <c r="CE765" s="141"/>
      <c r="CF765" s="141"/>
      <c r="CG765" s="141"/>
      <c r="CH765" s="141"/>
      <c r="CI765" s="141"/>
      <c r="CJ765" s="141"/>
      <c r="CK765" s="141"/>
      <c r="CL765" s="141"/>
    </row>
    <row r="766" spans="74:90" ht="49.5" customHeight="1" x14ac:dyDescent="0.35">
      <c r="BV766" s="140"/>
      <c r="BY766" s="141"/>
      <c r="BZ766" s="141"/>
      <c r="CA766" s="141"/>
      <c r="CB766" s="141"/>
      <c r="CC766" s="141"/>
      <c r="CD766" s="141"/>
      <c r="CE766" s="141"/>
      <c r="CF766" s="141"/>
      <c r="CG766" s="141"/>
      <c r="CH766" s="141"/>
      <c r="CI766" s="141"/>
      <c r="CJ766" s="141"/>
      <c r="CK766" s="141"/>
      <c r="CL766" s="141"/>
    </row>
    <row r="767" spans="74:90" ht="49.5" customHeight="1" x14ac:dyDescent="0.35">
      <c r="BV767" s="140"/>
      <c r="BY767" s="141"/>
      <c r="BZ767" s="141"/>
      <c r="CA767" s="141"/>
      <c r="CB767" s="141"/>
      <c r="CC767" s="141"/>
      <c r="CD767" s="141"/>
      <c r="CE767" s="141"/>
      <c r="CF767" s="141"/>
      <c r="CG767" s="141"/>
      <c r="CH767" s="141"/>
      <c r="CI767" s="141"/>
      <c r="CJ767" s="141"/>
      <c r="CK767" s="141"/>
      <c r="CL767" s="141"/>
    </row>
    <row r="768" spans="74:90" ht="49.5" customHeight="1" x14ac:dyDescent="0.35">
      <c r="BV768" s="140"/>
      <c r="BY768" s="141"/>
      <c r="BZ768" s="141"/>
      <c r="CA768" s="141"/>
      <c r="CB768" s="141"/>
      <c r="CC768" s="141"/>
      <c r="CD768" s="141"/>
      <c r="CE768" s="141"/>
      <c r="CF768" s="141"/>
      <c r="CG768" s="141"/>
      <c r="CH768" s="141"/>
      <c r="CI768" s="141"/>
      <c r="CJ768" s="141"/>
      <c r="CK768" s="141"/>
      <c r="CL768" s="141"/>
    </row>
    <row r="769" spans="74:90" ht="49.5" customHeight="1" x14ac:dyDescent="0.35">
      <c r="BV769" s="140"/>
      <c r="BY769" s="141"/>
      <c r="BZ769" s="141"/>
      <c r="CA769" s="141"/>
      <c r="CB769" s="141"/>
      <c r="CC769" s="141"/>
      <c r="CD769" s="141"/>
      <c r="CE769" s="141"/>
      <c r="CF769" s="141"/>
      <c r="CG769" s="141"/>
      <c r="CH769" s="141"/>
      <c r="CI769" s="141"/>
      <c r="CJ769" s="141"/>
      <c r="CK769" s="141"/>
      <c r="CL769" s="141"/>
    </row>
    <row r="770" spans="74:90" ht="49.5" customHeight="1" x14ac:dyDescent="0.35">
      <c r="BV770" s="140"/>
      <c r="BY770" s="141"/>
      <c r="BZ770" s="141"/>
      <c r="CA770" s="141"/>
      <c r="CB770" s="141"/>
      <c r="CC770" s="141"/>
      <c r="CD770" s="141"/>
      <c r="CE770" s="141"/>
      <c r="CF770" s="141"/>
      <c r="CG770" s="141"/>
      <c r="CH770" s="141"/>
      <c r="CI770" s="141"/>
      <c r="CJ770" s="141"/>
      <c r="CK770" s="141"/>
      <c r="CL770" s="141"/>
    </row>
    <row r="771" spans="74:90" ht="49.5" customHeight="1" x14ac:dyDescent="0.35">
      <c r="BV771" s="140"/>
      <c r="BY771" s="141"/>
      <c r="BZ771" s="141"/>
      <c r="CA771" s="141"/>
      <c r="CB771" s="141"/>
      <c r="CC771" s="141"/>
      <c r="CD771" s="141"/>
      <c r="CE771" s="141"/>
      <c r="CF771" s="141"/>
      <c r="CG771" s="141"/>
      <c r="CH771" s="141"/>
      <c r="CI771" s="141"/>
      <c r="CJ771" s="141"/>
      <c r="CK771" s="141"/>
      <c r="CL771" s="141"/>
    </row>
    <row r="772" spans="74:90" ht="49.5" customHeight="1" x14ac:dyDescent="0.35">
      <c r="BV772" s="140"/>
      <c r="BY772" s="141"/>
      <c r="BZ772" s="141"/>
      <c r="CA772" s="141"/>
      <c r="CB772" s="141"/>
      <c r="CC772" s="141"/>
      <c r="CD772" s="141"/>
      <c r="CE772" s="141"/>
      <c r="CF772" s="141"/>
      <c r="CG772" s="141"/>
      <c r="CH772" s="141"/>
      <c r="CI772" s="141"/>
      <c r="CJ772" s="141"/>
      <c r="CK772" s="141"/>
      <c r="CL772" s="141"/>
    </row>
    <row r="773" spans="74:90" ht="49.5" customHeight="1" x14ac:dyDescent="0.35">
      <c r="BV773" s="140"/>
      <c r="BY773" s="141"/>
      <c r="BZ773" s="141"/>
      <c r="CA773" s="141"/>
      <c r="CB773" s="141"/>
      <c r="CC773" s="141"/>
      <c r="CD773" s="141"/>
      <c r="CE773" s="141"/>
      <c r="CF773" s="141"/>
      <c r="CG773" s="141"/>
      <c r="CH773" s="141"/>
      <c r="CI773" s="141"/>
      <c r="CJ773" s="141"/>
      <c r="CK773" s="141"/>
      <c r="CL773" s="141"/>
    </row>
    <row r="774" spans="74:90" ht="49.5" customHeight="1" x14ac:dyDescent="0.35">
      <c r="BV774" s="140"/>
      <c r="BY774" s="141"/>
      <c r="BZ774" s="141"/>
      <c r="CA774" s="141"/>
      <c r="CB774" s="141"/>
      <c r="CC774" s="141"/>
      <c r="CD774" s="141"/>
      <c r="CE774" s="141"/>
      <c r="CF774" s="141"/>
      <c r="CG774" s="141"/>
      <c r="CH774" s="141"/>
      <c r="CI774" s="141"/>
      <c r="CJ774" s="141"/>
      <c r="CK774" s="141"/>
      <c r="CL774" s="141"/>
    </row>
    <row r="775" spans="74:90" ht="49.5" customHeight="1" x14ac:dyDescent="0.35">
      <c r="BV775" s="140"/>
      <c r="BY775" s="141"/>
      <c r="BZ775" s="141"/>
      <c r="CA775" s="141"/>
      <c r="CB775" s="141"/>
      <c r="CC775" s="141"/>
      <c r="CD775" s="141"/>
      <c r="CE775" s="141"/>
      <c r="CF775" s="141"/>
      <c r="CG775" s="141"/>
      <c r="CH775" s="141"/>
      <c r="CI775" s="141"/>
      <c r="CJ775" s="141"/>
      <c r="CK775" s="141"/>
      <c r="CL775" s="141"/>
    </row>
    <row r="776" spans="74:90" ht="49.5" customHeight="1" x14ac:dyDescent="0.35">
      <c r="BV776" s="140"/>
      <c r="BY776" s="141"/>
      <c r="BZ776" s="141"/>
      <c r="CA776" s="141"/>
      <c r="CB776" s="141"/>
      <c r="CC776" s="141"/>
      <c r="CD776" s="141"/>
      <c r="CE776" s="141"/>
      <c r="CF776" s="141"/>
      <c r="CG776" s="141"/>
      <c r="CH776" s="141"/>
      <c r="CI776" s="141"/>
      <c r="CJ776" s="141"/>
      <c r="CK776" s="141"/>
      <c r="CL776" s="141"/>
    </row>
    <row r="777" spans="74:90" ht="49.5" customHeight="1" x14ac:dyDescent="0.35">
      <c r="BV777" s="140"/>
      <c r="BY777" s="141"/>
      <c r="BZ777" s="141"/>
      <c r="CA777" s="141"/>
      <c r="CB777" s="141"/>
      <c r="CC777" s="141"/>
      <c r="CD777" s="141"/>
      <c r="CE777" s="141"/>
      <c r="CF777" s="141"/>
      <c r="CG777" s="141"/>
      <c r="CH777" s="141"/>
      <c r="CI777" s="141"/>
      <c r="CJ777" s="141"/>
      <c r="CK777" s="141"/>
      <c r="CL777" s="141"/>
    </row>
    <row r="778" spans="74:90" ht="49.5" customHeight="1" x14ac:dyDescent="0.35">
      <c r="BV778" s="140"/>
      <c r="BY778" s="141"/>
      <c r="BZ778" s="141"/>
      <c r="CA778" s="141"/>
      <c r="CB778" s="141"/>
      <c r="CC778" s="141"/>
      <c r="CD778" s="141"/>
      <c r="CE778" s="141"/>
      <c r="CF778" s="141"/>
      <c r="CG778" s="141"/>
      <c r="CH778" s="141"/>
      <c r="CI778" s="141"/>
      <c r="CJ778" s="141"/>
      <c r="CK778" s="141"/>
      <c r="CL778" s="141"/>
    </row>
    <row r="779" spans="74:90" ht="49.5" customHeight="1" x14ac:dyDescent="0.35">
      <c r="BV779" s="140"/>
      <c r="BY779" s="141"/>
      <c r="BZ779" s="141"/>
      <c r="CA779" s="141"/>
      <c r="CB779" s="141"/>
      <c r="CC779" s="141"/>
      <c r="CD779" s="141"/>
      <c r="CE779" s="141"/>
      <c r="CF779" s="141"/>
      <c r="CG779" s="141"/>
      <c r="CH779" s="141"/>
      <c r="CI779" s="141"/>
      <c r="CJ779" s="141"/>
      <c r="CK779" s="141"/>
      <c r="CL779" s="141"/>
    </row>
    <row r="780" spans="74:90" ht="49.5" customHeight="1" x14ac:dyDescent="0.35">
      <c r="BV780" s="140"/>
      <c r="BY780" s="141"/>
      <c r="BZ780" s="141"/>
      <c r="CA780" s="141"/>
      <c r="CB780" s="141"/>
      <c r="CC780" s="141"/>
      <c r="CD780" s="141"/>
      <c r="CE780" s="141"/>
      <c r="CF780" s="141"/>
      <c r="CG780" s="141"/>
      <c r="CH780" s="141"/>
      <c r="CI780" s="141"/>
      <c r="CJ780" s="141"/>
      <c r="CK780" s="141"/>
      <c r="CL780" s="141"/>
    </row>
    <row r="781" spans="74:90" ht="49.5" customHeight="1" x14ac:dyDescent="0.35">
      <c r="BV781" s="140"/>
      <c r="BY781" s="141"/>
      <c r="BZ781" s="141"/>
      <c r="CA781" s="141"/>
      <c r="CB781" s="141"/>
      <c r="CC781" s="141"/>
      <c r="CD781" s="141"/>
      <c r="CE781" s="141"/>
      <c r="CF781" s="141"/>
      <c r="CG781" s="141"/>
      <c r="CH781" s="141"/>
      <c r="CI781" s="141"/>
      <c r="CJ781" s="141"/>
      <c r="CK781" s="141"/>
      <c r="CL781" s="141"/>
    </row>
    <row r="782" spans="74:90" ht="49.5" customHeight="1" x14ac:dyDescent="0.35">
      <c r="BV782" s="140"/>
      <c r="BY782" s="141"/>
      <c r="BZ782" s="141"/>
      <c r="CA782" s="141"/>
      <c r="CB782" s="141"/>
      <c r="CC782" s="141"/>
      <c r="CD782" s="141"/>
      <c r="CE782" s="141"/>
      <c r="CF782" s="141"/>
      <c r="CG782" s="141"/>
      <c r="CH782" s="141"/>
      <c r="CI782" s="141"/>
      <c r="CJ782" s="141"/>
      <c r="CK782" s="141"/>
      <c r="CL782" s="141"/>
    </row>
    <row r="783" spans="74:90" ht="49.5" customHeight="1" x14ac:dyDescent="0.35">
      <c r="BV783" s="140"/>
      <c r="BY783" s="141"/>
      <c r="BZ783" s="141"/>
      <c r="CA783" s="141"/>
      <c r="CB783" s="141"/>
      <c r="CC783" s="141"/>
      <c r="CD783" s="141"/>
      <c r="CE783" s="141"/>
      <c r="CF783" s="141"/>
      <c r="CG783" s="141"/>
      <c r="CH783" s="141"/>
      <c r="CI783" s="141"/>
      <c r="CJ783" s="141"/>
      <c r="CK783" s="141"/>
      <c r="CL783" s="141"/>
    </row>
    <row r="784" spans="74:90" ht="49.5" customHeight="1" x14ac:dyDescent="0.35">
      <c r="BV784" s="140"/>
      <c r="BY784" s="141"/>
      <c r="BZ784" s="141"/>
      <c r="CA784" s="141"/>
      <c r="CB784" s="141"/>
      <c r="CC784" s="141"/>
      <c r="CD784" s="141"/>
      <c r="CE784" s="141"/>
      <c r="CF784" s="141"/>
      <c r="CG784" s="141"/>
      <c r="CH784" s="141"/>
      <c r="CI784" s="141"/>
      <c r="CJ784" s="141"/>
      <c r="CK784" s="141"/>
      <c r="CL784" s="141"/>
    </row>
    <row r="785" spans="74:90" ht="49.5" customHeight="1" x14ac:dyDescent="0.35">
      <c r="BV785" s="140"/>
      <c r="BY785" s="141"/>
      <c r="BZ785" s="141"/>
      <c r="CA785" s="141"/>
      <c r="CB785" s="141"/>
      <c r="CC785" s="141"/>
      <c r="CD785" s="141"/>
      <c r="CE785" s="141"/>
      <c r="CF785" s="141"/>
      <c r="CG785" s="141"/>
      <c r="CH785" s="141"/>
      <c r="CI785" s="141"/>
      <c r="CJ785" s="141"/>
      <c r="CK785" s="141"/>
      <c r="CL785" s="141"/>
    </row>
    <row r="786" spans="74:90" ht="49.5" customHeight="1" x14ac:dyDescent="0.35">
      <c r="BV786" s="140"/>
      <c r="BY786" s="141"/>
      <c r="BZ786" s="141"/>
      <c r="CA786" s="141"/>
      <c r="CB786" s="141"/>
      <c r="CC786" s="141"/>
      <c r="CD786" s="141"/>
      <c r="CE786" s="141"/>
      <c r="CF786" s="141"/>
      <c r="CG786" s="141"/>
      <c r="CH786" s="141"/>
      <c r="CI786" s="141"/>
      <c r="CJ786" s="141"/>
      <c r="CK786" s="141"/>
      <c r="CL786" s="141"/>
    </row>
    <row r="787" spans="74:90" ht="49.5" customHeight="1" x14ac:dyDescent="0.35">
      <c r="BV787" s="140"/>
      <c r="BY787" s="141"/>
      <c r="BZ787" s="141"/>
      <c r="CA787" s="141"/>
      <c r="CB787" s="141"/>
      <c r="CC787" s="141"/>
      <c r="CD787" s="141"/>
      <c r="CE787" s="141"/>
      <c r="CF787" s="141"/>
      <c r="CG787" s="141"/>
      <c r="CH787" s="141"/>
      <c r="CI787" s="141"/>
      <c r="CJ787" s="141"/>
      <c r="CK787" s="141"/>
      <c r="CL787" s="141"/>
    </row>
    <row r="788" spans="74:90" ht="49.5" customHeight="1" x14ac:dyDescent="0.35">
      <c r="BV788" s="140"/>
      <c r="BY788" s="141"/>
      <c r="BZ788" s="141"/>
      <c r="CA788" s="141"/>
      <c r="CB788" s="141"/>
      <c r="CC788" s="141"/>
      <c r="CD788" s="141"/>
      <c r="CE788" s="141"/>
      <c r="CF788" s="141"/>
      <c r="CG788" s="141"/>
      <c r="CH788" s="141"/>
      <c r="CI788" s="141"/>
      <c r="CJ788" s="141"/>
      <c r="CK788" s="141"/>
      <c r="CL788" s="141"/>
    </row>
    <row r="789" spans="74:90" ht="49.5" customHeight="1" x14ac:dyDescent="0.35">
      <c r="BV789" s="140"/>
      <c r="BY789" s="141"/>
      <c r="BZ789" s="141"/>
      <c r="CA789" s="141"/>
      <c r="CB789" s="141"/>
      <c r="CC789" s="141"/>
      <c r="CD789" s="141"/>
      <c r="CE789" s="141"/>
      <c r="CF789" s="141"/>
      <c r="CG789" s="141"/>
      <c r="CH789" s="141"/>
      <c r="CI789" s="141"/>
      <c r="CJ789" s="141"/>
      <c r="CK789" s="141"/>
      <c r="CL789" s="141"/>
    </row>
    <row r="790" spans="74:90" ht="49.5" customHeight="1" x14ac:dyDescent="0.35">
      <c r="BV790" s="140"/>
      <c r="BY790" s="141"/>
      <c r="BZ790" s="141"/>
      <c r="CA790" s="141"/>
      <c r="CB790" s="141"/>
      <c r="CC790" s="141"/>
      <c r="CD790" s="141"/>
      <c r="CE790" s="141"/>
      <c r="CF790" s="141"/>
      <c r="CG790" s="141"/>
      <c r="CH790" s="141"/>
      <c r="CI790" s="141"/>
      <c r="CJ790" s="141"/>
      <c r="CK790" s="141"/>
      <c r="CL790" s="141"/>
    </row>
    <row r="791" spans="74:90" ht="49.5" customHeight="1" x14ac:dyDescent="0.35">
      <c r="BV791" s="140"/>
      <c r="BY791" s="141"/>
      <c r="BZ791" s="141"/>
      <c r="CA791" s="141"/>
      <c r="CB791" s="141"/>
      <c r="CC791" s="141"/>
      <c r="CD791" s="141"/>
      <c r="CE791" s="141"/>
      <c r="CF791" s="141"/>
      <c r="CG791" s="141"/>
      <c r="CH791" s="141"/>
      <c r="CI791" s="141"/>
      <c r="CJ791" s="141"/>
      <c r="CK791" s="141"/>
      <c r="CL791" s="141"/>
    </row>
    <row r="792" spans="74:90" ht="49.5" customHeight="1" x14ac:dyDescent="0.35">
      <c r="BV792" s="140"/>
      <c r="BY792" s="141"/>
      <c r="BZ792" s="141"/>
      <c r="CA792" s="141"/>
      <c r="CB792" s="141"/>
      <c r="CC792" s="141"/>
      <c r="CD792" s="141"/>
      <c r="CE792" s="141"/>
      <c r="CF792" s="141"/>
      <c r="CG792" s="141"/>
      <c r="CH792" s="141"/>
      <c r="CI792" s="141"/>
      <c r="CJ792" s="141"/>
      <c r="CK792" s="141"/>
      <c r="CL792" s="141"/>
    </row>
    <row r="793" spans="74:90" ht="49.5" customHeight="1" x14ac:dyDescent="0.35">
      <c r="BV793" s="140"/>
      <c r="BY793" s="141"/>
      <c r="BZ793" s="141"/>
      <c r="CA793" s="141"/>
      <c r="CB793" s="141"/>
      <c r="CC793" s="141"/>
      <c r="CD793" s="141"/>
      <c r="CE793" s="141"/>
      <c r="CF793" s="141"/>
      <c r="CG793" s="141"/>
      <c r="CH793" s="141"/>
      <c r="CI793" s="141"/>
      <c r="CJ793" s="141"/>
      <c r="CK793" s="141"/>
      <c r="CL793" s="141"/>
    </row>
    <row r="794" spans="74:90" ht="49.5" customHeight="1" x14ac:dyDescent="0.35">
      <c r="BV794" s="140"/>
      <c r="BY794" s="141"/>
      <c r="BZ794" s="141"/>
      <c r="CA794" s="141"/>
      <c r="CB794" s="141"/>
      <c r="CC794" s="141"/>
      <c r="CD794" s="141"/>
      <c r="CE794" s="141"/>
      <c r="CF794" s="141"/>
      <c r="CG794" s="141"/>
      <c r="CH794" s="141"/>
      <c r="CI794" s="141"/>
      <c r="CJ794" s="141"/>
      <c r="CK794" s="141"/>
      <c r="CL794" s="141"/>
    </row>
    <row r="795" spans="74:90" ht="49.5" customHeight="1" x14ac:dyDescent="0.35">
      <c r="BV795" s="140"/>
      <c r="BY795" s="141"/>
      <c r="BZ795" s="141"/>
      <c r="CA795" s="141"/>
      <c r="CB795" s="141"/>
      <c r="CC795" s="141"/>
      <c r="CD795" s="141"/>
      <c r="CE795" s="141"/>
      <c r="CF795" s="141"/>
      <c r="CG795" s="141"/>
      <c r="CH795" s="141"/>
      <c r="CI795" s="141"/>
      <c r="CJ795" s="141"/>
      <c r="CK795" s="141"/>
      <c r="CL795" s="141"/>
    </row>
    <row r="796" spans="74:90" ht="49.5" customHeight="1" x14ac:dyDescent="0.35">
      <c r="BV796" s="140"/>
      <c r="BY796" s="141"/>
      <c r="BZ796" s="141"/>
      <c r="CA796" s="141"/>
      <c r="CB796" s="141"/>
      <c r="CC796" s="141"/>
      <c r="CD796" s="141"/>
      <c r="CE796" s="141"/>
      <c r="CF796" s="141"/>
      <c r="CG796" s="141"/>
      <c r="CH796" s="141"/>
      <c r="CI796" s="141"/>
      <c r="CJ796" s="141"/>
      <c r="CK796" s="141"/>
      <c r="CL796" s="141"/>
    </row>
    <row r="797" spans="74:90" ht="49.5" customHeight="1" x14ac:dyDescent="0.35">
      <c r="BV797" s="140"/>
      <c r="BY797" s="141"/>
      <c r="BZ797" s="141"/>
      <c r="CA797" s="141"/>
      <c r="CB797" s="141"/>
      <c r="CC797" s="141"/>
      <c r="CD797" s="141"/>
      <c r="CE797" s="141"/>
      <c r="CF797" s="141"/>
      <c r="CG797" s="141"/>
      <c r="CH797" s="141"/>
      <c r="CI797" s="141"/>
      <c r="CJ797" s="141"/>
      <c r="CK797" s="141"/>
      <c r="CL797" s="141"/>
    </row>
    <row r="798" spans="74:90" ht="49.5" customHeight="1" x14ac:dyDescent="0.35">
      <c r="BV798" s="140"/>
      <c r="BY798" s="141"/>
      <c r="BZ798" s="141"/>
      <c r="CA798" s="141"/>
      <c r="CB798" s="141"/>
      <c r="CC798" s="141"/>
      <c r="CD798" s="141"/>
      <c r="CE798" s="141"/>
      <c r="CF798" s="141"/>
      <c r="CG798" s="141"/>
      <c r="CH798" s="141"/>
      <c r="CI798" s="141"/>
      <c r="CJ798" s="141"/>
      <c r="CK798" s="141"/>
      <c r="CL798" s="141"/>
    </row>
    <row r="799" spans="74:90" ht="49.5" customHeight="1" x14ac:dyDescent="0.35">
      <c r="BV799" s="140"/>
      <c r="BY799" s="141"/>
      <c r="BZ799" s="141"/>
      <c r="CA799" s="141"/>
      <c r="CB799" s="141"/>
      <c r="CC799" s="141"/>
      <c r="CD799" s="141"/>
      <c r="CE799" s="141"/>
      <c r="CF799" s="141"/>
      <c r="CG799" s="141"/>
      <c r="CH799" s="141"/>
      <c r="CI799" s="141"/>
      <c r="CJ799" s="141"/>
      <c r="CK799" s="141"/>
      <c r="CL799" s="141"/>
    </row>
    <row r="800" spans="74:90" ht="49.5" customHeight="1" x14ac:dyDescent="0.35">
      <c r="BV800" s="140"/>
      <c r="BY800" s="141"/>
      <c r="BZ800" s="141"/>
      <c r="CA800" s="141"/>
      <c r="CB800" s="141"/>
      <c r="CC800" s="141"/>
      <c r="CD800" s="141"/>
      <c r="CE800" s="141"/>
      <c r="CF800" s="141"/>
      <c r="CG800" s="141"/>
      <c r="CH800" s="141"/>
      <c r="CI800" s="141"/>
      <c r="CJ800" s="141"/>
      <c r="CK800" s="141"/>
      <c r="CL800" s="141"/>
    </row>
    <row r="801" spans="74:90" ht="49.5" customHeight="1" x14ac:dyDescent="0.35">
      <c r="BV801" s="140"/>
      <c r="BY801" s="141"/>
      <c r="BZ801" s="141"/>
      <c r="CA801" s="141"/>
      <c r="CB801" s="141"/>
      <c r="CC801" s="141"/>
      <c r="CD801" s="141"/>
      <c r="CE801" s="141"/>
      <c r="CF801" s="141"/>
      <c r="CG801" s="141"/>
      <c r="CH801" s="141"/>
      <c r="CI801" s="141"/>
      <c r="CJ801" s="141"/>
      <c r="CK801" s="141"/>
      <c r="CL801" s="141"/>
    </row>
    <row r="802" spans="74:90" ht="49.5" customHeight="1" x14ac:dyDescent="0.35">
      <c r="BV802" s="140"/>
      <c r="BY802" s="141"/>
      <c r="BZ802" s="141"/>
      <c r="CA802" s="141"/>
      <c r="CB802" s="141"/>
      <c r="CC802" s="141"/>
      <c r="CD802" s="141"/>
      <c r="CE802" s="141"/>
      <c r="CF802" s="141"/>
      <c r="CG802" s="141"/>
      <c r="CH802" s="141"/>
      <c r="CI802" s="141"/>
      <c r="CJ802" s="141"/>
      <c r="CK802" s="141"/>
      <c r="CL802" s="141"/>
    </row>
    <row r="803" spans="74:90" ht="49.5" customHeight="1" x14ac:dyDescent="0.35">
      <c r="BV803" s="140"/>
      <c r="BY803" s="141"/>
      <c r="BZ803" s="141"/>
      <c r="CA803" s="141"/>
      <c r="CB803" s="141"/>
      <c r="CC803" s="141"/>
      <c r="CD803" s="141"/>
      <c r="CE803" s="141"/>
      <c r="CF803" s="141"/>
      <c r="CG803" s="141"/>
      <c r="CH803" s="141"/>
      <c r="CI803" s="141"/>
      <c r="CJ803" s="141"/>
      <c r="CK803" s="141"/>
      <c r="CL803" s="141"/>
    </row>
    <row r="804" spans="74:90" ht="49.5" customHeight="1" x14ac:dyDescent="0.35">
      <c r="BV804" s="140"/>
      <c r="BY804" s="141"/>
      <c r="BZ804" s="141"/>
      <c r="CA804" s="141"/>
      <c r="CB804" s="141"/>
      <c r="CC804" s="141"/>
      <c r="CD804" s="141"/>
      <c r="CE804" s="141"/>
      <c r="CF804" s="141"/>
      <c r="CG804" s="141"/>
      <c r="CH804" s="141"/>
      <c r="CI804" s="141"/>
      <c r="CJ804" s="141"/>
      <c r="CK804" s="141"/>
      <c r="CL804" s="141"/>
    </row>
    <row r="805" spans="74:90" ht="49.5" customHeight="1" x14ac:dyDescent="0.35">
      <c r="BV805" s="140"/>
      <c r="BY805" s="141"/>
      <c r="BZ805" s="141"/>
      <c r="CA805" s="141"/>
      <c r="CB805" s="141"/>
      <c r="CC805" s="141"/>
      <c r="CD805" s="141"/>
      <c r="CE805" s="141"/>
      <c r="CF805" s="141"/>
      <c r="CG805" s="141"/>
      <c r="CH805" s="141"/>
      <c r="CI805" s="141"/>
      <c r="CJ805" s="141"/>
      <c r="CK805" s="141"/>
      <c r="CL805" s="141"/>
    </row>
    <row r="806" spans="74:90" ht="49.5" customHeight="1" x14ac:dyDescent="0.35">
      <c r="BV806" s="140"/>
      <c r="BY806" s="141"/>
      <c r="BZ806" s="141"/>
      <c r="CA806" s="141"/>
      <c r="CB806" s="141"/>
      <c r="CC806" s="141"/>
      <c r="CD806" s="141"/>
      <c r="CE806" s="141"/>
      <c r="CF806" s="141"/>
      <c r="CG806" s="141"/>
      <c r="CH806" s="141"/>
      <c r="CI806" s="141"/>
      <c r="CJ806" s="141"/>
      <c r="CK806" s="141"/>
      <c r="CL806" s="141"/>
    </row>
    <row r="807" spans="74:90" ht="49.5" customHeight="1" x14ac:dyDescent="0.35">
      <c r="BV807" s="140"/>
      <c r="BY807" s="141"/>
      <c r="BZ807" s="141"/>
      <c r="CA807" s="141"/>
      <c r="CB807" s="141"/>
      <c r="CC807" s="141"/>
      <c r="CD807" s="141"/>
      <c r="CE807" s="141"/>
      <c r="CF807" s="141"/>
      <c r="CG807" s="141"/>
      <c r="CH807" s="141"/>
      <c r="CI807" s="141"/>
      <c r="CJ807" s="141"/>
      <c r="CK807" s="141"/>
      <c r="CL807" s="141"/>
    </row>
    <row r="808" spans="74:90" ht="49.5" customHeight="1" x14ac:dyDescent="0.35">
      <c r="BV808" s="140"/>
      <c r="BY808" s="141"/>
      <c r="BZ808" s="141"/>
      <c r="CA808" s="141"/>
      <c r="CB808" s="141"/>
      <c r="CC808" s="141"/>
      <c r="CD808" s="141"/>
      <c r="CE808" s="141"/>
      <c r="CF808" s="141"/>
      <c r="CG808" s="141"/>
      <c r="CH808" s="141"/>
      <c r="CI808" s="141"/>
      <c r="CJ808" s="141"/>
      <c r="CK808" s="141"/>
      <c r="CL808" s="141"/>
    </row>
    <row r="809" spans="74:90" ht="49.5" customHeight="1" x14ac:dyDescent="0.35">
      <c r="BV809" s="140"/>
      <c r="BY809" s="141"/>
      <c r="BZ809" s="141"/>
      <c r="CA809" s="141"/>
      <c r="CB809" s="141"/>
      <c r="CC809" s="141"/>
      <c r="CD809" s="141"/>
      <c r="CE809" s="141"/>
      <c r="CF809" s="141"/>
      <c r="CG809" s="141"/>
      <c r="CH809" s="141"/>
      <c r="CI809" s="141"/>
      <c r="CJ809" s="141"/>
      <c r="CK809" s="141"/>
      <c r="CL809" s="141"/>
    </row>
    <row r="810" spans="74:90" ht="49.5" customHeight="1" x14ac:dyDescent="0.35">
      <c r="BV810" s="140"/>
      <c r="BY810" s="141"/>
      <c r="BZ810" s="141"/>
      <c r="CA810" s="141"/>
      <c r="CB810" s="141"/>
      <c r="CC810" s="141"/>
      <c r="CD810" s="141"/>
      <c r="CE810" s="141"/>
      <c r="CF810" s="141"/>
      <c r="CG810" s="141"/>
      <c r="CH810" s="141"/>
      <c r="CI810" s="141"/>
      <c r="CJ810" s="141"/>
      <c r="CK810" s="141"/>
      <c r="CL810" s="141"/>
    </row>
    <row r="811" spans="74:90" ht="49.5" customHeight="1" x14ac:dyDescent="0.35">
      <c r="BV811" s="140"/>
      <c r="BY811" s="141"/>
      <c r="BZ811" s="141"/>
      <c r="CA811" s="141"/>
      <c r="CB811" s="141"/>
      <c r="CC811" s="141"/>
      <c r="CD811" s="141"/>
      <c r="CE811" s="141"/>
      <c r="CF811" s="141"/>
      <c r="CG811" s="141"/>
      <c r="CH811" s="141"/>
      <c r="CI811" s="141"/>
      <c r="CJ811" s="141"/>
      <c r="CK811" s="141"/>
      <c r="CL811" s="141"/>
    </row>
    <row r="812" spans="74:90" ht="49.5" customHeight="1" x14ac:dyDescent="0.35">
      <c r="BV812" s="140"/>
      <c r="BY812" s="141"/>
      <c r="BZ812" s="141"/>
      <c r="CA812" s="141"/>
      <c r="CB812" s="141"/>
      <c r="CC812" s="141"/>
      <c r="CD812" s="141"/>
      <c r="CE812" s="141"/>
      <c r="CF812" s="141"/>
      <c r="CG812" s="141"/>
      <c r="CH812" s="141"/>
      <c r="CI812" s="141"/>
      <c r="CJ812" s="141"/>
      <c r="CK812" s="141"/>
      <c r="CL812" s="141"/>
    </row>
    <row r="813" spans="74:90" ht="49.5" customHeight="1" x14ac:dyDescent="0.35">
      <c r="BV813" s="140"/>
      <c r="BY813" s="141"/>
      <c r="BZ813" s="141"/>
      <c r="CA813" s="141"/>
      <c r="CB813" s="141"/>
      <c r="CC813" s="141"/>
      <c r="CD813" s="141"/>
      <c r="CE813" s="141"/>
      <c r="CF813" s="141"/>
      <c r="CG813" s="141"/>
      <c r="CH813" s="141"/>
      <c r="CI813" s="141"/>
      <c r="CJ813" s="141"/>
      <c r="CK813" s="141"/>
      <c r="CL813" s="141"/>
    </row>
    <row r="814" spans="74:90" ht="49.5" customHeight="1" x14ac:dyDescent="0.35">
      <c r="BV814" s="140"/>
      <c r="BY814" s="141"/>
      <c r="BZ814" s="141"/>
      <c r="CA814" s="141"/>
      <c r="CB814" s="141"/>
      <c r="CC814" s="141"/>
      <c r="CD814" s="141"/>
      <c r="CE814" s="141"/>
      <c r="CF814" s="141"/>
      <c r="CG814" s="141"/>
      <c r="CH814" s="141"/>
      <c r="CI814" s="141"/>
      <c r="CJ814" s="141"/>
      <c r="CK814" s="141"/>
      <c r="CL814" s="141"/>
    </row>
    <row r="815" spans="74:90" ht="49.5" customHeight="1" x14ac:dyDescent="0.35">
      <c r="BV815" s="140"/>
      <c r="BY815" s="141"/>
      <c r="BZ815" s="141"/>
      <c r="CA815" s="141"/>
      <c r="CB815" s="141"/>
      <c r="CC815" s="141"/>
      <c r="CD815" s="141"/>
      <c r="CE815" s="141"/>
      <c r="CF815" s="141"/>
      <c r="CG815" s="141"/>
      <c r="CH815" s="141"/>
      <c r="CI815" s="141"/>
      <c r="CJ815" s="141"/>
      <c r="CK815" s="141"/>
      <c r="CL815" s="141"/>
    </row>
    <row r="816" spans="74:90" ht="49.5" customHeight="1" x14ac:dyDescent="0.35">
      <c r="BV816" s="140"/>
      <c r="BY816" s="141"/>
      <c r="BZ816" s="141"/>
      <c r="CA816" s="141"/>
      <c r="CB816" s="141"/>
      <c r="CC816" s="141"/>
      <c r="CD816" s="141"/>
      <c r="CE816" s="141"/>
      <c r="CF816" s="141"/>
      <c r="CG816" s="141"/>
      <c r="CH816" s="141"/>
      <c r="CI816" s="141"/>
      <c r="CJ816" s="141"/>
      <c r="CK816" s="141"/>
      <c r="CL816" s="141"/>
    </row>
    <row r="817" spans="74:90" ht="49.5" customHeight="1" x14ac:dyDescent="0.35">
      <c r="BV817" s="140"/>
      <c r="BY817" s="141"/>
      <c r="BZ817" s="141"/>
      <c r="CA817" s="141"/>
      <c r="CB817" s="141"/>
      <c r="CC817" s="141"/>
      <c r="CD817" s="141"/>
      <c r="CE817" s="141"/>
      <c r="CF817" s="141"/>
      <c r="CG817" s="141"/>
      <c r="CH817" s="141"/>
      <c r="CI817" s="141"/>
      <c r="CJ817" s="141"/>
      <c r="CK817" s="141"/>
      <c r="CL817" s="141"/>
    </row>
    <row r="818" spans="74:90" ht="49.5" customHeight="1" x14ac:dyDescent="0.35">
      <c r="BV818" s="140"/>
      <c r="BY818" s="141"/>
      <c r="BZ818" s="141"/>
      <c r="CA818" s="141"/>
      <c r="CB818" s="141"/>
      <c r="CC818" s="141"/>
      <c r="CD818" s="141"/>
      <c r="CE818" s="141"/>
      <c r="CF818" s="141"/>
      <c r="CG818" s="141"/>
      <c r="CH818" s="141"/>
      <c r="CI818" s="141"/>
      <c r="CJ818" s="141"/>
      <c r="CK818" s="141"/>
      <c r="CL818" s="141"/>
    </row>
    <row r="819" spans="74:90" ht="49.5" customHeight="1" x14ac:dyDescent="0.35">
      <c r="BV819" s="140"/>
      <c r="BY819" s="141"/>
      <c r="BZ819" s="141"/>
      <c r="CA819" s="141"/>
      <c r="CB819" s="141"/>
      <c r="CC819" s="141"/>
      <c r="CD819" s="141"/>
      <c r="CE819" s="141"/>
      <c r="CF819" s="141"/>
      <c r="CG819" s="141"/>
      <c r="CH819" s="141"/>
      <c r="CI819" s="141"/>
      <c r="CJ819" s="141"/>
      <c r="CK819" s="141"/>
      <c r="CL819" s="141"/>
    </row>
    <row r="820" spans="74:90" ht="49.5" customHeight="1" x14ac:dyDescent="0.35">
      <c r="BV820" s="140"/>
      <c r="BY820" s="141"/>
      <c r="BZ820" s="141"/>
      <c r="CA820" s="141"/>
      <c r="CB820" s="141"/>
      <c r="CC820" s="141"/>
      <c r="CD820" s="141"/>
      <c r="CE820" s="141"/>
      <c r="CF820" s="141"/>
      <c r="CG820" s="141"/>
      <c r="CH820" s="141"/>
      <c r="CI820" s="141"/>
      <c r="CJ820" s="141"/>
      <c r="CK820" s="141"/>
      <c r="CL820" s="141"/>
    </row>
    <row r="821" spans="74:90" ht="49.5" customHeight="1" x14ac:dyDescent="0.35">
      <c r="BV821" s="140"/>
      <c r="BY821" s="141"/>
      <c r="BZ821" s="141"/>
      <c r="CA821" s="141"/>
      <c r="CB821" s="141"/>
      <c r="CC821" s="141"/>
      <c r="CD821" s="141"/>
      <c r="CE821" s="141"/>
      <c r="CF821" s="141"/>
      <c r="CG821" s="141"/>
      <c r="CH821" s="141"/>
      <c r="CI821" s="141"/>
      <c r="CJ821" s="141"/>
      <c r="CK821" s="141"/>
      <c r="CL821" s="141"/>
    </row>
    <row r="822" spans="74:90" ht="49.5" customHeight="1" x14ac:dyDescent="0.35">
      <c r="BV822" s="140"/>
      <c r="BY822" s="141"/>
      <c r="BZ822" s="141"/>
      <c r="CA822" s="141"/>
      <c r="CB822" s="141"/>
      <c r="CC822" s="141"/>
      <c r="CD822" s="141"/>
      <c r="CE822" s="141"/>
      <c r="CF822" s="141"/>
      <c r="CG822" s="141"/>
      <c r="CH822" s="141"/>
      <c r="CI822" s="141"/>
      <c r="CJ822" s="141"/>
      <c r="CK822" s="141"/>
      <c r="CL822" s="141"/>
    </row>
    <row r="823" spans="74:90" ht="49.5" customHeight="1" x14ac:dyDescent="0.35">
      <c r="BV823" s="140"/>
      <c r="BY823" s="141"/>
      <c r="BZ823" s="141"/>
      <c r="CA823" s="141"/>
      <c r="CB823" s="141"/>
      <c r="CC823" s="141"/>
      <c r="CD823" s="141"/>
      <c r="CE823" s="141"/>
      <c r="CF823" s="141"/>
      <c r="CG823" s="141"/>
      <c r="CH823" s="141"/>
      <c r="CI823" s="141"/>
      <c r="CJ823" s="141"/>
      <c r="CK823" s="141"/>
      <c r="CL823" s="141"/>
    </row>
    <row r="824" spans="74:90" ht="49.5" customHeight="1" x14ac:dyDescent="0.35">
      <c r="BV824" s="140"/>
      <c r="BY824" s="141"/>
      <c r="BZ824" s="141"/>
      <c r="CA824" s="141"/>
      <c r="CB824" s="141"/>
      <c r="CC824" s="141"/>
      <c r="CD824" s="141"/>
      <c r="CE824" s="141"/>
      <c r="CF824" s="141"/>
      <c r="CG824" s="141"/>
      <c r="CH824" s="141"/>
      <c r="CI824" s="141"/>
      <c r="CJ824" s="141"/>
      <c r="CK824" s="141"/>
      <c r="CL824" s="141"/>
    </row>
    <row r="825" spans="74:90" ht="49.5" customHeight="1" x14ac:dyDescent="0.35">
      <c r="BV825" s="140"/>
      <c r="BY825" s="141"/>
      <c r="BZ825" s="141"/>
      <c r="CA825" s="141"/>
      <c r="CB825" s="141"/>
      <c r="CC825" s="141"/>
      <c r="CD825" s="141"/>
      <c r="CE825" s="141"/>
      <c r="CF825" s="141"/>
      <c r="CG825" s="141"/>
      <c r="CH825" s="141"/>
      <c r="CI825" s="141"/>
      <c r="CJ825" s="141"/>
      <c r="CK825" s="141"/>
      <c r="CL825" s="141"/>
    </row>
    <row r="826" spans="74:90" ht="49.5" customHeight="1" x14ac:dyDescent="0.35">
      <c r="BV826" s="140"/>
      <c r="BY826" s="141"/>
      <c r="BZ826" s="141"/>
      <c r="CA826" s="141"/>
      <c r="CB826" s="141"/>
      <c r="CC826" s="141"/>
      <c r="CD826" s="141"/>
      <c r="CE826" s="141"/>
      <c r="CF826" s="141"/>
      <c r="CG826" s="141"/>
      <c r="CH826" s="141"/>
      <c r="CI826" s="141"/>
      <c r="CJ826" s="141"/>
      <c r="CK826" s="141"/>
      <c r="CL826" s="141"/>
    </row>
    <row r="827" spans="74:90" ht="49.5" customHeight="1" x14ac:dyDescent="0.35">
      <c r="BV827" s="140"/>
      <c r="BY827" s="141"/>
      <c r="BZ827" s="141"/>
      <c r="CA827" s="141"/>
      <c r="CB827" s="141"/>
      <c r="CC827" s="141"/>
      <c r="CD827" s="141"/>
      <c r="CE827" s="141"/>
      <c r="CF827" s="141"/>
      <c r="CG827" s="141"/>
      <c r="CH827" s="141"/>
      <c r="CI827" s="141"/>
      <c r="CJ827" s="141"/>
      <c r="CK827" s="141"/>
      <c r="CL827" s="141"/>
    </row>
    <row r="828" spans="74:90" ht="49.5" customHeight="1" x14ac:dyDescent="0.35">
      <c r="BV828" s="140"/>
      <c r="BY828" s="141"/>
      <c r="BZ828" s="141"/>
      <c r="CA828" s="141"/>
      <c r="CB828" s="141"/>
      <c r="CC828" s="141"/>
      <c r="CD828" s="141"/>
      <c r="CE828" s="141"/>
      <c r="CF828" s="141"/>
      <c r="CG828" s="141"/>
      <c r="CH828" s="141"/>
      <c r="CI828" s="141"/>
      <c r="CJ828" s="141"/>
      <c r="CK828" s="141"/>
      <c r="CL828" s="141"/>
    </row>
    <row r="829" spans="74:90" ht="49.5" customHeight="1" x14ac:dyDescent="0.35">
      <c r="BV829" s="140"/>
      <c r="BY829" s="141"/>
      <c r="BZ829" s="141"/>
      <c r="CA829" s="141"/>
      <c r="CB829" s="141"/>
      <c r="CC829" s="141"/>
      <c r="CD829" s="141"/>
      <c r="CE829" s="141"/>
      <c r="CF829" s="141"/>
      <c r="CG829" s="141"/>
      <c r="CH829" s="141"/>
      <c r="CI829" s="141"/>
      <c r="CJ829" s="141"/>
      <c r="CK829" s="141"/>
      <c r="CL829" s="141"/>
    </row>
    <row r="830" spans="74:90" ht="49.5" customHeight="1" x14ac:dyDescent="0.35">
      <c r="BV830" s="140"/>
      <c r="BY830" s="141"/>
      <c r="BZ830" s="141"/>
      <c r="CA830" s="141"/>
      <c r="CB830" s="141"/>
      <c r="CC830" s="141"/>
      <c r="CD830" s="141"/>
      <c r="CE830" s="141"/>
      <c r="CF830" s="141"/>
      <c r="CG830" s="141"/>
      <c r="CH830" s="141"/>
      <c r="CI830" s="141"/>
      <c r="CJ830" s="141"/>
      <c r="CK830" s="141"/>
      <c r="CL830" s="141"/>
    </row>
    <row r="831" spans="74:90" ht="49.5" customHeight="1" x14ac:dyDescent="0.35">
      <c r="BV831" s="140"/>
      <c r="BY831" s="141"/>
      <c r="BZ831" s="141"/>
      <c r="CA831" s="141"/>
      <c r="CB831" s="141"/>
      <c r="CC831" s="141"/>
      <c r="CD831" s="141"/>
      <c r="CE831" s="141"/>
      <c r="CF831" s="141"/>
      <c r="CG831" s="141"/>
      <c r="CH831" s="141"/>
      <c r="CI831" s="141"/>
      <c r="CJ831" s="141"/>
      <c r="CK831" s="141"/>
      <c r="CL831" s="141"/>
    </row>
    <row r="832" spans="74:90" ht="49.5" customHeight="1" x14ac:dyDescent="0.35">
      <c r="BV832" s="140"/>
      <c r="BY832" s="141"/>
      <c r="BZ832" s="141"/>
      <c r="CA832" s="141"/>
      <c r="CB832" s="141"/>
      <c r="CC832" s="141"/>
      <c r="CD832" s="141"/>
      <c r="CE832" s="141"/>
      <c r="CF832" s="141"/>
      <c r="CG832" s="141"/>
      <c r="CH832" s="141"/>
      <c r="CI832" s="141"/>
      <c r="CJ832" s="141"/>
      <c r="CK832" s="141"/>
      <c r="CL832" s="141"/>
    </row>
    <row r="833" spans="74:90" ht="49.5" customHeight="1" x14ac:dyDescent="0.35">
      <c r="BV833" s="140"/>
      <c r="BY833" s="141"/>
      <c r="BZ833" s="141"/>
      <c r="CA833" s="141"/>
      <c r="CB833" s="141"/>
      <c r="CC833" s="141"/>
      <c r="CD833" s="141"/>
      <c r="CE833" s="141"/>
      <c r="CF833" s="141"/>
      <c r="CG833" s="141"/>
      <c r="CH833" s="141"/>
      <c r="CI833" s="141"/>
      <c r="CJ833" s="141"/>
      <c r="CK833" s="141"/>
      <c r="CL833" s="141"/>
    </row>
    <row r="834" spans="74:90" ht="49.5" customHeight="1" x14ac:dyDescent="0.35">
      <c r="BV834" s="140"/>
      <c r="BY834" s="141"/>
      <c r="BZ834" s="141"/>
      <c r="CA834" s="141"/>
      <c r="CB834" s="141"/>
      <c r="CC834" s="141"/>
      <c r="CD834" s="141"/>
      <c r="CE834" s="141"/>
      <c r="CF834" s="141"/>
      <c r="CG834" s="141"/>
      <c r="CH834" s="141"/>
      <c r="CI834" s="141"/>
      <c r="CJ834" s="141"/>
      <c r="CK834" s="141"/>
      <c r="CL834" s="141"/>
    </row>
    <row r="835" spans="74:90" ht="49.5" customHeight="1" x14ac:dyDescent="0.35">
      <c r="BV835" s="140"/>
      <c r="BY835" s="141"/>
      <c r="BZ835" s="141"/>
      <c r="CA835" s="141"/>
      <c r="CB835" s="141"/>
      <c r="CC835" s="141"/>
      <c r="CD835" s="141"/>
      <c r="CE835" s="141"/>
      <c r="CF835" s="141"/>
      <c r="CG835" s="141"/>
      <c r="CH835" s="141"/>
      <c r="CI835" s="141"/>
      <c r="CJ835" s="141"/>
      <c r="CK835" s="141"/>
      <c r="CL835" s="141"/>
    </row>
    <row r="836" spans="74:90" ht="49.5" customHeight="1" x14ac:dyDescent="0.35">
      <c r="BV836" s="140"/>
      <c r="BY836" s="141"/>
      <c r="BZ836" s="141"/>
      <c r="CA836" s="141"/>
      <c r="CB836" s="141"/>
      <c r="CC836" s="141"/>
      <c r="CD836" s="141"/>
      <c r="CE836" s="141"/>
      <c r="CF836" s="141"/>
      <c r="CG836" s="141"/>
      <c r="CH836" s="141"/>
      <c r="CI836" s="141"/>
      <c r="CJ836" s="141"/>
      <c r="CK836" s="141"/>
      <c r="CL836" s="141"/>
    </row>
    <row r="837" spans="74:90" ht="49.5" customHeight="1" x14ac:dyDescent="0.35">
      <c r="BV837" s="140"/>
      <c r="BY837" s="141"/>
      <c r="BZ837" s="141"/>
      <c r="CA837" s="141"/>
      <c r="CB837" s="141"/>
      <c r="CC837" s="141"/>
      <c r="CD837" s="141"/>
      <c r="CE837" s="141"/>
      <c r="CF837" s="141"/>
      <c r="CG837" s="141"/>
      <c r="CH837" s="141"/>
      <c r="CI837" s="141"/>
      <c r="CJ837" s="141"/>
      <c r="CK837" s="141"/>
      <c r="CL837" s="141"/>
    </row>
    <row r="838" spans="74:90" ht="49.5" customHeight="1" x14ac:dyDescent="0.35">
      <c r="BV838" s="140"/>
      <c r="BY838" s="141"/>
      <c r="BZ838" s="141"/>
      <c r="CA838" s="141"/>
      <c r="CB838" s="141"/>
      <c r="CC838" s="141"/>
      <c r="CD838" s="141"/>
      <c r="CE838" s="141"/>
      <c r="CF838" s="141"/>
      <c r="CG838" s="141"/>
      <c r="CH838" s="141"/>
      <c r="CI838" s="141"/>
      <c r="CJ838" s="141"/>
      <c r="CK838" s="141"/>
      <c r="CL838" s="141"/>
    </row>
    <row r="839" spans="74:90" ht="49.5" customHeight="1" x14ac:dyDescent="0.35">
      <c r="BV839" s="140"/>
      <c r="BY839" s="141"/>
      <c r="BZ839" s="141"/>
      <c r="CA839" s="141"/>
      <c r="CB839" s="141"/>
      <c r="CC839" s="141"/>
      <c r="CD839" s="141"/>
      <c r="CE839" s="141"/>
      <c r="CF839" s="141"/>
      <c r="CG839" s="141"/>
      <c r="CH839" s="141"/>
      <c r="CI839" s="141"/>
      <c r="CJ839" s="141"/>
      <c r="CK839" s="141"/>
      <c r="CL839" s="141"/>
    </row>
    <row r="840" spans="74:90" ht="49.5" customHeight="1" x14ac:dyDescent="0.35">
      <c r="BV840" s="140"/>
      <c r="BY840" s="141"/>
      <c r="BZ840" s="141"/>
      <c r="CA840" s="141"/>
      <c r="CB840" s="141"/>
      <c r="CC840" s="141"/>
      <c r="CD840" s="141"/>
      <c r="CE840" s="141"/>
      <c r="CF840" s="141"/>
      <c r="CG840" s="141"/>
      <c r="CH840" s="141"/>
      <c r="CI840" s="141"/>
      <c r="CJ840" s="141"/>
      <c r="CK840" s="141"/>
      <c r="CL840" s="141"/>
    </row>
    <row r="841" spans="74:90" ht="49.5" customHeight="1" x14ac:dyDescent="0.35">
      <c r="BV841" s="140"/>
      <c r="BY841" s="141"/>
      <c r="BZ841" s="141"/>
      <c r="CA841" s="141"/>
      <c r="CB841" s="141"/>
      <c r="CC841" s="141"/>
      <c r="CD841" s="141"/>
      <c r="CE841" s="141"/>
      <c r="CF841" s="141"/>
      <c r="CG841" s="141"/>
      <c r="CH841" s="141"/>
      <c r="CI841" s="141"/>
      <c r="CJ841" s="141"/>
      <c r="CK841" s="141"/>
      <c r="CL841" s="141"/>
    </row>
    <row r="842" spans="74:90" ht="49.5" customHeight="1" x14ac:dyDescent="0.35">
      <c r="BV842" s="140"/>
      <c r="BY842" s="141"/>
      <c r="BZ842" s="141"/>
      <c r="CA842" s="141"/>
      <c r="CB842" s="141"/>
      <c r="CC842" s="141"/>
      <c r="CD842" s="141"/>
      <c r="CE842" s="141"/>
      <c r="CF842" s="141"/>
      <c r="CG842" s="141"/>
      <c r="CH842" s="141"/>
      <c r="CI842" s="141"/>
      <c r="CJ842" s="141"/>
      <c r="CK842" s="141"/>
      <c r="CL842" s="141"/>
    </row>
    <row r="843" spans="74:90" ht="49.5" customHeight="1" x14ac:dyDescent="0.35">
      <c r="BV843" s="140"/>
      <c r="BY843" s="141"/>
      <c r="BZ843" s="141"/>
      <c r="CA843" s="141"/>
      <c r="CB843" s="141"/>
      <c r="CC843" s="141"/>
      <c r="CD843" s="141"/>
      <c r="CE843" s="141"/>
      <c r="CF843" s="141"/>
      <c r="CG843" s="141"/>
      <c r="CH843" s="141"/>
      <c r="CI843" s="141"/>
      <c r="CJ843" s="141"/>
      <c r="CK843" s="141"/>
      <c r="CL843" s="141"/>
    </row>
    <row r="844" spans="74:90" ht="49.5" customHeight="1" x14ac:dyDescent="0.35">
      <c r="BV844" s="140"/>
      <c r="BY844" s="141"/>
      <c r="BZ844" s="141"/>
      <c r="CA844" s="141"/>
      <c r="CB844" s="141"/>
      <c r="CC844" s="141"/>
      <c r="CD844" s="141"/>
      <c r="CE844" s="141"/>
      <c r="CF844" s="141"/>
      <c r="CG844" s="141"/>
      <c r="CH844" s="141"/>
      <c r="CI844" s="141"/>
      <c r="CJ844" s="141"/>
      <c r="CK844" s="141"/>
      <c r="CL844" s="141"/>
    </row>
    <row r="845" spans="74:90" ht="49.5" customHeight="1" x14ac:dyDescent="0.35">
      <c r="BV845" s="140"/>
      <c r="BY845" s="141"/>
      <c r="BZ845" s="141"/>
      <c r="CA845" s="141"/>
      <c r="CB845" s="141"/>
      <c r="CC845" s="141"/>
      <c r="CD845" s="141"/>
      <c r="CE845" s="141"/>
      <c r="CF845" s="141"/>
      <c r="CG845" s="141"/>
      <c r="CH845" s="141"/>
      <c r="CI845" s="141"/>
      <c r="CJ845" s="141"/>
      <c r="CK845" s="141"/>
      <c r="CL845" s="141"/>
    </row>
    <row r="846" spans="74:90" ht="49.5" customHeight="1" x14ac:dyDescent="0.35">
      <c r="BV846" s="140"/>
      <c r="BY846" s="141"/>
      <c r="BZ846" s="141"/>
      <c r="CA846" s="141"/>
      <c r="CB846" s="141"/>
      <c r="CC846" s="141"/>
      <c r="CD846" s="141"/>
      <c r="CE846" s="141"/>
      <c r="CF846" s="141"/>
      <c r="CG846" s="141"/>
      <c r="CH846" s="141"/>
      <c r="CI846" s="141"/>
      <c r="CJ846" s="141"/>
      <c r="CK846" s="141"/>
      <c r="CL846" s="141"/>
    </row>
    <row r="847" spans="74:90" ht="49.5" customHeight="1" x14ac:dyDescent="0.35">
      <c r="BV847" s="140"/>
      <c r="BY847" s="141"/>
      <c r="BZ847" s="141"/>
      <c r="CA847" s="141"/>
      <c r="CB847" s="141"/>
      <c r="CC847" s="141"/>
      <c r="CD847" s="141"/>
      <c r="CE847" s="141"/>
      <c r="CF847" s="141"/>
      <c r="CG847" s="141"/>
      <c r="CH847" s="141"/>
      <c r="CI847" s="141"/>
      <c r="CJ847" s="141"/>
      <c r="CK847" s="141"/>
      <c r="CL847" s="141"/>
    </row>
    <row r="848" spans="74:90" ht="49.5" customHeight="1" x14ac:dyDescent="0.35">
      <c r="BV848" s="140"/>
      <c r="BY848" s="141"/>
      <c r="BZ848" s="141"/>
      <c r="CA848" s="141"/>
      <c r="CB848" s="141"/>
      <c r="CC848" s="141"/>
      <c r="CD848" s="141"/>
      <c r="CE848" s="141"/>
      <c r="CF848" s="141"/>
      <c r="CG848" s="141"/>
      <c r="CH848" s="141"/>
      <c r="CI848" s="141"/>
      <c r="CJ848" s="141"/>
      <c r="CK848" s="141"/>
      <c r="CL848" s="141"/>
    </row>
    <row r="849" spans="74:90" ht="49.5" customHeight="1" x14ac:dyDescent="0.35">
      <c r="BV849" s="140"/>
      <c r="BY849" s="141"/>
      <c r="BZ849" s="141"/>
      <c r="CA849" s="141"/>
      <c r="CB849" s="141"/>
      <c r="CC849" s="141"/>
      <c r="CD849" s="141"/>
      <c r="CE849" s="141"/>
      <c r="CF849" s="141"/>
      <c r="CG849" s="141"/>
      <c r="CH849" s="141"/>
      <c r="CI849" s="141"/>
      <c r="CJ849" s="141"/>
      <c r="CK849" s="141"/>
      <c r="CL849" s="141"/>
    </row>
    <row r="850" spans="74:90" ht="49.5" customHeight="1" x14ac:dyDescent="0.35">
      <c r="BV850" s="140"/>
      <c r="BY850" s="141"/>
      <c r="BZ850" s="141"/>
      <c r="CA850" s="141"/>
      <c r="CB850" s="141"/>
      <c r="CC850" s="141"/>
      <c r="CD850" s="141"/>
      <c r="CE850" s="141"/>
      <c r="CF850" s="141"/>
      <c r="CG850" s="141"/>
      <c r="CH850" s="141"/>
      <c r="CI850" s="141"/>
      <c r="CJ850" s="141"/>
      <c r="CK850" s="141"/>
      <c r="CL850" s="141"/>
    </row>
    <row r="851" spans="74:90" ht="49.5" customHeight="1" x14ac:dyDescent="0.35">
      <c r="BV851" s="140"/>
      <c r="BY851" s="141"/>
      <c r="BZ851" s="141"/>
      <c r="CA851" s="141"/>
      <c r="CB851" s="141"/>
      <c r="CC851" s="141"/>
      <c r="CD851" s="141"/>
      <c r="CE851" s="141"/>
      <c r="CF851" s="141"/>
      <c r="CG851" s="141"/>
      <c r="CH851" s="141"/>
      <c r="CI851" s="141"/>
      <c r="CJ851" s="141"/>
      <c r="CK851" s="141"/>
      <c r="CL851" s="141"/>
    </row>
    <row r="852" spans="74:90" ht="49.5" customHeight="1" x14ac:dyDescent="0.35">
      <c r="BV852" s="140"/>
      <c r="BY852" s="141"/>
      <c r="BZ852" s="141"/>
      <c r="CA852" s="141"/>
      <c r="CB852" s="141"/>
      <c r="CC852" s="141"/>
      <c r="CD852" s="141"/>
      <c r="CE852" s="141"/>
      <c r="CF852" s="141"/>
      <c r="CG852" s="141"/>
      <c r="CH852" s="141"/>
      <c r="CI852" s="141"/>
      <c r="CJ852" s="141"/>
      <c r="CK852" s="141"/>
      <c r="CL852" s="141"/>
    </row>
    <row r="853" spans="74:90" ht="49.5" customHeight="1" x14ac:dyDescent="0.35">
      <c r="BV853" s="140"/>
      <c r="BY853" s="141"/>
      <c r="BZ853" s="141"/>
      <c r="CA853" s="141"/>
      <c r="CB853" s="141"/>
      <c r="CC853" s="141"/>
      <c r="CD853" s="141"/>
      <c r="CE853" s="141"/>
      <c r="CF853" s="141"/>
      <c r="CG853" s="141"/>
      <c r="CH853" s="141"/>
      <c r="CI853" s="141"/>
      <c r="CJ853" s="141"/>
      <c r="CK853" s="141"/>
      <c r="CL853" s="141"/>
    </row>
    <row r="854" spans="74:90" ht="49.5" customHeight="1" x14ac:dyDescent="0.35">
      <c r="BV854" s="140"/>
      <c r="BY854" s="141"/>
      <c r="BZ854" s="141"/>
      <c r="CA854" s="141"/>
      <c r="CB854" s="141"/>
      <c r="CC854" s="141"/>
      <c r="CD854" s="141"/>
      <c r="CE854" s="141"/>
      <c r="CF854" s="141"/>
      <c r="CG854" s="141"/>
      <c r="CH854" s="141"/>
      <c r="CI854" s="141"/>
      <c r="CJ854" s="141"/>
      <c r="CK854" s="141"/>
      <c r="CL854" s="141"/>
    </row>
    <row r="855" spans="74:90" ht="49.5" customHeight="1" x14ac:dyDescent="0.35">
      <c r="BV855" s="140"/>
      <c r="BY855" s="141"/>
      <c r="BZ855" s="141"/>
      <c r="CA855" s="141"/>
      <c r="CB855" s="141"/>
      <c r="CC855" s="141"/>
      <c r="CD855" s="141"/>
      <c r="CE855" s="141"/>
      <c r="CF855" s="141"/>
      <c r="CG855" s="141"/>
      <c r="CH855" s="141"/>
      <c r="CI855" s="141"/>
      <c r="CJ855" s="141"/>
      <c r="CK855" s="141"/>
      <c r="CL855" s="141"/>
    </row>
    <row r="856" spans="74:90" ht="49.5" customHeight="1" x14ac:dyDescent="0.35">
      <c r="BV856" s="140"/>
      <c r="BY856" s="141"/>
      <c r="BZ856" s="141"/>
      <c r="CA856" s="141"/>
      <c r="CB856" s="141"/>
      <c r="CC856" s="141"/>
      <c r="CD856" s="141"/>
      <c r="CE856" s="141"/>
      <c r="CF856" s="141"/>
      <c r="CG856" s="141"/>
      <c r="CH856" s="141"/>
      <c r="CI856" s="141"/>
      <c r="CJ856" s="141"/>
      <c r="CK856" s="141"/>
      <c r="CL856" s="141"/>
    </row>
    <row r="857" spans="74:90" ht="49.5" customHeight="1" x14ac:dyDescent="0.35">
      <c r="BV857" s="140"/>
      <c r="BY857" s="141"/>
      <c r="BZ857" s="141"/>
      <c r="CA857" s="141"/>
      <c r="CB857" s="141"/>
      <c r="CC857" s="141"/>
      <c r="CD857" s="141"/>
      <c r="CE857" s="141"/>
      <c r="CF857" s="141"/>
      <c r="CG857" s="141"/>
      <c r="CH857" s="141"/>
      <c r="CI857" s="141"/>
      <c r="CJ857" s="141"/>
      <c r="CK857" s="141"/>
      <c r="CL857" s="141"/>
    </row>
    <row r="858" spans="74:90" ht="49.5" customHeight="1" x14ac:dyDescent="0.35">
      <c r="BV858" s="140"/>
      <c r="BY858" s="141"/>
      <c r="BZ858" s="141"/>
      <c r="CA858" s="141"/>
      <c r="CB858" s="141"/>
      <c r="CC858" s="141"/>
      <c r="CD858" s="141"/>
      <c r="CE858" s="141"/>
      <c r="CF858" s="141"/>
      <c r="CG858" s="141"/>
      <c r="CH858" s="141"/>
      <c r="CI858" s="141"/>
      <c r="CJ858" s="141"/>
      <c r="CK858" s="141"/>
      <c r="CL858" s="141"/>
    </row>
    <row r="859" spans="74:90" ht="49.5" customHeight="1" x14ac:dyDescent="0.35">
      <c r="BV859" s="140"/>
      <c r="BY859" s="141"/>
      <c r="BZ859" s="141"/>
      <c r="CA859" s="141"/>
      <c r="CB859" s="141"/>
      <c r="CC859" s="141"/>
      <c r="CD859" s="141"/>
      <c r="CE859" s="141"/>
      <c r="CF859" s="141"/>
      <c r="CG859" s="141"/>
      <c r="CH859" s="141"/>
      <c r="CI859" s="141"/>
      <c r="CJ859" s="141"/>
      <c r="CK859" s="141"/>
      <c r="CL859" s="141"/>
    </row>
    <row r="860" spans="74:90" ht="49.5" customHeight="1" x14ac:dyDescent="0.35">
      <c r="BV860" s="140"/>
      <c r="BY860" s="141"/>
      <c r="BZ860" s="141"/>
      <c r="CA860" s="141"/>
      <c r="CB860" s="141"/>
      <c r="CC860" s="141"/>
      <c r="CD860" s="141"/>
      <c r="CE860" s="141"/>
      <c r="CF860" s="141"/>
      <c r="CG860" s="141"/>
      <c r="CH860" s="141"/>
      <c r="CI860" s="141"/>
      <c r="CJ860" s="141"/>
      <c r="CK860" s="141"/>
      <c r="CL860" s="141"/>
    </row>
    <row r="861" spans="74:90" ht="49.5" customHeight="1" x14ac:dyDescent="0.35">
      <c r="BV861" s="140"/>
      <c r="BY861" s="141"/>
      <c r="BZ861" s="141"/>
      <c r="CA861" s="141"/>
      <c r="CB861" s="141"/>
      <c r="CC861" s="141"/>
      <c r="CD861" s="141"/>
      <c r="CE861" s="141"/>
      <c r="CF861" s="141"/>
      <c r="CG861" s="141"/>
      <c r="CH861" s="141"/>
      <c r="CI861" s="141"/>
      <c r="CJ861" s="141"/>
      <c r="CK861" s="141"/>
      <c r="CL861" s="141"/>
    </row>
    <row r="862" spans="74:90" ht="49.5" customHeight="1" x14ac:dyDescent="0.35">
      <c r="BV862" s="140"/>
      <c r="BY862" s="141"/>
      <c r="BZ862" s="141"/>
      <c r="CA862" s="141"/>
      <c r="CB862" s="141"/>
      <c r="CC862" s="141"/>
      <c r="CD862" s="141"/>
      <c r="CE862" s="141"/>
      <c r="CF862" s="141"/>
      <c r="CG862" s="141"/>
      <c r="CH862" s="141"/>
      <c r="CI862" s="141"/>
      <c r="CJ862" s="141"/>
      <c r="CK862" s="141"/>
      <c r="CL862" s="141"/>
    </row>
    <row r="863" spans="74:90" ht="49.5" customHeight="1" x14ac:dyDescent="0.35">
      <c r="BV863" s="140"/>
      <c r="BY863" s="141"/>
      <c r="BZ863" s="141"/>
      <c r="CA863" s="141"/>
      <c r="CB863" s="141"/>
      <c r="CC863" s="141"/>
      <c r="CD863" s="141"/>
      <c r="CE863" s="141"/>
      <c r="CF863" s="141"/>
      <c r="CG863" s="141"/>
      <c r="CH863" s="141"/>
      <c r="CI863" s="141"/>
      <c r="CJ863" s="141"/>
      <c r="CK863" s="141"/>
      <c r="CL863" s="141"/>
    </row>
    <row r="864" spans="74:90" ht="49.5" customHeight="1" x14ac:dyDescent="0.35">
      <c r="BV864" s="140"/>
      <c r="BY864" s="141"/>
      <c r="BZ864" s="141"/>
      <c r="CA864" s="141"/>
      <c r="CB864" s="141"/>
      <c r="CC864" s="141"/>
      <c r="CD864" s="141"/>
      <c r="CE864" s="141"/>
      <c r="CF864" s="141"/>
      <c r="CG864" s="141"/>
      <c r="CH864" s="141"/>
      <c r="CI864" s="141"/>
      <c r="CJ864" s="141"/>
      <c r="CK864" s="141"/>
      <c r="CL864" s="141"/>
    </row>
    <row r="865" spans="74:90" ht="49.5" customHeight="1" x14ac:dyDescent="0.35">
      <c r="BV865" s="140"/>
      <c r="BY865" s="141"/>
      <c r="BZ865" s="141"/>
      <c r="CA865" s="141"/>
      <c r="CB865" s="141"/>
      <c r="CC865" s="141"/>
      <c r="CD865" s="141"/>
      <c r="CE865" s="141"/>
      <c r="CF865" s="141"/>
      <c r="CG865" s="141"/>
      <c r="CH865" s="141"/>
      <c r="CI865" s="141"/>
      <c r="CJ865" s="141"/>
      <c r="CK865" s="141"/>
      <c r="CL865" s="141"/>
    </row>
    <row r="866" spans="74:90" ht="49.5" customHeight="1" x14ac:dyDescent="0.35">
      <c r="BV866" s="140"/>
      <c r="BY866" s="141"/>
      <c r="BZ866" s="141"/>
      <c r="CA866" s="141"/>
      <c r="CB866" s="141"/>
      <c r="CC866" s="141"/>
      <c r="CD866" s="141"/>
      <c r="CE866" s="141"/>
      <c r="CF866" s="141"/>
      <c r="CG866" s="141"/>
      <c r="CH866" s="141"/>
      <c r="CI866" s="141"/>
      <c r="CJ866" s="141"/>
      <c r="CK866" s="141"/>
      <c r="CL866" s="141"/>
    </row>
    <row r="867" spans="74:90" ht="49.5" customHeight="1" x14ac:dyDescent="0.35">
      <c r="BV867" s="140"/>
      <c r="BY867" s="141"/>
      <c r="BZ867" s="141"/>
      <c r="CA867" s="141"/>
      <c r="CB867" s="141"/>
      <c r="CC867" s="141"/>
      <c r="CD867" s="141"/>
      <c r="CE867" s="141"/>
      <c r="CF867" s="141"/>
      <c r="CG867" s="141"/>
      <c r="CH867" s="141"/>
      <c r="CI867" s="141"/>
      <c r="CJ867" s="141"/>
      <c r="CK867" s="141"/>
      <c r="CL867" s="141"/>
    </row>
    <row r="868" spans="74:90" ht="49.5" customHeight="1" x14ac:dyDescent="0.35">
      <c r="BV868" s="140"/>
      <c r="BY868" s="141"/>
      <c r="BZ868" s="141"/>
      <c r="CA868" s="141"/>
      <c r="CB868" s="141"/>
      <c r="CC868" s="141"/>
      <c r="CD868" s="141"/>
      <c r="CE868" s="141"/>
      <c r="CF868" s="141"/>
      <c r="CG868" s="141"/>
      <c r="CH868" s="141"/>
      <c r="CI868" s="141"/>
      <c r="CJ868" s="141"/>
      <c r="CK868" s="141"/>
      <c r="CL868" s="141"/>
    </row>
    <row r="869" spans="74:90" ht="49.5" customHeight="1" x14ac:dyDescent="0.35">
      <c r="BV869" s="140"/>
      <c r="BY869" s="141"/>
      <c r="BZ869" s="141"/>
      <c r="CA869" s="141"/>
      <c r="CB869" s="141"/>
      <c r="CC869" s="141"/>
      <c r="CD869" s="141"/>
      <c r="CE869" s="141"/>
      <c r="CF869" s="141"/>
      <c r="CG869" s="141"/>
      <c r="CH869" s="141"/>
      <c r="CI869" s="141"/>
      <c r="CJ869" s="141"/>
      <c r="CK869" s="141"/>
      <c r="CL869" s="141"/>
    </row>
    <row r="870" spans="74:90" ht="49.5" customHeight="1" x14ac:dyDescent="0.35">
      <c r="BV870" s="140"/>
      <c r="BY870" s="141"/>
      <c r="BZ870" s="141"/>
      <c r="CA870" s="141"/>
      <c r="CB870" s="141"/>
      <c r="CC870" s="141"/>
      <c r="CD870" s="141"/>
      <c r="CE870" s="141"/>
      <c r="CF870" s="141"/>
      <c r="CG870" s="141"/>
      <c r="CH870" s="141"/>
      <c r="CI870" s="141"/>
      <c r="CJ870" s="141"/>
      <c r="CK870" s="141"/>
      <c r="CL870" s="141"/>
    </row>
    <row r="871" spans="74:90" ht="49.5" customHeight="1" x14ac:dyDescent="0.35">
      <c r="BV871" s="140"/>
      <c r="BY871" s="141"/>
      <c r="BZ871" s="141"/>
      <c r="CA871" s="141"/>
      <c r="CB871" s="141"/>
      <c r="CC871" s="141"/>
      <c r="CD871" s="141"/>
      <c r="CE871" s="141"/>
      <c r="CF871" s="141"/>
      <c r="CG871" s="141"/>
      <c r="CH871" s="141"/>
      <c r="CI871" s="141"/>
      <c r="CJ871" s="141"/>
      <c r="CK871" s="141"/>
      <c r="CL871" s="141"/>
    </row>
    <row r="872" spans="74:90" ht="49.5" customHeight="1" x14ac:dyDescent="0.35">
      <c r="BV872" s="140"/>
      <c r="BY872" s="141"/>
      <c r="BZ872" s="141"/>
      <c r="CA872" s="141"/>
      <c r="CB872" s="141"/>
      <c r="CC872" s="141"/>
      <c r="CD872" s="141"/>
      <c r="CE872" s="141"/>
      <c r="CF872" s="141"/>
      <c r="CG872" s="141"/>
      <c r="CH872" s="141"/>
      <c r="CI872" s="141"/>
      <c r="CJ872" s="141"/>
      <c r="CK872" s="141"/>
      <c r="CL872" s="141"/>
    </row>
    <row r="873" spans="74:90" ht="49.5" customHeight="1" x14ac:dyDescent="0.35">
      <c r="BV873" s="140"/>
      <c r="BY873" s="141"/>
      <c r="BZ873" s="141"/>
      <c r="CA873" s="141"/>
      <c r="CB873" s="141"/>
      <c r="CC873" s="141"/>
      <c r="CD873" s="141"/>
      <c r="CE873" s="141"/>
      <c r="CF873" s="141"/>
      <c r="CG873" s="141"/>
      <c r="CH873" s="141"/>
      <c r="CI873" s="141"/>
      <c r="CJ873" s="141"/>
      <c r="CK873" s="141"/>
      <c r="CL873" s="141"/>
    </row>
    <row r="874" spans="74:90" ht="49.5" customHeight="1" x14ac:dyDescent="0.35">
      <c r="BV874" s="140"/>
      <c r="BY874" s="141"/>
      <c r="BZ874" s="141"/>
      <c r="CA874" s="141"/>
      <c r="CB874" s="141"/>
      <c r="CC874" s="141"/>
      <c r="CD874" s="141"/>
      <c r="CE874" s="141"/>
      <c r="CF874" s="141"/>
      <c r="CG874" s="141"/>
      <c r="CH874" s="141"/>
      <c r="CI874" s="141"/>
      <c r="CJ874" s="141"/>
      <c r="CK874" s="141"/>
      <c r="CL874" s="141"/>
    </row>
    <row r="875" spans="74:90" ht="49.5" customHeight="1" x14ac:dyDescent="0.35">
      <c r="BV875" s="140"/>
      <c r="BY875" s="141"/>
      <c r="BZ875" s="141"/>
      <c r="CA875" s="141"/>
      <c r="CB875" s="141"/>
      <c r="CC875" s="141"/>
      <c r="CD875" s="141"/>
      <c r="CE875" s="141"/>
      <c r="CF875" s="141"/>
      <c r="CG875" s="141"/>
      <c r="CH875" s="141"/>
      <c r="CI875" s="141"/>
      <c r="CJ875" s="141"/>
      <c r="CK875" s="141"/>
      <c r="CL875" s="141"/>
    </row>
    <row r="876" spans="74:90" ht="49.5" customHeight="1" x14ac:dyDescent="0.35">
      <c r="BV876" s="140"/>
      <c r="BY876" s="141"/>
      <c r="BZ876" s="141"/>
      <c r="CA876" s="141"/>
      <c r="CB876" s="141"/>
      <c r="CC876" s="141"/>
      <c r="CD876" s="141"/>
      <c r="CE876" s="141"/>
      <c r="CF876" s="141"/>
      <c r="CG876" s="141"/>
      <c r="CH876" s="141"/>
      <c r="CI876" s="141"/>
      <c r="CJ876" s="141"/>
      <c r="CK876" s="141"/>
      <c r="CL876" s="141"/>
    </row>
    <row r="877" spans="74:90" ht="49.5" customHeight="1" x14ac:dyDescent="0.35">
      <c r="BV877" s="140"/>
      <c r="BY877" s="141"/>
      <c r="BZ877" s="141"/>
      <c r="CA877" s="141"/>
      <c r="CB877" s="141"/>
      <c r="CC877" s="141"/>
      <c r="CD877" s="141"/>
      <c r="CE877" s="141"/>
      <c r="CF877" s="141"/>
      <c r="CG877" s="141"/>
      <c r="CH877" s="141"/>
      <c r="CI877" s="141"/>
      <c r="CJ877" s="141"/>
      <c r="CK877" s="141"/>
      <c r="CL877" s="141"/>
    </row>
    <row r="878" spans="74:90" ht="49.5" customHeight="1" x14ac:dyDescent="0.35">
      <c r="BV878" s="140"/>
      <c r="BY878" s="141"/>
      <c r="BZ878" s="141"/>
      <c r="CA878" s="141"/>
      <c r="CB878" s="141"/>
      <c r="CC878" s="141"/>
      <c r="CD878" s="141"/>
      <c r="CE878" s="141"/>
      <c r="CF878" s="141"/>
      <c r="CG878" s="141"/>
      <c r="CH878" s="141"/>
      <c r="CI878" s="141"/>
      <c r="CJ878" s="141"/>
      <c r="CK878" s="141"/>
      <c r="CL878" s="141"/>
    </row>
    <row r="879" spans="74:90" ht="49.5" customHeight="1" x14ac:dyDescent="0.35">
      <c r="BV879" s="140"/>
      <c r="BY879" s="141"/>
      <c r="BZ879" s="141"/>
      <c r="CA879" s="141"/>
      <c r="CB879" s="141"/>
      <c r="CC879" s="141"/>
      <c r="CD879" s="141"/>
      <c r="CE879" s="141"/>
      <c r="CF879" s="141"/>
      <c r="CG879" s="141"/>
      <c r="CH879" s="141"/>
      <c r="CI879" s="141"/>
      <c r="CJ879" s="141"/>
      <c r="CK879" s="141"/>
      <c r="CL879" s="141"/>
    </row>
    <row r="880" spans="74:90" ht="49.5" customHeight="1" x14ac:dyDescent="0.35">
      <c r="BV880" s="140"/>
      <c r="BY880" s="141"/>
      <c r="BZ880" s="141"/>
      <c r="CA880" s="141"/>
      <c r="CB880" s="141"/>
      <c r="CC880" s="141"/>
      <c r="CD880" s="141"/>
      <c r="CE880" s="141"/>
      <c r="CF880" s="141"/>
      <c r="CG880" s="141"/>
      <c r="CH880" s="141"/>
      <c r="CI880" s="141"/>
      <c r="CJ880" s="141"/>
      <c r="CK880" s="141"/>
      <c r="CL880" s="141"/>
    </row>
    <row r="881" spans="74:90" ht="49.5" customHeight="1" x14ac:dyDescent="0.35">
      <c r="BV881" s="140"/>
      <c r="BY881" s="141"/>
      <c r="BZ881" s="141"/>
      <c r="CA881" s="141"/>
      <c r="CB881" s="141"/>
      <c r="CC881" s="141"/>
      <c r="CD881" s="141"/>
      <c r="CE881" s="141"/>
      <c r="CF881" s="141"/>
      <c r="CG881" s="141"/>
      <c r="CH881" s="141"/>
      <c r="CI881" s="141"/>
      <c r="CJ881" s="141"/>
      <c r="CK881" s="141"/>
      <c r="CL881" s="141"/>
    </row>
    <row r="882" spans="74:90" ht="49.5" customHeight="1" x14ac:dyDescent="0.35">
      <c r="BV882" s="140"/>
      <c r="BY882" s="141"/>
      <c r="BZ882" s="141"/>
      <c r="CA882" s="141"/>
      <c r="CB882" s="141"/>
      <c r="CC882" s="141"/>
      <c r="CD882" s="141"/>
      <c r="CE882" s="141"/>
      <c r="CF882" s="141"/>
      <c r="CG882" s="141"/>
      <c r="CH882" s="141"/>
      <c r="CI882" s="141"/>
      <c r="CJ882" s="141"/>
      <c r="CK882" s="141"/>
      <c r="CL882" s="141"/>
    </row>
    <row r="883" spans="74:90" ht="49.5" customHeight="1" x14ac:dyDescent="0.35">
      <c r="BV883" s="140"/>
      <c r="BY883" s="141"/>
      <c r="BZ883" s="141"/>
      <c r="CA883" s="141"/>
      <c r="CB883" s="141"/>
      <c r="CC883" s="141"/>
      <c r="CD883" s="141"/>
      <c r="CE883" s="141"/>
      <c r="CF883" s="141"/>
      <c r="CG883" s="141"/>
      <c r="CH883" s="141"/>
      <c r="CI883" s="141"/>
      <c r="CJ883" s="141"/>
      <c r="CK883" s="141"/>
      <c r="CL883" s="141"/>
    </row>
    <row r="884" spans="74:90" ht="49.5" customHeight="1" x14ac:dyDescent="0.35">
      <c r="BV884" s="140"/>
      <c r="BY884" s="141"/>
      <c r="BZ884" s="141"/>
      <c r="CA884" s="141"/>
      <c r="CB884" s="141"/>
      <c r="CC884" s="141"/>
      <c r="CD884" s="141"/>
      <c r="CE884" s="141"/>
      <c r="CF884" s="141"/>
      <c r="CG884" s="141"/>
      <c r="CH884" s="141"/>
      <c r="CI884" s="141"/>
      <c r="CJ884" s="141"/>
      <c r="CK884" s="141"/>
      <c r="CL884" s="141"/>
    </row>
    <row r="885" spans="74:90" ht="49.5" customHeight="1" x14ac:dyDescent="0.35">
      <c r="BV885" s="140"/>
      <c r="BY885" s="141"/>
      <c r="BZ885" s="141"/>
      <c r="CA885" s="141"/>
      <c r="CB885" s="141"/>
      <c r="CC885" s="141"/>
      <c r="CD885" s="141"/>
      <c r="CE885" s="141"/>
      <c r="CF885" s="141"/>
      <c r="CG885" s="141"/>
      <c r="CH885" s="141"/>
      <c r="CI885" s="141"/>
      <c r="CJ885" s="141"/>
      <c r="CK885" s="141"/>
      <c r="CL885" s="141"/>
    </row>
    <row r="886" spans="74:90" ht="49.5" customHeight="1" x14ac:dyDescent="0.35">
      <c r="BV886" s="140"/>
      <c r="BY886" s="141"/>
      <c r="BZ886" s="141"/>
      <c r="CA886" s="141"/>
      <c r="CB886" s="141"/>
      <c r="CC886" s="141"/>
      <c r="CD886" s="141"/>
      <c r="CE886" s="141"/>
      <c r="CF886" s="141"/>
      <c r="CG886" s="141"/>
      <c r="CH886" s="141"/>
      <c r="CI886" s="141"/>
      <c r="CJ886" s="141"/>
      <c r="CK886" s="141"/>
      <c r="CL886" s="141"/>
    </row>
    <row r="887" spans="74:90" ht="49.5" customHeight="1" x14ac:dyDescent="0.35">
      <c r="BV887" s="140"/>
      <c r="BY887" s="141"/>
      <c r="BZ887" s="141"/>
      <c r="CA887" s="141"/>
      <c r="CB887" s="141"/>
      <c r="CC887" s="141"/>
      <c r="CD887" s="141"/>
      <c r="CE887" s="141"/>
      <c r="CF887" s="141"/>
      <c r="CG887" s="141"/>
      <c r="CH887" s="141"/>
      <c r="CI887" s="141"/>
      <c r="CJ887" s="141"/>
      <c r="CK887" s="141"/>
      <c r="CL887" s="141"/>
    </row>
    <row r="888" spans="74:90" ht="49.5" customHeight="1" x14ac:dyDescent="0.35">
      <c r="BV888" s="140"/>
      <c r="BY888" s="141"/>
      <c r="BZ888" s="141"/>
      <c r="CA888" s="141"/>
      <c r="CB888" s="141"/>
      <c r="CC888" s="141"/>
      <c r="CD888" s="141"/>
      <c r="CE888" s="141"/>
      <c r="CF888" s="141"/>
      <c r="CG888" s="141"/>
      <c r="CH888" s="141"/>
      <c r="CI888" s="141"/>
      <c r="CJ888" s="141"/>
      <c r="CK888" s="141"/>
      <c r="CL888" s="141"/>
    </row>
    <row r="889" spans="74:90" ht="49.5" customHeight="1" x14ac:dyDescent="0.35">
      <c r="BV889" s="140"/>
      <c r="BY889" s="141"/>
      <c r="BZ889" s="141"/>
      <c r="CA889" s="141"/>
      <c r="CB889" s="141"/>
      <c r="CC889" s="141"/>
      <c r="CD889" s="141"/>
      <c r="CE889" s="141"/>
      <c r="CF889" s="141"/>
      <c r="CG889" s="141"/>
      <c r="CH889" s="141"/>
      <c r="CI889" s="141"/>
      <c r="CJ889" s="141"/>
      <c r="CK889" s="141"/>
      <c r="CL889" s="141"/>
    </row>
    <row r="890" spans="74:90" ht="49.5" customHeight="1" x14ac:dyDescent="0.35">
      <c r="BV890" s="140"/>
      <c r="BY890" s="141"/>
      <c r="BZ890" s="141"/>
      <c r="CA890" s="141"/>
      <c r="CB890" s="141"/>
      <c r="CC890" s="141"/>
      <c r="CD890" s="141"/>
      <c r="CE890" s="141"/>
      <c r="CF890" s="141"/>
      <c r="CG890" s="141"/>
      <c r="CH890" s="141"/>
      <c r="CI890" s="141"/>
      <c r="CJ890" s="141"/>
      <c r="CK890" s="141"/>
      <c r="CL890" s="141"/>
    </row>
    <row r="891" spans="74:90" ht="49.5" customHeight="1" x14ac:dyDescent="0.35">
      <c r="BV891" s="140"/>
      <c r="BY891" s="141"/>
      <c r="BZ891" s="141"/>
      <c r="CA891" s="141"/>
      <c r="CB891" s="141"/>
      <c r="CC891" s="141"/>
      <c r="CD891" s="141"/>
      <c r="CE891" s="141"/>
      <c r="CF891" s="141"/>
      <c r="CG891" s="141"/>
      <c r="CH891" s="141"/>
      <c r="CI891" s="141"/>
      <c r="CJ891" s="141"/>
      <c r="CK891" s="141"/>
      <c r="CL891" s="141"/>
    </row>
    <row r="892" spans="74:90" ht="49.5" customHeight="1" x14ac:dyDescent="0.35">
      <c r="BV892" s="140"/>
      <c r="BY892" s="141"/>
      <c r="BZ892" s="141"/>
      <c r="CA892" s="141"/>
      <c r="CB892" s="141"/>
      <c r="CC892" s="141"/>
      <c r="CD892" s="141"/>
      <c r="CE892" s="141"/>
      <c r="CF892" s="141"/>
      <c r="CG892" s="141"/>
      <c r="CH892" s="141"/>
      <c r="CI892" s="141"/>
      <c r="CJ892" s="141"/>
      <c r="CK892" s="141"/>
      <c r="CL892" s="141"/>
    </row>
    <row r="893" spans="74:90" ht="49.5" customHeight="1" x14ac:dyDescent="0.35">
      <c r="BV893" s="140"/>
      <c r="BY893" s="141"/>
      <c r="BZ893" s="141"/>
      <c r="CA893" s="141"/>
      <c r="CB893" s="141"/>
      <c r="CC893" s="141"/>
      <c r="CD893" s="141"/>
      <c r="CE893" s="141"/>
      <c r="CF893" s="141"/>
      <c r="CG893" s="141"/>
      <c r="CH893" s="141"/>
      <c r="CI893" s="141"/>
      <c r="CJ893" s="141"/>
      <c r="CK893" s="141"/>
      <c r="CL893" s="141"/>
    </row>
    <row r="894" spans="74:90" ht="49.5" customHeight="1" x14ac:dyDescent="0.35">
      <c r="BV894" s="140"/>
      <c r="BY894" s="141"/>
      <c r="BZ894" s="141"/>
      <c r="CA894" s="141"/>
      <c r="CB894" s="141"/>
      <c r="CC894" s="141"/>
      <c r="CD894" s="141"/>
      <c r="CE894" s="141"/>
      <c r="CF894" s="141"/>
      <c r="CG894" s="141"/>
      <c r="CH894" s="141"/>
      <c r="CI894" s="141"/>
      <c r="CJ894" s="141"/>
      <c r="CK894" s="141"/>
      <c r="CL894" s="141"/>
    </row>
    <row r="895" spans="74:90" ht="49.5" customHeight="1" x14ac:dyDescent="0.35">
      <c r="BV895" s="140"/>
      <c r="BY895" s="141"/>
      <c r="BZ895" s="141"/>
      <c r="CA895" s="141"/>
      <c r="CB895" s="141"/>
      <c r="CC895" s="141"/>
      <c r="CD895" s="141"/>
      <c r="CE895" s="141"/>
      <c r="CF895" s="141"/>
      <c r="CG895" s="141"/>
      <c r="CH895" s="141"/>
      <c r="CI895" s="141"/>
      <c r="CJ895" s="141"/>
      <c r="CK895" s="141"/>
      <c r="CL895" s="141"/>
    </row>
    <row r="896" spans="74:90" ht="49.5" customHeight="1" x14ac:dyDescent="0.35">
      <c r="BV896" s="140"/>
      <c r="BY896" s="141"/>
      <c r="BZ896" s="141"/>
      <c r="CA896" s="141"/>
      <c r="CB896" s="141"/>
      <c r="CC896" s="141"/>
      <c r="CD896" s="141"/>
      <c r="CE896" s="141"/>
      <c r="CF896" s="141"/>
      <c r="CG896" s="141"/>
      <c r="CH896" s="141"/>
      <c r="CI896" s="141"/>
      <c r="CJ896" s="141"/>
      <c r="CK896" s="141"/>
      <c r="CL896" s="141"/>
    </row>
    <row r="897" spans="74:90" ht="49.5" customHeight="1" x14ac:dyDescent="0.35">
      <c r="BV897" s="140"/>
      <c r="BY897" s="141"/>
      <c r="BZ897" s="141"/>
      <c r="CA897" s="141"/>
      <c r="CB897" s="141"/>
      <c r="CC897" s="141"/>
      <c r="CD897" s="141"/>
      <c r="CE897" s="141"/>
      <c r="CF897" s="141"/>
      <c r="CG897" s="141"/>
      <c r="CH897" s="141"/>
      <c r="CI897" s="141"/>
      <c r="CJ897" s="141"/>
      <c r="CK897" s="141"/>
      <c r="CL897" s="141"/>
    </row>
    <row r="898" spans="74:90" ht="49.5" customHeight="1" x14ac:dyDescent="0.35">
      <c r="BV898" s="140"/>
      <c r="BY898" s="141"/>
      <c r="BZ898" s="141"/>
      <c r="CA898" s="141"/>
      <c r="CB898" s="141"/>
      <c r="CC898" s="141"/>
      <c r="CD898" s="141"/>
      <c r="CE898" s="141"/>
      <c r="CF898" s="141"/>
      <c r="CG898" s="141"/>
      <c r="CH898" s="141"/>
      <c r="CI898" s="141"/>
      <c r="CJ898" s="141"/>
      <c r="CK898" s="141"/>
      <c r="CL898" s="141"/>
    </row>
    <row r="899" spans="74:90" ht="49.5" customHeight="1" x14ac:dyDescent="0.35">
      <c r="BV899" s="140"/>
      <c r="BY899" s="141"/>
      <c r="BZ899" s="141"/>
      <c r="CA899" s="141"/>
      <c r="CB899" s="141"/>
      <c r="CC899" s="141"/>
      <c r="CD899" s="141"/>
      <c r="CE899" s="141"/>
      <c r="CF899" s="141"/>
      <c r="CG899" s="141"/>
      <c r="CH899" s="141"/>
      <c r="CI899" s="141"/>
      <c r="CJ899" s="141"/>
      <c r="CK899" s="141"/>
      <c r="CL899" s="141"/>
    </row>
    <row r="900" spans="74:90" ht="49.5" customHeight="1" x14ac:dyDescent="0.35">
      <c r="BV900" s="140"/>
      <c r="BY900" s="141"/>
      <c r="BZ900" s="141"/>
      <c r="CA900" s="141"/>
      <c r="CB900" s="141"/>
      <c r="CC900" s="141"/>
      <c r="CD900" s="141"/>
      <c r="CE900" s="141"/>
      <c r="CF900" s="141"/>
      <c r="CG900" s="141"/>
      <c r="CH900" s="141"/>
      <c r="CI900" s="141"/>
      <c r="CJ900" s="141"/>
      <c r="CK900" s="141"/>
      <c r="CL900" s="141"/>
    </row>
    <row r="901" spans="74:90" ht="49.5" customHeight="1" x14ac:dyDescent="0.35">
      <c r="BV901" s="140"/>
      <c r="BY901" s="141"/>
      <c r="BZ901" s="141"/>
      <c r="CA901" s="141"/>
      <c r="CB901" s="141"/>
      <c r="CC901" s="141"/>
      <c r="CD901" s="141"/>
      <c r="CE901" s="141"/>
      <c r="CF901" s="141"/>
      <c r="CG901" s="141"/>
      <c r="CH901" s="141"/>
      <c r="CI901" s="141"/>
      <c r="CJ901" s="141"/>
      <c r="CK901" s="141"/>
      <c r="CL901" s="141"/>
    </row>
    <row r="902" spans="74:90" ht="49.5" customHeight="1" x14ac:dyDescent="0.35">
      <c r="BV902" s="140"/>
      <c r="BY902" s="141"/>
      <c r="BZ902" s="141"/>
      <c r="CA902" s="141"/>
      <c r="CB902" s="141"/>
      <c r="CC902" s="141"/>
      <c r="CD902" s="141"/>
      <c r="CE902" s="141"/>
      <c r="CF902" s="141"/>
      <c r="CG902" s="141"/>
      <c r="CH902" s="141"/>
      <c r="CI902" s="141"/>
      <c r="CJ902" s="141"/>
      <c r="CK902" s="141"/>
      <c r="CL902" s="141"/>
    </row>
    <row r="903" spans="74:90" ht="49.5" customHeight="1" x14ac:dyDescent="0.35">
      <c r="BV903" s="140"/>
      <c r="BY903" s="141"/>
      <c r="BZ903" s="141"/>
      <c r="CA903" s="141"/>
      <c r="CB903" s="141"/>
      <c r="CC903" s="141"/>
      <c r="CD903" s="141"/>
      <c r="CE903" s="141"/>
      <c r="CF903" s="141"/>
      <c r="CG903" s="141"/>
      <c r="CH903" s="141"/>
      <c r="CI903" s="141"/>
      <c r="CJ903" s="141"/>
      <c r="CK903" s="141"/>
      <c r="CL903" s="141"/>
    </row>
    <row r="904" spans="74:90" ht="49.5" customHeight="1" x14ac:dyDescent="0.35">
      <c r="BV904" s="140"/>
      <c r="BY904" s="141"/>
      <c r="BZ904" s="141"/>
      <c r="CA904" s="141"/>
      <c r="CB904" s="141"/>
      <c r="CC904" s="141"/>
      <c r="CD904" s="141"/>
      <c r="CE904" s="141"/>
      <c r="CF904" s="141"/>
      <c r="CG904" s="141"/>
      <c r="CH904" s="141"/>
      <c r="CI904" s="141"/>
      <c r="CJ904" s="141"/>
      <c r="CK904" s="141"/>
      <c r="CL904" s="141"/>
    </row>
    <row r="905" spans="74:90" ht="49.5" customHeight="1" x14ac:dyDescent="0.35">
      <c r="BV905" s="140"/>
      <c r="BY905" s="141"/>
      <c r="BZ905" s="141"/>
      <c r="CA905" s="141"/>
      <c r="CB905" s="141"/>
      <c r="CC905" s="141"/>
      <c r="CD905" s="141"/>
      <c r="CE905" s="141"/>
      <c r="CF905" s="141"/>
      <c r="CG905" s="141"/>
      <c r="CH905" s="141"/>
      <c r="CI905" s="141"/>
      <c r="CJ905" s="141"/>
      <c r="CK905" s="141"/>
      <c r="CL905" s="141"/>
    </row>
    <row r="906" spans="74:90" ht="49.5" customHeight="1" x14ac:dyDescent="0.35">
      <c r="BV906" s="140"/>
      <c r="BY906" s="141"/>
      <c r="BZ906" s="141"/>
      <c r="CA906" s="141"/>
      <c r="CB906" s="141"/>
      <c r="CC906" s="141"/>
      <c r="CD906" s="141"/>
      <c r="CE906" s="141"/>
      <c r="CF906" s="141"/>
      <c r="CG906" s="141"/>
      <c r="CH906" s="141"/>
      <c r="CI906" s="141"/>
      <c r="CJ906" s="141"/>
      <c r="CK906" s="141"/>
      <c r="CL906" s="141"/>
    </row>
    <row r="907" spans="74:90" ht="49.5" customHeight="1" x14ac:dyDescent="0.35">
      <c r="BV907" s="140"/>
      <c r="BY907" s="141"/>
      <c r="BZ907" s="141"/>
      <c r="CA907" s="141"/>
      <c r="CB907" s="141"/>
      <c r="CC907" s="141"/>
      <c r="CD907" s="141"/>
      <c r="CE907" s="141"/>
      <c r="CF907" s="141"/>
      <c r="CG907" s="141"/>
      <c r="CH907" s="141"/>
      <c r="CI907" s="141"/>
      <c r="CJ907" s="141"/>
      <c r="CK907" s="141"/>
      <c r="CL907" s="141"/>
    </row>
    <row r="908" spans="74:90" ht="49.5" customHeight="1" x14ac:dyDescent="0.35">
      <c r="BV908" s="140"/>
      <c r="BY908" s="141"/>
      <c r="BZ908" s="141"/>
      <c r="CA908" s="141"/>
      <c r="CB908" s="141"/>
      <c r="CC908" s="141"/>
      <c r="CD908" s="141"/>
      <c r="CE908" s="141"/>
      <c r="CF908" s="141"/>
      <c r="CG908" s="141"/>
      <c r="CH908" s="141"/>
      <c r="CI908" s="141"/>
      <c r="CJ908" s="141"/>
      <c r="CK908" s="141"/>
      <c r="CL908" s="141"/>
    </row>
    <row r="909" spans="74:90" ht="49.5" customHeight="1" x14ac:dyDescent="0.35">
      <c r="BV909" s="140"/>
      <c r="BY909" s="141"/>
      <c r="BZ909" s="141"/>
      <c r="CA909" s="141"/>
      <c r="CB909" s="141"/>
      <c r="CC909" s="141"/>
      <c r="CD909" s="141"/>
      <c r="CE909" s="141"/>
      <c r="CF909" s="141"/>
      <c r="CG909" s="141"/>
      <c r="CH909" s="141"/>
      <c r="CI909" s="141"/>
      <c r="CJ909" s="141"/>
      <c r="CK909" s="141"/>
      <c r="CL909" s="141"/>
    </row>
    <row r="910" spans="74:90" ht="49.5" customHeight="1" x14ac:dyDescent="0.35">
      <c r="BV910" s="140"/>
      <c r="BY910" s="141"/>
      <c r="BZ910" s="141"/>
      <c r="CA910" s="141"/>
      <c r="CB910" s="141"/>
      <c r="CC910" s="141"/>
      <c r="CD910" s="141"/>
      <c r="CE910" s="141"/>
      <c r="CF910" s="141"/>
      <c r="CG910" s="141"/>
      <c r="CH910" s="141"/>
      <c r="CI910" s="141"/>
      <c r="CJ910" s="141"/>
      <c r="CK910" s="141"/>
      <c r="CL910" s="141"/>
    </row>
    <row r="911" spans="74:90" ht="49.5" customHeight="1" x14ac:dyDescent="0.35">
      <c r="BV911" s="140"/>
      <c r="BY911" s="141"/>
      <c r="BZ911" s="141"/>
      <c r="CA911" s="141"/>
      <c r="CB911" s="141"/>
      <c r="CC911" s="141"/>
      <c r="CD911" s="141"/>
      <c r="CE911" s="141"/>
      <c r="CF911" s="141"/>
      <c r="CG911" s="141"/>
      <c r="CH911" s="141"/>
      <c r="CI911" s="141"/>
      <c r="CJ911" s="141"/>
      <c r="CK911" s="141"/>
      <c r="CL911" s="141"/>
    </row>
    <row r="912" spans="74:90" ht="49.5" customHeight="1" x14ac:dyDescent="0.35">
      <c r="BV912" s="140"/>
      <c r="BY912" s="141"/>
      <c r="BZ912" s="141"/>
      <c r="CA912" s="141"/>
      <c r="CB912" s="141"/>
      <c r="CC912" s="141"/>
      <c r="CD912" s="141"/>
      <c r="CE912" s="141"/>
      <c r="CF912" s="141"/>
      <c r="CG912" s="141"/>
      <c r="CH912" s="141"/>
      <c r="CI912" s="141"/>
      <c r="CJ912" s="141"/>
      <c r="CK912" s="141"/>
      <c r="CL912" s="141"/>
    </row>
    <row r="913" spans="74:90" ht="49.5" customHeight="1" x14ac:dyDescent="0.35">
      <c r="BV913" s="140"/>
      <c r="BY913" s="141"/>
      <c r="BZ913" s="141"/>
      <c r="CA913" s="141"/>
      <c r="CB913" s="141"/>
      <c r="CC913" s="141"/>
      <c r="CD913" s="141"/>
      <c r="CE913" s="141"/>
      <c r="CF913" s="141"/>
      <c r="CG913" s="141"/>
      <c r="CH913" s="141"/>
      <c r="CI913" s="141"/>
      <c r="CJ913" s="141"/>
      <c r="CK913" s="141"/>
      <c r="CL913" s="141"/>
    </row>
    <row r="914" spans="74:90" ht="49.5" customHeight="1" x14ac:dyDescent="0.35">
      <c r="BV914" s="140"/>
      <c r="BY914" s="141"/>
      <c r="BZ914" s="141"/>
      <c r="CA914" s="141"/>
      <c r="CB914" s="141"/>
      <c r="CC914" s="141"/>
      <c r="CD914" s="141"/>
      <c r="CE914" s="141"/>
      <c r="CF914" s="141"/>
      <c r="CG914" s="141"/>
      <c r="CH914" s="141"/>
      <c r="CI914" s="141"/>
      <c r="CJ914" s="141"/>
      <c r="CK914" s="141"/>
      <c r="CL914" s="141"/>
    </row>
    <row r="915" spans="74:90" ht="49.5" customHeight="1" x14ac:dyDescent="0.35">
      <c r="BV915" s="140"/>
      <c r="BY915" s="141"/>
      <c r="BZ915" s="141"/>
      <c r="CA915" s="141"/>
      <c r="CB915" s="141"/>
      <c r="CC915" s="141"/>
      <c r="CD915" s="141"/>
      <c r="CE915" s="141"/>
      <c r="CF915" s="141"/>
      <c r="CG915" s="141"/>
      <c r="CH915" s="141"/>
      <c r="CI915" s="141"/>
      <c r="CJ915" s="141"/>
      <c r="CK915" s="141"/>
      <c r="CL915" s="141"/>
    </row>
    <row r="916" spans="74:90" ht="49.5" customHeight="1" x14ac:dyDescent="0.35">
      <c r="BV916" s="140"/>
      <c r="BY916" s="141"/>
      <c r="BZ916" s="141"/>
      <c r="CA916" s="141"/>
      <c r="CB916" s="141"/>
      <c r="CC916" s="141"/>
      <c r="CD916" s="141"/>
      <c r="CE916" s="141"/>
      <c r="CF916" s="141"/>
      <c r="CG916" s="141"/>
      <c r="CH916" s="141"/>
      <c r="CI916" s="141"/>
      <c r="CJ916" s="141"/>
      <c r="CK916" s="141"/>
      <c r="CL916" s="141"/>
    </row>
    <row r="917" spans="74:90" ht="49.5" customHeight="1" x14ac:dyDescent="0.35">
      <c r="BV917" s="140"/>
      <c r="BY917" s="141"/>
      <c r="BZ917" s="141"/>
      <c r="CA917" s="141"/>
      <c r="CB917" s="141"/>
      <c r="CC917" s="141"/>
      <c r="CD917" s="141"/>
      <c r="CE917" s="141"/>
      <c r="CF917" s="141"/>
      <c r="CG917" s="141"/>
      <c r="CH917" s="141"/>
      <c r="CI917" s="141"/>
      <c r="CJ917" s="141"/>
      <c r="CK917" s="141"/>
      <c r="CL917" s="141"/>
    </row>
    <row r="918" spans="74:90" ht="49.5" customHeight="1" x14ac:dyDescent="0.35">
      <c r="BV918" s="140"/>
      <c r="BY918" s="141"/>
      <c r="BZ918" s="141"/>
      <c r="CA918" s="141"/>
      <c r="CB918" s="141"/>
      <c r="CC918" s="141"/>
      <c r="CD918" s="141"/>
      <c r="CE918" s="141"/>
      <c r="CF918" s="141"/>
      <c r="CG918" s="141"/>
      <c r="CH918" s="141"/>
      <c r="CI918" s="141"/>
      <c r="CJ918" s="141"/>
      <c r="CK918" s="141"/>
      <c r="CL918" s="141"/>
    </row>
    <row r="919" spans="74:90" ht="49.5" customHeight="1" x14ac:dyDescent="0.35">
      <c r="BV919" s="140"/>
      <c r="BY919" s="141"/>
      <c r="BZ919" s="141"/>
      <c r="CA919" s="141"/>
      <c r="CB919" s="141"/>
      <c r="CC919" s="141"/>
      <c r="CD919" s="141"/>
      <c r="CE919" s="141"/>
      <c r="CF919" s="141"/>
      <c r="CG919" s="141"/>
      <c r="CH919" s="141"/>
      <c r="CI919" s="141"/>
      <c r="CJ919" s="141"/>
      <c r="CK919" s="141"/>
      <c r="CL919" s="141"/>
    </row>
    <row r="920" spans="74:90" ht="49.5" customHeight="1" x14ac:dyDescent="0.35">
      <c r="BV920" s="140"/>
      <c r="BY920" s="141"/>
      <c r="BZ920" s="141"/>
      <c r="CA920" s="141"/>
      <c r="CB920" s="141"/>
      <c r="CC920" s="141"/>
      <c r="CD920" s="141"/>
      <c r="CE920" s="141"/>
      <c r="CF920" s="141"/>
      <c r="CG920" s="141"/>
      <c r="CH920" s="141"/>
      <c r="CI920" s="141"/>
      <c r="CJ920" s="141"/>
      <c r="CK920" s="141"/>
      <c r="CL920" s="141"/>
    </row>
    <row r="921" spans="74:90" ht="49.5" customHeight="1" x14ac:dyDescent="0.35">
      <c r="BV921" s="140"/>
      <c r="BY921" s="141"/>
      <c r="BZ921" s="141"/>
      <c r="CA921" s="141"/>
      <c r="CB921" s="141"/>
      <c r="CC921" s="141"/>
      <c r="CD921" s="141"/>
      <c r="CE921" s="141"/>
      <c r="CF921" s="141"/>
      <c r="CG921" s="141"/>
      <c r="CH921" s="141"/>
      <c r="CI921" s="141"/>
      <c r="CJ921" s="141"/>
      <c r="CK921" s="141"/>
      <c r="CL921" s="141"/>
    </row>
    <row r="922" spans="74:90" ht="49.5" customHeight="1" x14ac:dyDescent="0.35">
      <c r="BV922" s="140"/>
      <c r="BY922" s="141"/>
      <c r="BZ922" s="141"/>
      <c r="CA922" s="141"/>
      <c r="CB922" s="141"/>
      <c r="CC922" s="141"/>
      <c r="CD922" s="141"/>
      <c r="CE922" s="141"/>
      <c r="CF922" s="141"/>
      <c r="CG922" s="141"/>
      <c r="CH922" s="141"/>
      <c r="CI922" s="141"/>
      <c r="CJ922" s="141"/>
      <c r="CK922" s="141"/>
      <c r="CL922" s="141"/>
    </row>
    <row r="923" spans="74:90" ht="49.5" customHeight="1" x14ac:dyDescent="0.35">
      <c r="BV923" s="140"/>
      <c r="BY923" s="141"/>
      <c r="BZ923" s="141"/>
      <c r="CA923" s="141"/>
      <c r="CB923" s="141"/>
      <c r="CC923" s="141"/>
      <c r="CD923" s="141"/>
      <c r="CE923" s="141"/>
      <c r="CF923" s="141"/>
      <c r="CG923" s="141"/>
      <c r="CH923" s="141"/>
      <c r="CI923" s="141"/>
      <c r="CJ923" s="141"/>
      <c r="CK923" s="141"/>
      <c r="CL923" s="141"/>
    </row>
    <row r="924" spans="74:90" ht="49.5" customHeight="1" x14ac:dyDescent="0.35">
      <c r="BV924" s="140"/>
      <c r="BY924" s="141"/>
      <c r="BZ924" s="141"/>
      <c r="CA924" s="141"/>
      <c r="CB924" s="141"/>
      <c r="CC924" s="141"/>
      <c r="CD924" s="141"/>
      <c r="CE924" s="141"/>
      <c r="CF924" s="141"/>
      <c r="CG924" s="141"/>
      <c r="CH924" s="141"/>
      <c r="CI924" s="141"/>
      <c r="CJ924" s="141"/>
      <c r="CK924" s="141"/>
      <c r="CL924" s="141"/>
    </row>
    <row r="925" spans="74:90" ht="49.5" customHeight="1" x14ac:dyDescent="0.35">
      <c r="BV925" s="140"/>
      <c r="BY925" s="141"/>
      <c r="BZ925" s="141"/>
      <c r="CA925" s="141"/>
      <c r="CB925" s="141"/>
      <c r="CC925" s="141"/>
      <c r="CD925" s="141"/>
      <c r="CE925" s="141"/>
      <c r="CF925" s="141"/>
      <c r="CG925" s="141"/>
      <c r="CH925" s="141"/>
      <c r="CI925" s="141"/>
      <c r="CJ925" s="141"/>
      <c r="CK925" s="141"/>
      <c r="CL925" s="141"/>
    </row>
    <row r="926" spans="74:90" ht="49.5" customHeight="1" x14ac:dyDescent="0.35">
      <c r="BV926" s="140"/>
      <c r="BY926" s="141"/>
      <c r="BZ926" s="141"/>
      <c r="CA926" s="141"/>
      <c r="CB926" s="141"/>
      <c r="CC926" s="141"/>
      <c r="CD926" s="141"/>
      <c r="CE926" s="141"/>
      <c r="CF926" s="141"/>
      <c r="CG926" s="141"/>
      <c r="CH926" s="141"/>
      <c r="CI926" s="141"/>
      <c r="CJ926" s="141"/>
      <c r="CK926" s="141"/>
      <c r="CL926" s="141"/>
    </row>
    <row r="927" spans="74:90" ht="49.5" customHeight="1" x14ac:dyDescent="0.35">
      <c r="BV927" s="140"/>
      <c r="BY927" s="141"/>
      <c r="BZ927" s="141"/>
      <c r="CA927" s="141"/>
      <c r="CB927" s="141"/>
      <c r="CC927" s="141"/>
      <c r="CD927" s="141"/>
      <c r="CE927" s="141"/>
      <c r="CF927" s="141"/>
      <c r="CG927" s="141"/>
      <c r="CH927" s="141"/>
      <c r="CI927" s="141"/>
      <c r="CJ927" s="141"/>
      <c r="CK927" s="141"/>
      <c r="CL927" s="141"/>
    </row>
    <row r="928" spans="74:90" ht="49.5" customHeight="1" x14ac:dyDescent="0.35">
      <c r="BV928" s="140"/>
      <c r="BY928" s="141"/>
      <c r="BZ928" s="141"/>
      <c r="CA928" s="141"/>
      <c r="CB928" s="141"/>
      <c r="CC928" s="141"/>
      <c r="CD928" s="141"/>
      <c r="CE928" s="141"/>
      <c r="CF928" s="141"/>
      <c r="CG928" s="141"/>
      <c r="CH928" s="141"/>
      <c r="CI928" s="141"/>
      <c r="CJ928" s="141"/>
      <c r="CK928" s="141"/>
      <c r="CL928" s="141"/>
    </row>
    <row r="929" spans="74:90" ht="49.5" customHeight="1" x14ac:dyDescent="0.35">
      <c r="BV929" s="140"/>
      <c r="BY929" s="141"/>
      <c r="BZ929" s="141"/>
      <c r="CA929" s="141"/>
      <c r="CB929" s="141"/>
      <c r="CC929" s="141"/>
      <c r="CD929" s="141"/>
      <c r="CE929" s="141"/>
      <c r="CF929" s="141"/>
      <c r="CG929" s="141"/>
      <c r="CH929" s="141"/>
      <c r="CI929" s="141"/>
      <c r="CJ929" s="141"/>
      <c r="CK929" s="141"/>
      <c r="CL929" s="141"/>
    </row>
    <row r="930" spans="74:90" ht="49.5" customHeight="1" x14ac:dyDescent="0.35">
      <c r="BV930" s="140"/>
      <c r="BY930" s="141"/>
      <c r="BZ930" s="141"/>
      <c r="CA930" s="141"/>
      <c r="CB930" s="141"/>
      <c r="CC930" s="141"/>
      <c r="CD930" s="141"/>
      <c r="CE930" s="141"/>
      <c r="CF930" s="141"/>
      <c r="CG930" s="141"/>
      <c r="CH930" s="141"/>
      <c r="CI930" s="141"/>
      <c r="CJ930" s="141"/>
      <c r="CK930" s="141"/>
      <c r="CL930" s="141"/>
    </row>
    <row r="931" spans="74:90" ht="49.5" customHeight="1" x14ac:dyDescent="0.35">
      <c r="BV931" s="140"/>
      <c r="BY931" s="141"/>
      <c r="BZ931" s="141"/>
      <c r="CA931" s="141"/>
      <c r="CB931" s="141"/>
      <c r="CC931" s="141"/>
      <c r="CD931" s="141"/>
      <c r="CE931" s="141"/>
      <c r="CF931" s="141"/>
      <c r="CG931" s="141"/>
      <c r="CH931" s="141"/>
      <c r="CI931" s="141"/>
      <c r="CJ931" s="141"/>
      <c r="CK931" s="141"/>
      <c r="CL931" s="141"/>
    </row>
    <row r="932" spans="74:90" ht="49.5" customHeight="1" x14ac:dyDescent="0.35">
      <c r="BV932" s="140"/>
      <c r="BY932" s="141"/>
      <c r="BZ932" s="141"/>
      <c r="CA932" s="141"/>
      <c r="CB932" s="141"/>
      <c r="CC932" s="141"/>
      <c r="CD932" s="141"/>
      <c r="CE932" s="141"/>
      <c r="CF932" s="141"/>
      <c r="CG932" s="141"/>
      <c r="CH932" s="141"/>
      <c r="CI932" s="141"/>
      <c r="CJ932" s="141"/>
      <c r="CK932" s="141"/>
      <c r="CL932" s="141"/>
    </row>
    <row r="933" spans="74:90" ht="49.5" customHeight="1" x14ac:dyDescent="0.35">
      <c r="BV933" s="140"/>
      <c r="BY933" s="141"/>
      <c r="BZ933" s="141"/>
      <c r="CA933" s="141"/>
      <c r="CB933" s="141"/>
      <c r="CC933" s="141"/>
      <c r="CD933" s="141"/>
      <c r="CE933" s="141"/>
      <c r="CF933" s="141"/>
      <c r="CG933" s="141"/>
      <c r="CH933" s="141"/>
      <c r="CI933" s="141"/>
      <c r="CJ933" s="141"/>
      <c r="CK933" s="141"/>
      <c r="CL933" s="141"/>
    </row>
    <row r="934" spans="74:90" ht="49.5" customHeight="1" x14ac:dyDescent="0.35">
      <c r="BV934" s="140"/>
      <c r="BY934" s="141"/>
      <c r="BZ934" s="141"/>
      <c r="CA934" s="141"/>
      <c r="CB934" s="141"/>
      <c r="CC934" s="141"/>
      <c r="CD934" s="141"/>
      <c r="CE934" s="141"/>
      <c r="CF934" s="141"/>
      <c r="CG934" s="141"/>
      <c r="CH934" s="141"/>
      <c r="CI934" s="141"/>
      <c r="CJ934" s="141"/>
      <c r="CK934" s="141"/>
      <c r="CL934" s="141"/>
    </row>
    <row r="935" spans="74:90" ht="49.5" customHeight="1" x14ac:dyDescent="0.35">
      <c r="BV935" s="140"/>
      <c r="BY935" s="141"/>
      <c r="BZ935" s="141"/>
      <c r="CA935" s="141"/>
      <c r="CB935" s="141"/>
      <c r="CC935" s="141"/>
      <c r="CD935" s="141"/>
      <c r="CE935" s="141"/>
      <c r="CF935" s="141"/>
      <c r="CG935" s="141"/>
      <c r="CH935" s="141"/>
      <c r="CI935" s="141"/>
      <c r="CJ935" s="141"/>
      <c r="CK935" s="141"/>
      <c r="CL935" s="141"/>
    </row>
    <row r="936" spans="74:90" ht="49.5" customHeight="1" x14ac:dyDescent="0.35">
      <c r="BV936" s="140"/>
      <c r="BY936" s="141"/>
      <c r="BZ936" s="141"/>
      <c r="CA936" s="141"/>
      <c r="CB936" s="141"/>
      <c r="CC936" s="141"/>
      <c r="CD936" s="141"/>
      <c r="CE936" s="141"/>
      <c r="CF936" s="141"/>
      <c r="CG936" s="141"/>
      <c r="CH936" s="141"/>
      <c r="CI936" s="141"/>
      <c r="CJ936" s="141"/>
      <c r="CK936" s="141"/>
      <c r="CL936" s="141"/>
    </row>
    <row r="937" spans="74:90" ht="49.5" customHeight="1" x14ac:dyDescent="0.35">
      <c r="BV937" s="140"/>
      <c r="BY937" s="141"/>
      <c r="BZ937" s="141"/>
      <c r="CA937" s="141"/>
      <c r="CB937" s="141"/>
      <c r="CC937" s="141"/>
      <c r="CD937" s="141"/>
      <c r="CE937" s="141"/>
      <c r="CF937" s="141"/>
      <c r="CG937" s="141"/>
      <c r="CH937" s="141"/>
      <c r="CI937" s="141"/>
      <c r="CJ937" s="141"/>
      <c r="CK937" s="141"/>
      <c r="CL937" s="141"/>
    </row>
    <row r="938" spans="74:90" ht="49.5" customHeight="1" x14ac:dyDescent="0.35">
      <c r="BV938" s="140"/>
      <c r="BY938" s="141"/>
      <c r="BZ938" s="141"/>
      <c r="CA938" s="141"/>
      <c r="CB938" s="141"/>
      <c r="CC938" s="141"/>
      <c r="CD938" s="141"/>
      <c r="CE938" s="141"/>
      <c r="CF938" s="141"/>
      <c r="CG938" s="141"/>
      <c r="CH938" s="141"/>
      <c r="CI938" s="141"/>
      <c r="CJ938" s="141"/>
      <c r="CK938" s="141"/>
      <c r="CL938" s="141"/>
    </row>
    <row r="939" spans="74:90" ht="49.5" customHeight="1" x14ac:dyDescent="0.35">
      <c r="BV939" s="140"/>
      <c r="BY939" s="141"/>
      <c r="BZ939" s="141"/>
      <c r="CA939" s="141"/>
      <c r="CB939" s="141"/>
      <c r="CC939" s="141"/>
      <c r="CD939" s="141"/>
      <c r="CE939" s="141"/>
      <c r="CF939" s="141"/>
      <c r="CG939" s="141"/>
      <c r="CH939" s="141"/>
      <c r="CI939" s="141"/>
      <c r="CJ939" s="141"/>
      <c r="CK939" s="141"/>
      <c r="CL939" s="141"/>
    </row>
    <row r="940" spans="74:90" ht="49.5" customHeight="1" x14ac:dyDescent="0.35">
      <c r="BV940" s="140"/>
      <c r="BY940" s="141"/>
      <c r="BZ940" s="141"/>
      <c r="CA940" s="141"/>
      <c r="CB940" s="141"/>
      <c r="CC940" s="141"/>
      <c r="CD940" s="141"/>
      <c r="CE940" s="141"/>
      <c r="CF940" s="141"/>
      <c r="CG940" s="141"/>
      <c r="CH940" s="141"/>
      <c r="CI940" s="141"/>
      <c r="CJ940" s="141"/>
      <c r="CK940" s="141"/>
      <c r="CL940" s="141"/>
    </row>
    <row r="941" spans="74:90" ht="49.5" customHeight="1" x14ac:dyDescent="0.35">
      <c r="BV941" s="140"/>
      <c r="BY941" s="141"/>
      <c r="BZ941" s="141"/>
      <c r="CA941" s="141"/>
      <c r="CB941" s="141"/>
      <c r="CC941" s="141"/>
      <c r="CD941" s="141"/>
      <c r="CE941" s="141"/>
      <c r="CF941" s="141"/>
      <c r="CG941" s="141"/>
      <c r="CH941" s="141"/>
      <c r="CI941" s="141"/>
      <c r="CJ941" s="141"/>
      <c r="CK941" s="141"/>
      <c r="CL941" s="141"/>
    </row>
    <row r="942" spans="74:90" ht="49.5" customHeight="1" x14ac:dyDescent="0.35">
      <c r="BV942" s="140"/>
      <c r="BY942" s="141"/>
      <c r="BZ942" s="141"/>
      <c r="CA942" s="141"/>
      <c r="CB942" s="141"/>
      <c r="CC942" s="141"/>
      <c r="CD942" s="141"/>
      <c r="CE942" s="141"/>
      <c r="CF942" s="141"/>
      <c r="CG942" s="141"/>
      <c r="CH942" s="141"/>
      <c r="CI942" s="141"/>
      <c r="CJ942" s="141"/>
      <c r="CK942" s="141"/>
      <c r="CL942" s="141"/>
    </row>
    <row r="943" spans="74:90" ht="49.5" customHeight="1" x14ac:dyDescent="0.35">
      <c r="BV943" s="140"/>
      <c r="BY943" s="141"/>
      <c r="BZ943" s="141"/>
      <c r="CA943" s="141"/>
      <c r="CB943" s="141"/>
      <c r="CC943" s="141"/>
      <c r="CD943" s="141"/>
      <c r="CE943" s="141"/>
      <c r="CF943" s="141"/>
      <c r="CG943" s="141"/>
      <c r="CH943" s="141"/>
      <c r="CI943" s="141"/>
      <c r="CJ943" s="141"/>
      <c r="CK943" s="141"/>
      <c r="CL943" s="141"/>
    </row>
    <row r="944" spans="74:90" ht="49.5" customHeight="1" x14ac:dyDescent="0.35">
      <c r="BV944" s="140"/>
      <c r="BY944" s="141"/>
      <c r="BZ944" s="141"/>
      <c r="CA944" s="141"/>
      <c r="CB944" s="141"/>
      <c r="CC944" s="141"/>
      <c r="CD944" s="141"/>
      <c r="CE944" s="141"/>
      <c r="CF944" s="141"/>
      <c r="CG944" s="141"/>
      <c r="CH944" s="141"/>
      <c r="CI944" s="141"/>
      <c r="CJ944" s="141"/>
      <c r="CK944" s="141"/>
      <c r="CL944" s="141"/>
    </row>
    <row r="945" spans="74:90" ht="49.5" customHeight="1" x14ac:dyDescent="0.35">
      <c r="BV945" s="140"/>
      <c r="BY945" s="141"/>
      <c r="BZ945" s="141"/>
      <c r="CA945" s="141"/>
      <c r="CB945" s="141"/>
      <c r="CC945" s="141"/>
      <c r="CD945" s="141"/>
      <c r="CE945" s="141"/>
      <c r="CF945" s="141"/>
      <c r="CG945" s="141"/>
      <c r="CH945" s="141"/>
      <c r="CI945" s="141"/>
      <c r="CJ945" s="141"/>
      <c r="CK945" s="141"/>
      <c r="CL945" s="141"/>
    </row>
    <row r="946" spans="74:90" ht="49.5" customHeight="1" x14ac:dyDescent="0.35">
      <c r="BV946" s="140"/>
      <c r="BY946" s="141"/>
      <c r="BZ946" s="141"/>
      <c r="CA946" s="141"/>
      <c r="CB946" s="141"/>
      <c r="CC946" s="141"/>
      <c r="CD946" s="141"/>
      <c r="CE946" s="141"/>
      <c r="CF946" s="141"/>
      <c r="CG946" s="141"/>
      <c r="CH946" s="141"/>
      <c r="CI946" s="141"/>
      <c r="CJ946" s="141"/>
      <c r="CK946" s="141"/>
      <c r="CL946" s="141"/>
    </row>
    <row r="947" spans="74:90" ht="49.5" customHeight="1" x14ac:dyDescent="0.35">
      <c r="BV947" s="140"/>
      <c r="BY947" s="141"/>
      <c r="BZ947" s="141"/>
      <c r="CA947" s="141"/>
      <c r="CB947" s="141"/>
      <c r="CC947" s="141"/>
      <c r="CD947" s="141"/>
      <c r="CE947" s="141"/>
      <c r="CF947" s="141"/>
      <c r="CG947" s="141"/>
      <c r="CH947" s="141"/>
      <c r="CI947" s="141"/>
      <c r="CJ947" s="141"/>
      <c r="CK947" s="141"/>
      <c r="CL947" s="141"/>
    </row>
    <row r="948" spans="74:90" ht="49.5" customHeight="1" x14ac:dyDescent="0.35">
      <c r="BV948" s="140"/>
      <c r="BY948" s="141"/>
      <c r="BZ948" s="141"/>
      <c r="CA948" s="141"/>
      <c r="CB948" s="141"/>
      <c r="CC948" s="141"/>
      <c r="CD948" s="141"/>
      <c r="CE948" s="141"/>
      <c r="CF948" s="141"/>
      <c r="CG948" s="141"/>
      <c r="CH948" s="141"/>
      <c r="CI948" s="141"/>
      <c r="CJ948" s="141"/>
      <c r="CK948" s="141"/>
      <c r="CL948" s="141"/>
    </row>
    <row r="949" spans="74:90" ht="49.5" customHeight="1" x14ac:dyDescent="0.35">
      <c r="BV949" s="140"/>
      <c r="BY949" s="141"/>
      <c r="BZ949" s="141"/>
      <c r="CA949" s="141"/>
      <c r="CB949" s="141"/>
      <c r="CC949" s="141"/>
      <c r="CD949" s="141"/>
      <c r="CE949" s="141"/>
      <c r="CF949" s="141"/>
      <c r="CG949" s="141"/>
      <c r="CH949" s="141"/>
      <c r="CI949" s="141"/>
      <c r="CJ949" s="141"/>
      <c r="CK949" s="141"/>
      <c r="CL949" s="141"/>
    </row>
    <row r="950" spans="74:90" ht="49.5" customHeight="1" x14ac:dyDescent="0.35">
      <c r="BV950" s="140"/>
      <c r="BY950" s="141"/>
      <c r="BZ950" s="141"/>
      <c r="CA950" s="141"/>
      <c r="CB950" s="141"/>
      <c r="CC950" s="141"/>
      <c r="CD950" s="141"/>
      <c r="CE950" s="141"/>
      <c r="CF950" s="141"/>
      <c r="CG950" s="141"/>
      <c r="CH950" s="141"/>
      <c r="CI950" s="141"/>
      <c r="CJ950" s="141"/>
      <c r="CK950" s="141"/>
      <c r="CL950" s="141"/>
    </row>
    <row r="951" spans="74:90" ht="49.5" customHeight="1" x14ac:dyDescent="0.35">
      <c r="BV951" s="140"/>
      <c r="BY951" s="141"/>
      <c r="BZ951" s="141"/>
      <c r="CA951" s="141"/>
      <c r="CB951" s="141"/>
      <c r="CC951" s="141"/>
      <c r="CD951" s="141"/>
      <c r="CE951" s="141"/>
      <c r="CF951" s="141"/>
      <c r="CG951" s="141"/>
      <c r="CH951" s="141"/>
      <c r="CI951" s="141"/>
      <c r="CJ951" s="141"/>
      <c r="CK951" s="141"/>
      <c r="CL951" s="141"/>
    </row>
    <row r="952" spans="74:90" ht="49.5" customHeight="1" x14ac:dyDescent="0.35">
      <c r="BV952" s="140"/>
      <c r="BY952" s="141"/>
      <c r="BZ952" s="141"/>
      <c r="CA952" s="141"/>
      <c r="CB952" s="141"/>
      <c r="CC952" s="141"/>
      <c r="CD952" s="141"/>
      <c r="CE952" s="141"/>
      <c r="CF952" s="141"/>
      <c r="CG952" s="141"/>
      <c r="CH952" s="141"/>
      <c r="CI952" s="141"/>
      <c r="CJ952" s="141"/>
      <c r="CK952" s="141"/>
      <c r="CL952" s="141"/>
    </row>
    <row r="953" spans="74:90" ht="49.5" customHeight="1" x14ac:dyDescent="0.35">
      <c r="BV953" s="140"/>
      <c r="BY953" s="141"/>
      <c r="BZ953" s="141"/>
      <c r="CA953" s="141"/>
      <c r="CB953" s="141"/>
      <c r="CC953" s="141"/>
      <c r="CD953" s="141"/>
      <c r="CE953" s="141"/>
      <c r="CF953" s="141"/>
      <c r="CG953" s="141"/>
      <c r="CH953" s="141"/>
      <c r="CI953" s="141"/>
      <c r="CJ953" s="141"/>
      <c r="CK953" s="141"/>
      <c r="CL953" s="141"/>
    </row>
    <row r="954" spans="74:90" ht="49.5" customHeight="1" x14ac:dyDescent="0.35">
      <c r="BV954" s="140"/>
      <c r="BY954" s="141"/>
      <c r="BZ954" s="141"/>
      <c r="CA954" s="141"/>
      <c r="CB954" s="141"/>
      <c r="CC954" s="141"/>
      <c r="CD954" s="141"/>
      <c r="CE954" s="141"/>
      <c r="CF954" s="141"/>
      <c r="CG954" s="141"/>
      <c r="CH954" s="141"/>
      <c r="CI954" s="141"/>
      <c r="CJ954" s="141"/>
      <c r="CK954" s="141"/>
      <c r="CL954" s="141"/>
    </row>
    <row r="955" spans="74:90" ht="49.5" customHeight="1" x14ac:dyDescent="0.35">
      <c r="BV955" s="140"/>
      <c r="BY955" s="141"/>
      <c r="BZ955" s="141"/>
      <c r="CA955" s="141"/>
      <c r="CB955" s="141"/>
      <c r="CC955" s="141"/>
      <c r="CD955" s="141"/>
      <c r="CE955" s="141"/>
      <c r="CF955" s="141"/>
      <c r="CG955" s="141"/>
      <c r="CH955" s="141"/>
      <c r="CI955" s="141"/>
      <c r="CJ955" s="141"/>
      <c r="CK955" s="141"/>
      <c r="CL955" s="141"/>
    </row>
    <row r="956" spans="74:90" ht="49.5" customHeight="1" x14ac:dyDescent="0.35">
      <c r="BV956" s="140"/>
      <c r="BY956" s="141"/>
      <c r="BZ956" s="141"/>
      <c r="CA956" s="141"/>
      <c r="CB956" s="141"/>
      <c r="CC956" s="141"/>
      <c r="CD956" s="141"/>
      <c r="CE956" s="141"/>
      <c r="CF956" s="141"/>
      <c r="CG956" s="141"/>
      <c r="CH956" s="141"/>
      <c r="CI956" s="141"/>
      <c r="CJ956" s="141"/>
      <c r="CK956" s="141"/>
      <c r="CL956" s="141"/>
    </row>
    <row r="957" spans="74:90" ht="49.5" customHeight="1" x14ac:dyDescent="0.35">
      <c r="BV957" s="140"/>
      <c r="BY957" s="141"/>
      <c r="BZ957" s="141"/>
      <c r="CA957" s="141"/>
      <c r="CB957" s="141"/>
      <c r="CC957" s="141"/>
      <c r="CD957" s="141"/>
      <c r="CE957" s="141"/>
      <c r="CF957" s="141"/>
      <c r="CG957" s="141"/>
      <c r="CH957" s="141"/>
      <c r="CI957" s="141"/>
      <c r="CJ957" s="141"/>
      <c r="CK957" s="141"/>
      <c r="CL957" s="141"/>
    </row>
    <row r="958" spans="74:90" ht="49.5" customHeight="1" x14ac:dyDescent="0.35">
      <c r="BV958" s="140"/>
      <c r="BY958" s="141"/>
      <c r="BZ958" s="141"/>
      <c r="CA958" s="141"/>
      <c r="CB958" s="141"/>
      <c r="CC958" s="141"/>
      <c r="CD958" s="141"/>
      <c r="CE958" s="141"/>
      <c r="CF958" s="141"/>
      <c r="CG958" s="141"/>
      <c r="CH958" s="141"/>
      <c r="CI958" s="141"/>
      <c r="CJ958" s="141"/>
      <c r="CK958" s="141"/>
      <c r="CL958" s="141"/>
    </row>
    <row r="959" spans="74:90" ht="49.5" customHeight="1" x14ac:dyDescent="0.35">
      <c r="BV959" s="140"/>
      <c r="BY959" s="141"/>
      <c r="BZ959" s="141"/>
      <c r="CA959" s="141"/>
      <c r="CB959" s="141"/>
      <c r="CC959" s="141"/>
      <c r="CD959" s="141"/>
      <c r="CE959" s="141"/>
      <c r="CF959" s="141"/>
      <c r="CG959" s="141"/>
      <c r="CH959" s="141"/>
      <c r="CI959" s="141"/>
      <c r="CJ959" s="141"/>
      <c r="CK959" s="141"/>
      <c r="CL959" s="141"/>
    </row>
    <row r="960" spans="74:90" ht="49.5" customHeight="1" x14ac:dyDescent="0.35">
      <c r="BV960" s="140"/>
      <c r="BY960" s="141"/>
      <c r="BZ960" s="141"/>
      <c r="CA960" s="141"/>
      <c r="CB960" s="141"/>
      <c r="CC960" s="141"/>
      <c r="CD960" s="141"/>
      <c r="CE960" s="141"/>
      <c r="CF960" s="141"/>
      <c r="CG960" s="141"/>
      <c r="CH960" s="141"/>
      <c r="CI960" s="141"/>
      <c r="CJ960" s="141"/>
      <c r="CK960" s="141"/>
      <c r="CL960" s="141"/>
    </row>
    <row r="961" spans="74:90" ht="49.5" customHeight="1" x14ac:dyDescent="0.35">
      <c r="BV961" s="140"/>
      <c r="BY961" s="141"/>
      <c r="BZ961" s="141"/>
      <c r="CA961" s="141"/>
      <c r="CB961" s="141"/>
      <c r="CC961" s="141"/>
      <c r="CD961" s="141"/>
      <c r="CE961" s="141"/>
      <c r="CF961" s="141"/>
      <c r="CG961" s="141"/>
      <c r="CH961" s="141"/>
      <c r="CI961" s="141"/>
      <c r="CJ961" s="141"/>
      <c r="CK961" s="141"/>
      <c r="CL961" s="141"/>
    </row>
    <row r="962" spans="74:90" ht="49.5" customHeight="1" x14ac:dyDescent="0.35">
      <c r="BV962" s="140"/>
      <c r="BY962" s="141"/>
      <c r="BZ962" s="141"/>
      <c r="CA962" s="141"/>
      <c r="CB962" s="141"/>
      <c r="CC962" s="141"/>
      <c r="CD962" s="141"/>
      <c r="CE962" s="141"/>
      <c r="CF962" s="141"/>
      <c r="CG962" s="141"/>
      <c r="CH962" s="141"/>
      <c r="CI962" s="141"/>
      <c r="CJ962" s="141"/>
      <c r="CK962" s="141"/>
      <c r="CL962" s="141"/>
    </row>
    <row r="963" spans="74:90" ht="49.5" customHeight="1" x14ac:dyDescent="0.35">
      <c r="BV963" s="140"/>
      <c r="BY963" s="141"/>
      <c r="BZ963" s="141"/>
      <c r="CA963" s="141"/>
      <c r="CB963" s="141"/>
      <c r="CC963" s="141"/>
      <c r="CD963" s="141"/>
      <c r="CE963" s="141"/>
      <c r="CF963" s="141"/>
      <c r="CG963" s="141"/>
      <c r="CH963" s="141"/>
      <c r="CI963" s="141"/>
      <c r="CJ963" s="141"/>
      <c r="CK963" s="141"/>
      <c r="CL963" s="141"/>
    </row>
    <row r="964" spans="74:90" ht="49.5" customHeight="1" x14ac:dyDescent="0.35">
      <c r="BV964" s="140"/>
      <c r="BY964" s="141"/>
      <c r="BZ964" s="141"/>
      <c r="CA964" s="141"/>
      <c r="CB964" s="141"/>
      <c r="CC964" s="141"/>
      <c r="CD964" s="141"/>
      <c r="CE964" s="141"/>
      <c r="CF964" s="141"/>
      <c r="CG964" s="141"/>
      <c r="CH964" s="141"/>
      <c r="CI964" s="141"/>
      <c r="CJ964" s="141"/>
      <c r="CK964" s="141"/>
      <c r="CL964" s="141"/>
    </row>
    <row r="965" spans="74:90" ht="49.5" customHeight="1" x14ac:dyDescent="0.35">
      <c r="BV965" s="140"/>
      <c r="BY965" s="141"/>
      <c r="BZ965" s="141"/>
      <c r="CA965" s="141"/>
      <c r="CB965" s="141"/>
      <c r="CC965" s="141"/>
      <c r="CD965" s="141"/>
      <c r="CE965" s="141"/>
      <c r="CF965" s="141"/>
      <c r="CG965" s="141"/>
      <c r="CH965" s="141"/>
      <c r="CI965" s="141"/>
      <c r="CJ965" s="141"/>
      <c r="CK965" s="141"/>
      <c r="CL965" s="141"/>
    </row>
    <row r="966" spans="74:90" ht="49.5" customHeight="1" x14ac:dyDescent="0.35">
      <c r="BV966" s="140"/>
      <c r="BY966" s="141"/>
      <c r="BZ966" s="141"/>
      <c r="CA966" s="141"/>
      <c r="CB966" s="141"/>
      <c r="CC966" s="141"/>
      <c r="CD966" s="141"/>
      <c r="CE966" s="141"/>
      <c r="CF966" s="141"/>
      <c r="CG966" s="141"/>
      <c r="CH966" s="141"/>
      <c r="CI966" s="141"/>
      <c r="CJ966" s="141"/>
      <c r="CK966" s="141"/>
      <c r="CL966" s="141"/>
    </row>
    <row r="967" spans="74:90" ht="49.5" customHeight="1" x14ac:dyDescent="0.35">
      <c r="BV967" s="140"/>
      <c r="BY967" s="141"/>
      <c r="BZ967" s="141"/>
      <c r="CA967" s="141"/>
      <c r="CB967" s="141"/>
      <c r="CC967" s="141"/>
      <c r="CD967" s="141"/>
      <c r="CE967" s="141"/>
      <c r="CF967" s="141"/>
      <c r="CG967" s="141"/>
      <c r="CH967" s="141"/>
      <c r="CI967" s="141"/>
      <c r="CJ967" s="141"/>
      <c r="CK967" s="141"/>
      <c r="CL967" s="141"/>
    </row>
    <row r="968" spans="74:90" ht="49.5" customHeight="1" x14ac:dyDescent="0.35">
      <c r="BV968" s="140"/>
      <c r="BY968" s="141"/>
      <c r="BZ968" s="141"/>
      <c r="CA968" s="141"/>
      <c r="CB968" s="141"/>
      <c r="CC968" s="141"/>
      <c r="CD968" s="141"/>
      <c r="CE968" s="141"/>
      <c r="CF968" s="141"/>
      <c r="CG968" s="141"/>
      <c r="CH968" s="141"/>
      <c r="CI968" s="141"/>
      <c r="CJ968" s="141"/>
      <c r="CK968" s="141"/>
      <c r="CL968" s="141"/>
    </row>
    <row r="969" spans="74:90" ht="49.5" customHeight="1" x14ac:dyDescent="0.35">
      <c r="BV969" s="140"/>
      <c r="BY969" s="141"/>
      <c r="BZ969" s="141"/>
      <c r="CA969" s="141"/>
      <c r="CB969" s="141"/>
      <c r="CC969" s="141"/>
      <c r="CD969" s="141"/>
      <c r="CE969" s="141"/>
      <c r="CF969" s="141"/>
      <c r="CG969" s="141"/>
      <c r="CH969" s="141"/>
      <c r="CI969" s="141"/>
      <c r="CJ969" s="141"/>
      <c r="CK969" s="141"/>
      <c r="CL969" s="141"/>
    </row>
    <row r="970" spans="74:90" ht="49.5" customHeight="1" x14ac:dyDescent="0.35">
      <c r="BV970" s="140"/>
      <c r="BY970" s="141"/>
      <c r="BZ970" s="141"/>
      <c r="CA970" s="141"/>
      <c r="CB970" s="141"/>
      <c r="CC970" s="141"/>
      <c r="CD970" s="141"/>
      <c r="CE970" s="141"/>
      <c r="CF970" s="141"/>
      <c r="CG970" s="141"/>
      <c r="CH970" s="141"/>
      <c r="CI970" s="141"/>
      <c r="CJ970" s="141"/>
      <c r="CK970" s="141"/>
      <c r="CL970" s="141"/>
    </row>
    <row r="971" spans="74:90" ht="49.5" customHeight="1" x14ac:dyDescent="0.35">
      <c r="BV971" s="140"/>
      <c r="BY971" s="141"/>
      <c r="BZ971" s="141"/>
      <c r="CA971" s="141"/>
      <c r="CB971" s="141"/>
      <c r="CC971" s="141"/>
      <c r="CD971" s="141"/>
      <c r="CE971" s="141"/>
      <c r="CF971" s="141"/>
      <c r="CG971" s="141"/>
      <c r="CH971" s="141"/>
      <c r="CI971" s="141"/>
      <c r="CJ971" s="141"/>
      <c r="CK971" s="141"/>
      <c r="CL971" s="141"/>
    </row>
    <row r="972" spans="74:90" ht="49.5" customHeight="1" x14ac:dyDescent="0.35">
      <c r="BV972" s="140"/>
      <c r="BY972" s="141"/>
      <c r="BZ972" s="141"/>
      <c r="CA972" s="141"/>
      <c r="CB972" s="141"/>
      <c r="CC972" s="141"/>
      <c r="CD972" s="141"/>
      <c r="CE972" s="141"/>
      <c r="CF972" s="141"/>
      <c r="CG972" s="141"/>
      <c r="CH972" s="141"/>
      <c r="CI972" s="141"/>
      <c r="CJ972" s="141"/>
      <c r="CK972" s="141"/>
      <c r="CL972" s="141"/>
    </row>
    <row r="973" spans="74:90" ht="49.5" customHeight="1" x14ac:dyDescent="0.35">
      <c r="BV973" s="140"/>
      <c r="BY973" s="141"/>
      <c r="BZ973" s="141"/>
      <c r="CA973" s="141"/>
      <c r="CB973" s="141"/>
      <c r="CC973" s="141"/>
      <c r="CD973" s="141"/>
      <c r="CE973" s="141"/>
      <c r="CF973" s="141"/>
      <c r="CG973" s="141"/>
      <c r="CH973" s="141"/>
      <c r="CI973" s="141"/>
      <c r="CJ973" s="141"/>
      <c r="CK973" s="141"/>
      <c r="CL973" s="141"/>
    </row>
    <row r="974" spans="74:90" ht="49.5" customHeight="1" x14ac:dyDescent="0.35">
      <c r="BV974" s="140"/>
      <c r="BY974" s="141"/>
      <c r="BZ974" s="141"/>
      <c r="CA974" s="141"/>
      <c r="CB974" s="141"/>
      <c r="CC974" s="141"/>
      <c r="CD974" s="141"/>
      <c r="CE974" s="141"/>
      <c r="CF974" s="141"/>
      <c r="CG974" s="141"/>
      <c r="CH974" s="141"/>
      <c r="CI974" s="141"/>
      <c r="CJ974" s="141"/>
      <c r="CK974" s="141"/>
      <c r="CL974" s="141"/>
    </row>
    <row r="975" spans="74:90" ht="49.5" customHeight="1" x14ac:dyDescent="0.35">
      <c r="BV975" s="140"/>
      <c r="BY975" s="141"/>
      <c r="BZ975" s="141"/>
      <c r="CA975" s="141"/>
      <c r="CB975" s="141"/>
      <c r="CC975" s="141"/>
      <c r="CD975" s="141"/>
      <c r="CE975" s="141"/>
      <c r="CF975" s="141"/>
      <c r="CG975" s="141"/>
      <c r="CH975" s="141"/>
      <c r="CI975" s="141"/>
      <c r="CJ975" s="141"/>
      <c r="CK975" s="141"/>
      <c r="CL975" s="141"/>
    </row>
  </sheetData>
  <mergeCells count="84">
    <mergeCell ref="CL6:CL7"/>
    <mergeCell ref="BA6:BA7"/>
    <mergeCell ref="BB6:BB7"/>
    <mergeCell ref="BC6:BC7"/>
    <mergeCell ref="BD6:BD7"/>
    <mergeCell ref="BE6:BE7"/>
    <mergeCell ref="BF6:BF7"/>
    <mergeCell ref="BG6:BG7"/>
    <mergeCell ref="AP6:AP7"/>
    <mergeCell ref="AW6:AW7"/>
    <mergeCell ref="AX6:AX7"/>
    <mergeCell ref="AZ6:AZ7"/>
    <mergeCell ref="CK6:CK7"/>
    <mergeCell ref="AA6:AC6"/>
    <mergeCell ref="AD6:AF6"/>
    <mergeCell ref="AG6:AI6"/>
    <mergeCell ref="AJ6:AL6"/>
    <mergeCell ref="AM6:AO6"/>
    <mergeCell ref="V5:W5"/>
    <mergeCell ref="Y5:Z5"/>
    <mergeCell ref="A6:A7"/>
    <mergeCell ref="B6:B7"/>
    <mergeCell ref="C6:C7"/>
    <mergeCell ref="D6:D7"/>
    <mergeCell ref="E6:E7"/>
    <mergeCell ref="F6:H6"/>
    <mergeCell ref="I6:K6"/>
    <mergeCell ref="L6:N6"/>
    <mergeCell ref="O6:Q6"/>
    <mergeCell ref="R6:T6"/>
    <mergeCell ref="U6:W6"/>
    <mergeCell ref="X6:Z6"/>
    <mergeCell ref="G5:H5"/>
    <mergeCell ref="J5:K5"/>
    <mergeCell ref="M5:N5"/>
    <mergeCell ref="P5:Q5"/>
    <mergeCell ref="S5:T5"/>
    <mergeCell ref="AZ5:BF5"/>
    <mergeCell ref="BI5:BS5"/>
    <mergeCell ref="BV5:BX5"/>
    <mergeCell ref="CF5:CK5"/>
    <mergeCell ref="AB5:AC5"/>
    <mergeCell ref="AE5:AF5"/>
    <mergeCell ref="AH5:AI5"/>
    <mergeCell ref="AK5:AL5"/>
    <mergeCell ref="AN5:AP5"/>
    <mergeCell ref="AR5:AS5"/>
    <mergeCell ref="AU5:AV5"/>
    <mergeCell ref="BX6:BX7"/>
    <mergeCell ref="BY6:CJ6"/>
    <mergeCell ref="BQ6:BQ7"/>
    <mergeCell ref="BR6:BR7"/>
    <mergeCell ref="BS6:BS7"/>
    <mergeCell ref="BT6:BT7"/>
    <mergeCell ref="BU6:BU7"/>
    <mergeCell ref="BV6:BV7"/>
    <mergeCell ref="BW6:BW7"/>
    <mergeCell ref="CL47:CL48"/>
    <mergeCell ref="BD47:BD48"/>
    <mergeCell ref="BE47:BE48"/>
    <mergeCell ref="BF47:BF48"/>
    <mergeCell ref="BG47:BG48"/>
    <mergeCell ref="BH47:BH48"/>
    <mergeCell ref="BS47:BS48"/>
    <mergeCell ref="BU47:BU48"/>
    <mergeCell ref="BB47:BB48"/>
    <mergeCell ref="BC47:BC48"/>
    <mergeCell ref="A49:B49"/>
    <mergeCell ref="BW47:BW48"/>
    <mergeCell ref="CK47:CK48"/>
    <mergeCell ref="A47:B48"/>
    <mergeCell ref="C47:C48"/>
    <mergeCell ref="F47:AX47"/>
    <mergeCell ref="AZ47:AZ48"/>
    <mergeCell ref="BA47:BA48"/>
    <mergeCell ref="BO6:BO7"/>
    <mergeCell ref="BP6:BP7"/>
    <mergeCell ref="BH6:BH7"/>
    <mergeCell ref="BI6:BI7"/>
    <mergeCell ref="BJ6:BJ7"/>
    <mergeCell ref="BK6:BK7"/>
    <mergeCell ref="BL6:BL7"/>
    <mergeCell ref="BM6:BM7"/>
    <mergeCell ref="BN6:BN7"/>
  </mergeCells>
  <conditionalFormatting sqref="AZ8 AZ10:AZ45">
    <cfRule type="cellIs" dxfId="38" priority="1" operator="lessThan">
      <formula>0.5</formula>
    </cfRule>
  </conditionalFormatting>
  <conditionalFormatting sqref="BA8 BA10:BA45">
    <cfRule type="cellIs" dxfId="37" priority="2" operator="lessThan">
      <formula>0.2</formula>
    </cfRule>
  </conditionalFormatting>
  <conditionalFormatting sqref="BB8 BB10:BB45">
    <cfRule type="cellIs" dxfId="36" priority="3" operator="lessThan">
      <formula>0.4</formula>
    </cfRule>
  </conditionalFormatting>
  <conditionalFormatting sqref="BV8 BV10:BV45">
    <cfRule type="cellIs" dxfId="35" priority="4" operator="lessThan">
      <formula>23</formula>
    </cfRule>
    <cfRule type="cellIs" dxfId="34" priority="5" operator="greaterThan">
      <formula>22.99</formula>
    </cfRule>
  </conditionalFormatting>
  <conditionalFormatting sqref="BW8 BW10:BW45">
    <cfRule type="cellIs" dxfId="33" priority="6" operator="greaterThan">
      <formula>0</formula>
    </cfRule>
    <cfRule type="cellIs" dxfId="32" priority="7" operator="lessThan">
      <formula>0</formula>
    </cfRule>
  </conditionalFormatting>
  <conditionalFormatting sqref="BX8 BX10:BX45">
    <cfRule type="cellIs" dxfId="31" priority="8" operator="greaterThan">
      <formula>0</formula>
    </cfRule>
    <cfRule type="cellIs" dxfId="30" priority="9" operator="lessThan">
      <formula>0</formula>
    </cfRule>
  </conditionalFormatting>
  <conditionalFormatting sqref="CF8:CI8 CF10:CI45">
    <cfRule type="cellIs" dxfId="29" priority="12" operator="greaterThan">
      <formula>2.99%</formula>
    </cfRule>
  </conditionalFormatting>
  <conditionalFormatting sqref="CF8:CJ8 CF10:CJ45">
    <cfRule type="cellIs" dxfId="28" priority="13" operator="lessThan">
      <formula>3%</formula>
    </cfRule>
  </conditionalFormatting>
  <conditionalFormatting sqref="CK8:CL8 CK10:CL45">
    <cfRule type="cellIs" dxfId="27" priority="10" operator="greaterThan">
      <formula>0</formula>
    </cfRule>
    <cfRule type="cellIs" dxfId="26" priority="11" operator="lessThan">
      <formula>0</formula>
    </cfRule>
  </conditionalFormatting>
  <pageMargins left="0.25" right="0.25" top="0.75" bottom="0.75" header="0" footer="0"/>
  <pageSetup paperSize="9" fitToWidth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CG971"/>
  <sheetViews>
    <sheetView tabSelected="1" workbookViewId="0">
      <pane xSplit="2" ySplit="6" topLeftCell="BF32" activePane="bottomRight" state="frozen"/>
      <selection pane="topRight" activeCell="D1" sqref="D1"/>
      <selection pane="bottomLeft" activeCell="A8" sqref="A8"/>
      <selection pane="bottomRight" activeCell="BU48" sqref="BU48"/>
    </sheetView>
  </sheetViews>
  <sheetFormatPr defaultColWidth="14.453125" defaultRowHeight="15" customHeight="1" x14ac:dyDescent="0.45"/>
  <cols>
    <col min="1" max="1" width="12.6328125" style="454" hidden="1" customWidth="1"/>
    <col min="2" max="2" width="20" style="454" customWidth="1"/>
    <col min="3" max="3" width="16" style="454" hidden="1" customWidth="1"/>
    <col min="4" max="4" width="11.26953125" style="454" hidden="1" customWidth="1"/>
    <col min="5" max="5" width="18.7265625" style="454" hidden="1" customWidth="1"/>
    <col min="6" max="6" width="15.453125" style="454" hidden="1" customWidth="1"/>
    <col min="7" max="8" width="9.08984375" style="454" hidden="1" customWidth="1"/>
    <col min="9" max="9" width="10.7265625" style="454" hidden="1" customWidth="1"/>
    <col min="10" max="14" width="9.08984375" style="454" hidden="1" customWidth="1"/>
    <col min="15" max="15" width="11.81640625" style="454" hidden="1" customWidth="1"/>
    <col min="16" max="17" width="9.08984375" style="454" hidden="1" customWidth="1"/>
    <col min="18" max="18" width="11.453125" style="454" hidden="1" customWidth="1"/>
    <col min="19" max="19" width="9.08984375" style="454" hidden="1" customWidth="1"/>
    <col min="20" max="20" width="10.7265625" style="454" hidden="1" customWidth="1"/>
    <col min="21" max="22" width="9.08984375" style="454" hidden="1" customWidth="1"/>
    <col min="23" max="23" width="9.81640625" style="454" hidden="1" customWidth="1"/>
    <col min="24" max="25" width="9.08984375" style="454" hidden="1" customWidth="1"/>
    <col min="26" max="26" width="11.54296875" style="454" hidden="1" customWidth="1"/>
    <col min="27" max="28" width="9.08984375" style="454" hidden="1" customWidth="1"/>
    <col min="29" max="29" width="11.26953125" style="454" hidden="1" customWidth="1"/>
    <col min="30" max="31" width="9.08984375" style="454" hidden="1" customWidth="1"/>
    <col min="32" max="32" width="11.54296875" style="454" hidden="1" customWidth="1"/>
    <col min="33" max="37" width="9.08984375" style="454" hidden="1" customWidth="1"/>
    <col min="38" max="38" width="11.08984375" style="454" hidden="1" customWidth="1"/>
    <col min="39" max="39" width="10.7265625" style="454" hidden="1" customWidth="1"/>
    <col min="40" max="46" width="9.08984375" style="454" hidden="1" customWidth="1"/>
    <col min="47" max="47" width="15" style="454" hidden="1" customWidth="1"/>
    <col min="48" max="48" width="13.08984375" style="454" hidden="1" customWidth="1"/>
    <col min="49" max="49" width="12.08984375" style="454" hidden="1" customWidth="1"/>
    <col min="50" max="50" width="14" style="454" hidden="1" customWidth="1"/>
    <col min="51" max="51" width="9.81640625" style="454" hidden="1" customWidth="1"/>
    <col min="52" max="52" width="11.26953125" style="454" hidden="1" customWidth="1"/>
    <col min="53" max="53" width="11.81640625" style="454" hidden="1" customWidth="1"/>
    <col min="54" max="54" width="11.453125" style="454" hidden="1" customWidth="1"/>
    <col min="55" max="55" width="18.26953125" style="454" hidden="1" customWidth="1"/>
    <col min="56" max="56" width="10.36328125" style="454" customWidth="1"/>
    <col min="57" max="57" width="16.90625" style="454" customWidth="1"/>
    <col min="58" max="58" width="18.08984375" style="454" customWidth="1"/>
    <col min="59" max="59" width="9.08984375" style="454" customWidth="1"/>
    <col min="60" max="60" width="15.81640625" style="454" customWidth="1"/>
    <col min="61" max="61" width="13.7265625" style="454" bestFit="1" customWidth="1"/>
    <col min="62" max="62" width="15.54296875" style="454" customWidth="1"/>
    <col min="63" max="63" width="14" style="454" hidden="1" customWidth="1"/>
    <col min="64" max="64" width="13.36328125" style="454" customWidth="1"/>
    <col min="65" max="65" width="8.984375E-2" style="454" customWidth="1"/>
    <col min="66" max="66" width="8.26953125" style="454" hidden="1" customWidth="1"/>
    <col min="67" max="67" width="11.54296875" style="454" hidden="1" customWidth="1"/>
    <col min="68" max="68" width="28.90625" style="454" hidden="1" customWidth="1"/>
    <col min="69" max="69" width="18.36328125" style="454" hidden="1" customWidth="1"/>
    <col min="70" max="70" width="14.90625" style="454" customWidth="1"/>
    <col min="71" max="71" width="17.81640625" style="454" customWidth="1"/>
    <col min="72" max="72" width="9.08984375" style="454" customWidth="1"/>
    <col min="73" max="73" width="17.6328125" style="454" bestFit="1" customWidth="1"/>
    <col min="74" max="74" width="9.08984375" style="454" customWidth="1"/>
    <col min="75" max="77" width="12.81640625" style="454" bestFit="1" customWidth="1"/>
    <col min="78" max="78" width="11.54296875" style="454" bestFit="1" customWidth="1"/>
    <col min="79" max="79" width="9.08984375" style="454" customWidth="1"/>
    <col min="80" max="80" width="13.7265625" style="454" customWidth="1"/>
    <col min="81" max="82" width="9.08984375" style="454" customWidth="1"/>
    <col min="83" max="83" width="16.54296875" style="454" customWidth="1"/>
    <col min="84" max="84" width="15.7265625" style="454" bestFit="1" customWidth="1"/>
    <col min="85" max="85" width="9" style="454" customWidth="1"/>
    <col min="86" max="16384" width="14.453125" style="454"/>
  </cols>
  <sheetData>
    <row r="1" spans="1:85" ht="21.75" customHeight="1" x14ac:dyDescent="0.45">
      <c r="A1" s="448" t="s">
        <v>3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  <c r="AA1" s="449"/>
      <c r="AB1" s="449"/>
      <c r="AC1" s="449"/>
      <c r="AD1" s="449"/>
      <c r="AE1" s="449"/>
      <c r="AF1" s="449"/>
      <c r="AG1" s="449"/>
      <c r="AH1" s="449"/>
      <c r="AI1" s="449"/>
      <c r="AJ1" s="449"/>
      <c r="AK1" s="449"/>
      <c r="AL1" s="449"/>
      <c r="AM1" s="449"/>
      <c r="AN1" s="449"/>
      <c r="AO1" s="449"/>
      <c r="AP1" s="449"/>
      <c r="AQ1" s="449"/>
      <c r="AR1" s="449"/>
      <c r="AS1" s="449"/>
      <c r="AT1" s="449"/>
      <c r="AU1" s="449"/>
      <c r="AV1" s="449"/>
      <c r="AW1" s="449"/>
      <c r="AX1" s="449"/>
      <c r="AY1" s="449"/>
      <c r="AZ1" s="449"/>
      <c r="BA1" s="449"/>
      <c r="BB1" s="449"/>
      <c r="BC1" s="449"/>
      <c r="BD1" s="451"/>
      <c r="BE1" s="449"/>
      <c r="BF1" s="449"/>
      <c r="BG1" s="449"/>
      <c r="BH1" s="449"/>
      <c r="BI1" s="449"/>
      <c r="BJ1" s="449"/>
      <c r="BK1" s="449"/>
      <c r="BL1" s="449"/>
      <c r="BM1" s="449"/>
      <c r="BN1" s="449"/>
      <c r="BO1" s="449"/>
      <c r="BP1" s="450"/>
      <c r="BQ1" s="449"/>
      <c r="BR1" s="451"/>
      <c r="BS1" s="449"/>
      <c r="BT1" s="449"/>
      <c r="BU1" s="449"/>
      <c r="BV1" s="449"/>
      <c r="BW1" s="449"/>
      <c r="BX1" s="449"/>
      <c r="BY1" s="449"/>
      <c r="BZ1" s="449"/>
      <c r="CA1" s="449"/>
      <c r="CB1" s="449"/>
      <c r="CC1" s="449"/>
      <c r="CD1" s="449"/>
      <c r="CE1" s="452"/>
      <c r="CF1" s="453"/>
    </row>
    <row r="2" spans="1:85" ht="1.5" customHeight="1" x14ac:dyDescent="0.45">
      <c r="A2" s="455"/>
      <c r="B2" s="456"/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  <c r="AB2" s="456"/>
      <c r="AC2" s="456"/>
      <c r="AD2" s="456"/>
      <c r="AE2" s="456"/>
      <c r="AF2" s="456"/>
      <c r="AG2" s="456"/>
      <c r="AH2" s="456"/>
      <c r="AI2" s="456"/>
      <c r="AJ2" s="456"/>
      <c r="AK2" s="456"/>
      <c r="AL2" s="456"/>
      <c r="AM2" s="456"/>
      <c r="AN2" s="456"/>
      <c r="AO2" s="456"/>
      <c r="AP2" s="456"/>
      <c r="AQ2" s="456"/>
      <c r="AR2" s="456"/>
      <c r="AS2" s="456"/>
      <c r="AT2" s="456"/>
      <c r="AU2" s="456"/>
      <c r="AV2" s="456"/>
      <c r="AW2" s="456"/>
      <c r="AX2" s="456"/>
      <c r="AY2" s="456"/>
      <c r="AZ2" s="456"/>
      <c r="BA2" s="456"/>
      <c r="BB2" s="456"/>
      <c r="BC2" s="456"/>
      <c r="BD2" s="451"/>
      <c r="BE2" s="456"/>
      <c r="BF2" s="456"/>
      <c r="BG2" s="456"/>
      <c r="BH2" s="456"/>
      <c r="BI2" s="456"/>
      <c r="BJ2" s="456"/>
      <c r="BK2" s="456"/>
      <c r="BL2" s="456"/>
      <c r="BM2" s="456"/>
      <c r="BN2" s="456"/>
      <c r="BO2" s="456"/>
      <c r="BP2" s="456"/>
      <c r="BQ2" s="456"/>
      <c r="BR2" s="451"/>
      <c r="BS2" s="456"/>
      <c r="BT2" s="456"/>
      <c r="BU2" s="456"/>
      <c r="BV2" s="456"/>
      <c r="BW2" s="456"/>
      <c r="BX2" s="456"/>
      <c r="BY2" s="456"/>
      <c r="BZ2" s="456"/>
      <c r="CA2" s="456"/>
      <c r="CB2" s="456"/>
      <c r="CC2" s="456"/>
      <c r="CD2" s="456"/>
      <c r="CE2" s="457"/>
      <c r="CF2" s="453"/>
    </row>
    <row r="3" spans="1:85" ht="16.5" customHeight="1" x14ac:dyDescent="0.45">
      <c r="A3" s="458" t="s">
        <v>248</v>
      </c>
      <c r="B3" s="459"/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459"/>
      <c r="O3" s="459"/>
      <c r="P3" s="459"/>
      <c r="Q3" s="459"/>
      <c r="R3" s="459"/>
      <c r="S3" s="459"/>
      <c r="T3" s="459"/>
      <c r="U3" s="459"/>
      <c r="V3" s="459"/>
      <c r="W3" s="459"/>
      <c r="X3" s="459"/>
      <c r="Y3" s="459"/>
      <c r="Z3" s="459"/>
      <c r="AA3" s="459"/>
      <c r="AB3" s="459"/>
      <c r="AC3" s="459"/>
      <c r="AD3" s="459"/>
      <c r="AE3" s="459"/>
      <c r="AF3" s="459"/>
      <c r="AG3" s="459"/>
      <c r="AH3" s="459"/>
      <c r="AI3" s="459"/>
      <c r="AJ3" s="459"/>
      <c r="AK3" s="459"/>
      <c r="AL3" s="459"/>
      <c r="AM3" s="459"/>
      <c r="AN3" s="459"/>
      <c r="AO3" s="459"/>
      <c r="AP3" s="459"/>
      <c r="AQ3" s="459"/>
      <c r="AR3" s="459"/>
      <c r="AS3" s="459"/>
      <c r="AT3" s="459"/>
      <c r="AU3" s="459"/>
      <c r="AV3" s="459"/>
      <c r="AW3" s="459"/>
      <c r="AX3" s="459"/>
      <c r="AY3" s="459"/>
      <c r="AZ3" s="459"/>
      <c r="BA3" s="459"/>
      <c r="BB3" s="459"/>
      <c r="BC3" s="459"/>
      <c r="BD3" s="460"/>
      <c r="BE3" s="459"/>
      <c r="BF3" s="459"/>
      <c r="BG3" s="459"/>
      <c r="BH3" s="459"/>
      <c r="BI3" s="459"/>
      <c r="BJ3" s="459"/>
      <c r="BK3" s="459"/>
      <c r="BL3" s="459"/>
      <c r="BM3" s="459"/>
      <c r="BN3" s="459"/>
      <c r="BO3" s="459"/>
      <c r="BP3" s="459"/>
      <c r="BQ3" s="459"/>
      <c r="BR3" s="460"/>
      <c r="BS3" s="461" t="s">
        <v>249</v>
      </c>
      <c r="BT3" s="459"/>
      <c r="BU3" s="459"/>
      <c r="BV3" s="459"/>
      <c r="BW3" s="459"/>
      <c r="BX3" s="459"/>
      <c r="BY3" s="459"/>
      <c r="BZ3" s="459"/>
      <c r="CA3" s="459"/>
      <c r="CB3" s="459"/>
      <c r="CC3" s="459"/>
      <c r="CD3" s="459"/>
      <c r="CE3" s="462"/>
      <c r="CF3" s="463"/>
      <c r="CG3" s="464"/>
    </row>
    <row r="4" spans="1:85" ht="9.75" customHeight="1" x14ac:dyDescent="0.45">
      <c r="A4" s="465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  <c r="N4" s="466"/>
      <c r="O4" s="466"/>
      <c r="P4" s="466"/>
      <c r="Q4" s="466"/>
      <c r="R4" s="466"/>
      <c r="S4" s="466"/>
      <c r="T4" s="466"/>
      <c r="U4" s="466"/>
      <c r="V4" s="466"/>
      <c r="W4" s="466"/>
      <c r="X4" s="466"/>
      <c r="Y4" s="466"/>
      <c r="Z4" s="466"/>
      <c r="AA4" s="466"/>
      <c r="AB4" s="466"/>
      <c r="AC4" s="466"/>
      <c r="AD4" s="466"/>
      <c r="AE4" s="466"/>
      <c r="AF4" s="466"/>
      <c r="AG4" s="466"/>
      <c r="AH4" s="466"/>
      <c r="AI4" s="466"/>
      <c r="AJ4" s="466"/>
      <c r="AK4" s="466"/>
      <c r="AL4" s="466"/>
      <c r="AM4" s="466"/>
      <c r="AN4" s="466"/>
      <c r="AO4" s="466"/>
      <c r="AP4" s="466"/>
      <c r="AQ4" s="466"/>
      <c r="AR4" s="466"/>
      <c r="AS4" s="466"/>
      <c r="AT4" s="466"/>
      <c r="AU4" s="466"/>
      <c r="AV4" s="466"/>
      <c r="AW4" s="466"/>
      <c r="AX4" s="466"/>
      <c r="AY4" s="466"/>
      <c r="AZ4" s="466"/>
      <c r="BA4" s="466"/>
      <c r="BB4" s="466"/>
      <c r="BC4" s="466"/>
      <c r="BD4" s="460"/>
      <c r="BE4" s="466"/>
      <c r="BF4" s="466"/>
      <c r="BG4" s="466"/>
      <c r="BH4" s="466"/>
      <c r="BI4" s="466"/>
      <c r="BJ4" s="466"/>
      <c r="BK4" s="466"/>
      <c r="BL4" s="466"/>
      <c r="BM4" s="466"/>
      <c r="BN4" s="466"/>
      <c r="BO4" s="466"/>
      <c r="BP4" s="466"/>
      <c r="BQ4" s="466"/>
      <c r="BR4" s="460"/>
      <c r="BS4" s="466"/>
      <c r="BT4" s="466"/>
      <c r="BU4" s="466"/>
      <c r="BV4" s="466"/>
      <c r="BW4" s="466"/>
      <c r="BX4" s="466"/>
      <c r="BY4" s="466"/>
      <c r="BZ4" s="466"/>
      <c r="CA4" s="466"/>
      <c r="CB4" s="466"/>
      <c r="CC4" s="466"/>
      <c r="CD4" s="466"/>
      <c r="CE4" s="467"/>
      <c r="CF4" s="463"/>
      <c r="CG4" s="464"/>
    </row>
    <row r="5" spans="1:85" ht="27" customHeight="1" x14ac:dyDescent="0.45">
      <c r="A5" s="584" t="s">
        <v>22</v>
      </c>
      <c r="B5" s="496" t="s">
        <v>24</v>
      </c>
      <c r="C5" s="496" t="s">
        <v>26</v>
      </c>
      <c r="D5" s="497" t="s">
        <v>27</v>
      </c>
      <c r="E5" s="498"/>
      <c r="F5" s="498"/>
      <c r="G5" s="499" t="s">
        <v>28</v>
      </c>
      <c r="H5" s="500"/>
      <c r="I5" s="501"/>
      <c r="J5" s="499" t="s">
        <v>29</v>
      </c>
      <c r="K5" s="500"/>
      <c r="L5" s="501"/>
      <c r="M5" s="499" t="s">
        <v>30</v>
      </c>
      <c r="N5" s="500"/>
      <c r="O5" s="501"/>
      <c r="P5" s="499" t="s">
        <v>31</v>
      </c>
      <c r="Q5" s="500"/>
      <c r="R5" s="501"/>
      <c r="S5" s="499" t="s">
        <v>32</v>
      </c>
      <c r="T5" s="501"/>
      <c r="U5" s="499" t="s">
        <v>33</v>
      </c>
      <c r="V5" s="500"/>
      <c r="W5" s="501"/>
      <c r="X5" s="499" t="s">
        <v>34</v>
      </c>
      <c r="Y5" s="500"/>
      <c r="Z5" s="501"/>
      <c r="AA5" s="499" t="s">
        <v>35</v>
      </c>
      <c r="AB5" s="500"/>
      <c r="AC5" s="501"/>
      <c r="AD5" s="499" t="s">
        <v>36</v>
      </c>
      <c r="AE5" s="500"/>
      <c r="AF5" s="501"/>
      <c r="AG5" s="499" t="s">
        <v>37</v>
      </c>
      <c r="AH5" s="500"/>
      <c r="AI5" s="501"/>
      <c r="AJ5" s="499" t="s">
        <v>38</v>
      </c>
      <c r="AK5" s="500"/>
      <c r="AL5" s="500"/>
      <c r="AM5" s="502" t="s">
        <v>40</v>
      </c>
      <c r="AN5" s="503"/>
      <c r="AO5" s="503"/>
      <c r="AP5" s="503"/>
      <c r="AQ5" s="503"/>
      <c r="AR5" s="503"/>
      <c r="AS5" s="503"/>
      <c r="AT5" s="504" t="s">
        <v>41</v>
      </c>
      <c r="AU5" s="502" t="s">
        <v>42</v>
      </c>
      <c r="AV5" s="505"/>
      <c r="AW5" s="506" t="s">
        <v>43</v>
      </c>
      <c r="AX5" s="507" t="s">
        <v>44</v>
      </c>
      <c r="AY5" s="507" t="s">
        <v>45</v>
      </c>
      <c r="AZ5" s="507" t="s">
        <v>46</v>
      </c>
      <c r="BA5" s="507" t="s">
        <v>47</v>
      </c>
      <c r="BB5" s="507" t="s">
        <v>48</v>
      </c>
      <c r="BC5" s="547" t="s">
        <v>49</v>
      </c>
      <c r="BD5" s="550" t="s">
        <v>23</v>
      </c>
      <c r="BE5" s="506" t="s">
        <v>50</v>
      </c>
      <c r="BF5" s="508" t="s">
        <v>51</v>
      </c>
      <c r="BG5" s="508" t="s">
        <v>52</v>
      </c>
      <c r="BH5" s="509" t="s">
        <v>53</v>
      </c>
      <c r="BI5" s="509" t="s">
        <v>54</v>
      </c>
      <c r="BJ5" s="510" t="s">
        <v>55</v>
      </c>
      <c r="BK5" s="510" t="s">
        <v>56</v>
      </c>
      <c r="BL5" s="510" t="s">
        <v>381</v>
      </c>
      <c r="BM5" s="510" t="s">
        <v>58</v>
      </c>
      <c r="BN5" s="510" t="s">
        <v>59</v>
      </c>
      <c r="BO5" s="510" t="s">
        <v>60</v>
      </c>
      <c r="BP5" s="510" t="s">
        <v>62</v>
      </c>
      <c r="BQ5" s="511" t="s">
        <v>63</v>
      </c>
      <c r="BR5" s="582" t="s">
        <v>59</v>
      </c>
      <c r="BS5" s="512" t="s">
        <v>64</v>
      </c>
      <c r="BT5" s="513" t="s">
        <v>65</v>
      </c>
      <c r="BU5" s="496" t="s">
        <v>8</v>
      </c>
      <c r="BV5" s="496" t="s">
        <v>66</v>
      </c>
      <c r="BW5" s="514" t="s">
        <v>67</v>
      </c>
      <c r="BX5" s="500"/>
      <c r="BY5" s="500"/>
      <c r="BZ5" s="500"/>
      <c r="CA5" s="500"/>
      <c r="CB5" s="500"/>
      <c r="CC5" s="500"/>
      <c r="CD5" s="500"/>
      <c r="CE5" s="515" t="s">
        <v>113</v>
      </c>
      <c r="CF5" s="515" t="s">
        <v>114</v>
      </c>
      <c r="CG5" s="468"/>
    </row>
    <row r="6" spans="1:85" ht="32.5" customHeight="1" x14ac:dyDescent="0.45">
      <c r="A6" s="585"/>
      <c r="B6" s="516"/>
      <c r="C6" s="516"/>
      <c r="D6" s="517" t="s">
        <v>69</v>
      </c>
      <c r="E6" s="494" t="s">
        <v>70</v>
      </c>
      <c r="F6" s="518" t="s">
        <v>71</v>
      </c>
      <c r="G6" s="519" t="s">
        <v>72</v>
      </c>
      <c r="H6" s="495" t="s">
        <v>70</v>
      </c>
      <c r="I6" s="520" t="s">
        <v>71</v>
      </c>
      <c r="J6" s="521" t="s">
        <v>73</v>
      </c>
      <c r="K6" s="494" t="s">
        <v>70</v>
      </c>
      <c r="L6" s="522" t="s">
        <v>71</v>
      </c>
      <c r="M6" s="517" t="s">
        <v>74</v>
      </c>
      <c r="N6" s="494" t="s">
        <v>70</v>
      </c>
      <c r="O6" s="522" t="s">
        <v>71</v>
      </c>
      <c r="P6" s="517" t="s">
        <v>31</v>
      </c>
      <c r="Q6" s="494" t="s">
        <v>70</v>
      </c>
      <c r="R6" s="522" t="s">
        <v>71</v>
      </c>
      <c r="S6" s="517" t="s">
        <v>75</v>
      </c>
      <c r="T6" s="522" t="s">
        <v>71</v>
      </c>
      <c r="U6" s="517" t="s">
        <v>76</v>
      </c>
      <c r="V6" s="494" t="s">
        <v>70</v>
      </c>
      <c r="W6" s="522" t="s">
        <v>71</v>
      </c>
      <c r="X6" s="517" t="s">
        <v>77</v>
      </c>
      <c r="Y6" s="494" t="s">
        <v>70</v>
      </c>
      <c r="Z6" s="522" t="s">
        <v>71</v>
      </c>
      <c r="AA6" s="517" t="s">
        <v>79</v>
      </c>
      <c r="AB6" s="494" t="s">
        <v>70</v>
      </c>
      <c r="AC6" s="522" t="s">
        <v>71</v>
      </c>
      <c r="AD6" s="523" t="s">
        <v>80</v>
      </c>
      <c r="AE6" s="494" t="s">
        <v>70</v>
      </c>
      <c r="AF6" s="522" t="s">
        <v>71</v>
      </c>
      <c r="AG6" s="517" t="s">
        <v>82</v>
      </c>
      <c r="AH6" s="494" t="s">
        <v>70</v>
      </c>
      <c r="AI6" s="522" t="s">
        <v>71</v>
      </c>
      <c r="AJ6" s="517" t="s">
        <v>83</v>
      </c>
      <c r="AK6" s="494" t="s">
        <v>70</v>
      </c>
      <c r="AL6" s="518" t="s">
        <v>71</v>
      </c>
      <c r="AM6" s="516"/>
      <c r="AN6" s="519" t="s">
        <v>84</v>
      </c>
      <c r="AO6" s="495" t="s">
        <v>85</v>
      </c>
      <c r="AP6" s="520" t="s">
        <v>86</v>
      </c>
      <c r="AQ6" s="519" t="s">
        <v>87</v>
      </c>
      <c r="AR6" s="495" t="s">
        <v>88</v>
      </c>
      <c r="AS6" s="520" t="s">
        <v>86</v>
      </c>
      <c r="AT6" s="516"/>
      <c r="AU6" s="516"/>
      <c r="AV6" s="524" t="s">
        <v>89</v>
      </c>
      <c r="AW6" s="525"/>
      <c r="AX6" s="516"/>
      <c r="AY6" s="516"/>
      <c r="AZ6" s="516"/>
      <c r="BA6" s="516"/>
      <c r="BB6" s="516"/>
      <c r="BC6" s="527"/>
      <c r="BD6" s="551"/>
      <c r="BE6" s="548"/>
      <c r="BF6" s="552"/>
      <c r="BG6" s="516"/>
      <c r="BH6" s="516"/>
      <c r="BI6" s="516"/>
      <c r="BJ6" s="516"/>
      <c r="BK6" s="516"/>
      <c r="BL6" s="526"/>
      <c r="BM6" s="516"/>
      <c r="BN6" s="516"/>
      <c r="BO6" s="516"/>
      <c r="BP6" s="516"/>
      <c r="BQ6" s="527"/>
      <c r="BR6" s="583"/>
      <c r="BS6" s="581"/>
      <c r="BT6" s="516"/>
      <c r="BU6" s="516"/>
      <c r="BV6" s="516"/>
      <c r="BW6" s="528" t="s">
        <v>90</v>
      </c>
      <c r="BX6" s="528" t="s">
        <v>91</v>
      </c>
      <c r="BY6" s="528" t="s">
        <v>92</v>
      </c>
      <c r="BZ6" s="528" t="s">
        <v>93</v>
      </c>
      <c r="CA6" s="529" t="s">
        <v>90</v>
      </c>
      <c r="CB6" s="529" t="s">
        <v>91</v>
      </c>
      <c r="CC6" s="529" t="s">
        <v>92</v>
      </c>
      <c r="CD6" s="529" t="s">
        <v>93</v>
      </c>
      <c r="CE6" s="516"/>
      <c r="CF6" s="516"/>
      <c r="CG6" s="468"/>
    </row>
    <row r="7" spans="1:85" ht="18.75" customHeight="1" x14ac:dyDescent="0.45">
      <c r="A7" s="469">
        <f>A6+1</f>
        <v>1</v>
      </c>
      <c r="B7" s="470" t="s">
        <v>9</v>
      </c>
      <c r="C7" s="470"/>
      <c r="D7" s="471"/>
      <c r="E7" s="472">
        <v>40</v>
      </c>
      <c r="F7" s="473">
        <f t="shared" ref="F7:F16" si="0">SUM(D7*E7)</f>
        <v>0</v>
      </c>
      <c r="G7" s="474">
        <v>10756</v>
      </c>
      <c r="H7" s="475">
        <v>50</v>
      </c>
      <c r="I7" s="473">
        <f t="shared" ref="I7:I45" si="1">H7*G7</f>
        <v>537800</v>
      </c>
      <c r="J7" s="471"/>
      <c r="K7" s="476">
        <v>60</v>
      </c>
      <c r="L7" s="473">
        <f t="shared" ref="L7:L45" si="2">K7*J7</f>
        <v>0</v>
      </c>
      <c r="M7" s="471">
        <v>3758</v>
      </c>
      <c r="N7" s="476">
        <v>15</v>
      </c>
      <c r="O7" s="473">
        <f t="shared" ref="O7:O45" si="3">M7*N7</f>
        <v>56370</v>
      </c>
      <c r="P7" s="471">
        <v>1450</v>
      </c>
      <c r="Q7" s="477">
        <v>12</v>
      </c>
      <c r="R7" s="473">
        <f t="shared" ref="R7:R45" si="4">P7*Q7</f>
        <v>17400</v>
      </c>
      <c r="S7" s="471">
        <v>940</v>
      </c>
      <c r="T7" s="473">
        <f t="shared" ref="T7:T45" si="5">S7*8</f>
        <v>7520</v>
      </c>
      <c r="U7" s="471">
        <v>412</v>
      </c>
      <c r="V7" s="476">
        <v>12</v>
      </c>
      <c r="W7" s="473">
        <f t="shared" ref="W7:W45" si="6">U7*V7</f>
        <v>4944</v>
      </c>
      <c r="X7" s="471">
        <v>1031</v>
      </c>
      <c r="Y7" s="476">
        <v>10</v>
      </c>
      <c r="Z7" s="473">
        <f t="shared" ref="Z7:Z45" si="7">X7*Y7</f>
        <v>10310</v>
      </c>
      <c r="AA7" s="471">
        <v>260</v>
      </c>
      <c r="AB7" s="476">
        <v>25</v>
      </c>
      <c r="AC7" s="473">
        <f t="shared" ref="AC7:AC45" si="8">AA7*AB7</f>
        <v>6500</v>
      </c>
      <c r="AD7" s="471"/>
      <c r="AE7" s="476">
        <v>7.5</v>
      </c>
      <c r="AF7" s="473">
        <f t="shared" ref="AF7:AF45" si="9">AD7*AE7</f>
        <v>0</v>
      </c>
      <c r="AG7" s="471"/>
      <c r="AH7" s="475">
        <v>15</v>
      </c>
      <c r="AI7" s="473">
        <f t="shared" ref="AI7:AI45" si="10">AG7*AH7</f>
        <v>0</v>
      </c>
      <c r="AJ7" s="471">
        <v>249</v>
      </c>
      <c r="AK7" s="476">
        <v>10</v>
      </c>
      <c r="AL7" s="473">
        <f t="shared" ref="AL7:AL45" si="11">AJ7*AK7</f>
        <v>2490</v>
      </c>
      <c r="AM7" s="471">
        <f t="shared" ref="AM7:AM45" si="12">P7+S7+U7+X7+AA7+AD7+AJ7</f>
        <v>4342</v>
      </c>
      <c r="AN7" s="471"/>
      <c r="AO7" s="478"/>
      <c r="AP7" s="471"/>
      <c r="AQ7" s="471"/>
      <c r="AR7" s="473"/>
      <c r="AS7" s="471"/>
      <c r="AT7" s="471"/>
      <c r="AU7" s="479">
        <v>1734</v>
      </c>
      <c r="AV7" s="471"/>
      <c r="AW7" s="530">
        <f t="shared" ref="AW7:AW45" si="13">M7/(G7+D7+J7)</f>
        <v>0.34938638899219043</v>
      </c>
      <c r="AX7" s="530">
        <f t="shared" ref="AX7:AX45" si="14">AM7/(G7+D7+J7)</f>
        <v>0.40368166604685757</v>
      </c>
      <c r="AY7" s="530">
        <f t="shared" ref="AY7:AY45" si="15">AU7/M7</f>
        <v>0.46141564662054285</v>
      </c>
      <c r="AZ7" s="531">
        <f t="shared" ref="AZ7:AZ45" si="16">F7+T7+W7+Z7+AC7+R7+I7+L7</f>
        <v>584474</v>
      </c>
      <c r="BA7" s="531">
        <f t="shared" ref="BA7:BA45" si="17">F7+AC7+R7+I7+L7</f>
        <v>561700</v>
      </c>
      <c r="BB7" s="531">
        <f t="shared" ref="BB7:BB45" si="18">F7+T7+W7+Z7+AC7+R7+I7+L7</f>
        <v>584474</v>
      </c>
      <c r="BC7" s="531">
        <f t="shared" ref="BC7:BC45" si="19">F7+T7+W7+Z7+AC7+AF7+R7+I7+L7</f>
        <v>584474</v>
      </c>
      <c r="BD7" s="549">
        <v>5</v>
      </c>
      <c r="BE7" s="532">
        <v>684706</v>
      </c>
      <c r="BF7" s="532">
        <v>448274.89</v>
      </c>
      <c r="BG7" s="533">
        <f t="shared" ref="BG7:BG45" si="20">+BF7/BE7%</f>
        <v>65.469689180465778</v>
      </c>
      <c r="BH7" s="534">
        <f t="shared" ref="BH7:BH16" si="21">SUM(BW7+BX7+BY7+BZ7)</f>
        <v>53359</v>
      </c>
      <c r="BI7" s="535">
        <f t="shared" ref="BI7:BI16" si="22">SUM(CA7+CB7+CC7+CD7)</f>
        <v>7.7929797606563989E-2</v>
      </c>
      <c r="BJ7" s="536">
        <v>40900</v>
      </c>
      <c r="BK7" s="536"/>
      <c r="BL7" s="536">
        <v>437.5</v>
      </c>
      <c r="BM7" s="536"/>
      <c r="BN7" s="536"/>
      <c r="BO7" s="536"/>
      <c r="BP7" s="537"/>
      <c r="BQ7" s="536"/>
      <c r="BR7" s="538">
        <v>31500</v>
      </c>
      <c r="BS7" s="537">
        <v>173838.41</v>
      </c>
      <c r="BT7" s="539">
        <f>+BS7/BE7%</f>
        <v>25.388766857600196</v>
      </c>
      <c r="BU7" s="532">
        <f>SUM(BE7-BF7-BS7)</f>
        <v>62592.699999999983</v>
      </c>
      <c r="BV7" s="533">
        <f>+BU7/BE7%</f>
        <v>9.1415439619340244</v>
      </c>
      <c r="BW7" s="481">
        <v>22084</v>
      </c>
      <c r="BX7" s="481">
        <v>14319</v>
      </c>
      <c r="BY7" s="481">
        <v>12366</v>
      </c>
      <c r="BZ7" s="481">
        <v>4590</v>
      </c>
      <c r="CA7" s="482">
        <f>BW7/BE7</f>
        <v>3.2253259063013906E-2</v>
      </c>
      <c r="CB7" s="482">
        <f>BX7/BE7</f>
        <v>2.09126252727448E-2</v>
      </c>
      <c r="CC7" s="482">
        <f>BY7/BE7</f>
        <v>1.8060306175205123E-2</v>
      </c>
      <c r="CD7" s="482">
        <f>BZ7/BE7</f>
        <v>6.7036070956001557E-3</v>
      </c>
      <c r="CE7" s="480">
        <f>+BU7*10%</f>
        <v>6259.2699999999986</v>
      </c>
      <c r="CF7" s="483">
        <f>BU7*90%</f>
        <v>56333.429999999986</v>
      </c>
    </row>
    <row r="8" spans="1:85" ht="18.75" customHeight="1" x14ac:dyDescent="0.45">
      <c r="A8" s="469">
        <v>1</v>
      </c>
      <c r="B8" s="470" t="s">
        <v>4</v>
      </c>
      <c r="C8" s="470"/>
      <c r="D8" s="471"/>
      <c r="E8" s="472">
        <v>40</v>
      </c>
      <c r="F8" s="473">
        <f t="shared" si="0"/>
        <v>0</v>
      </c>
      <c r="G8" s="471">
        <v>9049</v>
      </c>
      <c r="H8" s="475">
        <v>50</v>
      </c>
      <c r="I8" s="473">
        <f t="shared" si="1"/>
        <v>452450</v>
      </c>
      <c r="J8" s="471"/>
      <c r="K8" s="476">
        <v>60</v>
      </c>
      <c r="L8" s="473">
        <f t="shared" si="2"/>
        <v>0</v>
      </c>
      <c r="M8" s="471">
        <v>3155</v>
      </c>
      <c r="N8" s="476">
        <v>15</v>
      </c>
      <c r="O8" s="473">
        <f t="shared" si="3"/>
        <v>47325</v>
      </c>
      <c r="P8" s="471">
        <v>1419</v>
      </c>
      <c r="Q8" s="477">
        <v>12</v>
      </c>
      <c r="R8" s="473">
        <f t="shared" si="4"/>
        <v>17028</v>
      </c>
      <c r="S8" s="471">
        <v>1089</v>
      </c>
      <c r="T8" s="473">
        <f t="shared" si="5"/>
        <v>8712</v>
      </c>
      <c r="U8" s="471">
        <v>388</v>
      </c>
      <c r="V8" s="476">
        <v>12</v>
      </c>
      <c r="W8" s="473">
        <f t="shared" si="6"/>
        <v>4656</v>
      </c>
      <c r="X8" s="471">
        <v>1240</v>
      </c>
      <c r="Y8" s="476">
        <v>10</v>
      </c>
      <c r="Z8" s="473">
        <f t="shared" si="7"/>
        <v>12400</v>
      </c>
      <c r="AA8" s="471">
        <v>230</v>
      </c>
      <c r="AB8" s="476">
        <v>230</v>
      </c>
      <c r="AC8" s="473">
        <f t="shared" si="8"/>
        <v>52900</v>
      </c>
      <c r="AD8" s="471"/>
      <c r="AE8" s="476">
        <v>7.5</v>
      </c>
      <c r="AF8" s="473">
        <f t="shared" si="9"/>
        <v>0</v>
      </c>
      <c r="AG8" s="471"/>
      <c r="AH8" s="475">
        <v>15</v>
      </c>
      <c r="AI8" s="473">
        <f t="shared" si="10"/>
        <v>0</v>
      </c>
      <c r="AJ8" s="471">
        <v>249</v>
      </c>
      <c r="AK8" s="476">
        <v>10</v>
      </c>
      <c r="AL8" s="473">
        <f t="shared" si="11"/>
        <v>2490</v>
      </c>
      <c r="AM8" s="471">
        <f t="shared" si="12"/>
        <v>4615</v>
      </c>
      <c r="AN8" s="471"/>
      <c r="AO8" s="478"/>
      <c r="AP8" s="471"/>
      <c r="AQ8" s="471"/>
      <c r="AR8" s="473"/>
      <c r="AS8" s="471"/>
      <c r="AT8" s="471"/>
      <c r="AU8" s="479">
        <v>1438</v>
      </c>
      <c r="AV8" s="471"/>
      <c r="AW8" s="530">
        <f t="shared" si="13"/>
        <v>0.34865731020002211</v>
      </c>
      <c r="AX8" s="530">
        <f t="shared" si="14"/>
        <v>0.5100011050944856</v>
      </c>
      <c r="AY8" s="530">
        <f t="shared" si="15"/>
        <v>0.45578446909667197</v>
      </c>
      <c r="AZ8" s="531">
        <f t="shared" si="16"/>
        <v>548146</v>
      </c>
      <c r="BA8" s="531">
        <f t="shared" si="17"/>
        <v>522378</v>
      </c>
      <c r="BB8" s="531">
        <f t="shared" si="18"/>
        <v>548146</v>
      </c>
      <c r="BC8" s="531">
        <f t="shared" si="19"/>
        <v>548146</v>
      </c>
      <c r="BD8" s="546">
        <v>4</v>
      </c>
      <c r="BE8" s="532">
        <v>584876</v>
      </c>
      <c r="BF8" s="532">
        <v>381559.3</v>
      </c>
      <c r="BG8" s="533">
        <f t="shared" si="20"/>
        <v>65.237640115169711</v>
      </c>
      <c r="BH8" s="534">
        <f t="shared" si="21"/>
        <v>39644</v>
      </c>
      <c r="BI8" s="535">
        <f t="shared" si="22"/>
        <v>6.7781888810619695E-2</v>
      </c>
      <c r="BJ8" s="536">
        <v>40350</v>
      </c>
      <c r="BK8" s="536"/>
      <c r="BL8" s="536">
        <v>125</v>
      </c>
      <c r="BM8" s="536"/>
      <c r="BN8" s="536"/>
      <c r="BO8" s="536"/>
      <c r="BP8" s="537"/>
      <c r="BQ8" s="536"/>
      <c r="BR8" s="536">
        <v>20000</v>
      </c>
      <c r="BS8" s="537">
        <v>133989.24</v>
      </c>
      <c r="BT8" s="539">
        <f>+BS8/BE8%</f>
        <v>22.908999514426988</v>
      </c>
      <c r="BU8" s="532">
        <f>SUM(BE8-BF8-BS8)</f>
        <v>69327.460000000021</v>
      </c>
      <c r="BV8" s="533">
        <f>+BU8/BE8%</f>
        <v>11.853360370403303</v>
      </c>
      <c r="BW8" s="481">
        <v>12578</v>
      </c>
      <c r="BX8" s="481">
        <v>9546</v>
      </c>
      <c r="BY8" s="481">
        <v>13740</v>
      </c>
      <c r="BZ8" s="481">
        <v>3780</v>
      </c>
      <c r="CA8" s="482">
        <f>BW8/BE8</f>
        <v>2.1505413113206903E-2</v>
      </c>
      <c r="CB8" s="482">
        <f>BX8/BE8</f>
        <v>1.6321408298511138E-2</v>
      </c>
      <c r="CC8" s="482">
        <f>BY8/BE8</f>
        <v>2.3492159021741361E-2</v>
      </c>
      <c r="CD8" s="482">
        <f>BZ8/BE8</f>
        <v>6.4629083771602872E-3</v>
      </c>
      <c r="CE8" s="480">
        <f>+BU8*10%</f>
        <v>6932.7460000000028</v>
      </c>
      <c r="CF8" s="483">
        <f>BU8*90%</f>
        <v>62394.714000000022</v>
      </c>
    </row>
    <row r="9" spans="1:85" ht="18.75" customHeight="1" x14ac:dyDescent="0.45">
      <c r="A9" s="469">
        <f t="shared" ref="A9:A24" si="23">A8+1</f>
        <v>2</v>
      </c>
      <c r="B9" s="470" t="s">
        <v>11</v>
      </c>
      <c r="C9" s="470"/>
      <c r="D9" s="471"/>
      <c r="E9" s="472">
        <v>40</v>
      </c>
      <c r="F9" s="473">
        <f t="shared" si="0"/>
        <v>0</v>
      </c>
      <c r="G9" s="471">
        <v>8117</v>
      </c>
      <c r="H9" s="475">
        <v>50</v>
      </c>
      <c r="I9" s="473">
        <f t="shared" si="1"/>
        <v>405850</v>
      </c>
      <c r="J9" s="471"/>
      <c r="K9" s="476">
        <v>60</v>
      </c>
      <c r="L9" s="473">
        <f t="shared" si="2"/>
        <v>0</v>
      </c>
      <c r="M9" s="471">
        <v>4767</v>
      </c>
      <c r="N9" s="476">
        <v>15</v>
      </c>
      <c r="O9" s="473">
        <f t="shared" si="3"/>
        <v>71505</v>
      </c>
      <c r="P9" s="471">
        <v>4570</v>
      </c>
      <c r="Q9" s="477">
        <v>12</v>
      </c>
      <c r="R9" s="473">
        <f t="shared" si="4"/>
        <v>54840</v>
      </c>
      <c r="S9" s="471">
        <v>1140</v>
      </c>
      <c r="T9" s="473">
        <f t="shared" si="5"/>
        <v>9120</v>
      </c>
      <c r="U9" s="471">
        <v>239</v>
      </c>
      <c r="V9" s="476">
        <v>12</v>
      </c>
      <c r="W9" s="473">
        <f t="shared" si="6"/>
        <v>2868</v>
      </c>
      <c r="X9" s="471">
        <v>1087</v>
      </c>
      <c r="Y9" s="476">
        <v>10</v>
      </c>
      <c r="Z9" s="473">
        <f t="shared" si="7"/>
        <v>10870</v>
      </c>
      <c r="AA9" s="471">
        <v>405</v>
      </c>
      <c r="AB9" s="476">
        <v>25</v>
      </c>
      <c r="AC9" s="473">
        <f t="shared" si="8"/>
        <v>10125</v>
      </c>
      <c r="AD9" s="471"/>
      <c r="AE9" s="476">
        <v>7.5</v>
      </c>
      <c r="AF9" s="473">
        <f t="shared" si="9"/>
        <v>0</v>
      </c>
      <c r="AG9" s="471"/>
      <c r="AH9" s="475">
        <v>15</v>
      </c>
      <c r="AI9" s="473">
        <f t="shared" si="10"/>
        <v>0</v>
      </c>
      <c r="AJ9" s="471">
        <v>278</v>
      </c>
      <c r="AK9" s="476">
        <v>10</v>
      </c>
      <c r="AL9" s="473">
        <f t="shared" si="11"/>
        <v>2780</v>
      </c>
      <c r="AM9" s="471">
        <f t="shared" si="12"/>
        <v>7719</v>
      </c>
      <c r="AN9" s="471"/>
      <c r="AO9" s="478"/>
      <c r="AP9" s="471"/>
      <c r="AQ9" s="471"/>
      <c r="AR9" s="473"/>
      <c r="AS9" s="471"/>
      <c r="AT9" s="471"/>
      <c r="AU9" s="479">
        <v>1537</v>
      </c>
      <c r="AV9" s="471"/>
      <c r="AW9" s="530">
        <f t="shared" si="13"/>
        <v>0.58728594308241966</v>
      </c>
      <c r="AX9" s="530">
        <f t="shared" si="14"/>
        <v>0.95096710607367252</v>
      </c>
      <c r="AY9" s="530">
        <f t="shared" si="15"/>
        <v>0.3224250052443885</v>
      </c>
      <c r="AZ9" s="531">
        <f t="shared" si="16"/>
        <v>493673</v>
      </c>
      <c r="BA9" s="531">
        <f t="shared" si="17"/>
        <v>470815</v>
      </c>
      <c r="BB9" s="531">
        <f t="shared" si="18"/>
        <v>493673</v>
      </c>
      <c r="BC9" s="531">
        <f t="shared" si="19"/>
        <v>493673</v>
      </c>
      <c r="BD9" s="546">
        <v>4</v>
      </c>
      <c r="BE9" s="532">
        <v>603883</v>
      </c>
      <c r="BF9" s="532">
        <v>399363.25</v>
      </c>
      <c r="BG9" s="533">
        <f t="shared" si="20"/>
        <v>66.13255382251198</v>
      </c>
      <c r="BH9" s="534">
        <f t="shared" si="21"/>
        <v>36734</v>
      </c>
      <c r="BI9" s="535">
        <f t="shared" si="22"/>
        <v>6.0829664024322591E-2</v>
      </c>
      <c r="BJ9" s="536">
        <v>43750</v>
      </c>
      <c r="BK9" s="536"/>
      <c r="BL9" s="536">
        <v>750</v>
      </c>
      <c r="BM9" s="536"/>
      <c r="BN9" s="536"/>
      <c r="BO9" s="536"/>
      <c r="BP9" s="537"/>
      <c r="BQ9" s="536"/>
      <c r="BR9" s="536">
        <v>16000</v>
      </c>
      <c r="BS9" s="537">
        <v>129355.62</v>
      </c>
      <c r="BT9" s="539">
        <f>+BS9/BE9%</f>
        <v>21.420642740398389</v>
      </c>
      <c r="BU9" s="532">
        <f>SUM(BE9-BF9-BS9)</f>
        <v>75164.13</v>
      </c>
      <c r="BV9" s="533">
        <f>+BU9/BE9%</f>
        <v>12.446803437089637</v>
      </c>
      <c r="BW9" s="481">
        <v>12726</v>
      </c>
      <c r="BX9" s="481">
        <v>9546</v>
      </c>
      <c r="BY9" s="481">
        <v>10992</v>
      </c>
      <c r="BZ9" s="481">
        <f>3240+230</f>
        <v>3470</v>
      </c>
      <c r="CA9" s="482">
        <f>BW9/BE9</f>
        <v>2.107361856518564E-2</v>
      </c>
      <c r="CB9" s="482">
        <f>BX9/BE9</f>
        <v>1.5807697848755471E-2</v>
      </c>
      <c r="CC9" s="482">
        <f>BY9/BE9</f>
        <v>1.8202201419811454E-2</v>
      </c>
      <c r="CD9" s="482">
        <f>BZ9/BE9</f>
        <v>5.7461461905700274E-3</v>
      </c>
      <c r="CE9" s="480">
        <f>+BU9*10%</f>
        <v>7516.4130000000005</v>
      </c>
      <c r="CF9" s="483">
        <f>BU9*90%</f>
        <v>67647.717000000004</v>
      </c>
    </row>
    <row r="10" spans="1:85" ht="18.75" customHeight="1" x14ac:dyDescent="0.45">
      <c r="A10" s="469">
        <f t="shared" si="23"/>
        <v>3</v>
      </c>
      <c r="B10" s="470" t="s">
        <v>105</v>
      </c>
      <c r="C10" s="470"/>
      <c r="D10" s="471"/>
      <c r="E10" s="472">
        <v>40</v>
      </c>
      <c r="F10" s="473">
        <f t="shared" si="0"/>
        <v>0</v>
      </c>
      <c r="G10" s="471">
        <v>4211</v>
      </c>
      <c r="H10" s="475">
        <v>50</v>
      </c>
      <c r="I10" s="473">
        <f t="shared" si="1"/>
        <v>210550</v>
      </c>
      <c r="J10" s="471"/>
      <c r="K10" s="476">
        <v>60</v>
      </c>
      <c r="L10" s="473">
        <f t="shared" si="2"/>
        <v>0</v>
      </c>
      <c r="M10" s="471">
        <v>2321</v>
      </c>
      <c r="N10" s="476">
        <v>15</v>
      </c>
      <c r="O10" s="473">
        <f t="shared" si="3"/>
        <v>34815</v>
      </c>
      <c r="P10" s="471">
        <v>4158</v>
      </c>
      <c r="Q10" s="477">
        <v>12</v>
      </c>
      <c r="R10" s="473">
        <f t="shared" si="4"/>
        <v>49896</v>
      </c>
      <c r="S10" s="471">
        <v>473</v>
      </c>
      <c r="T10" s="473">
        <f t="shared" si="5"/>
        <v>3784</v>
      </c>
      <c r="U10" s="471">
        <v>133</v>
      </c>
      <c r="V10" s="476">
        <v>12</v>
      </c>
      <c r="W10" s="473">
        <f t="shared" si="6"/>
        <v>1596</v>
      </c>
      <c r="X10" s="471">
        <v>520</v>
      </c>
      <c r="Y10" s="476">
        <v>10</v>
      </c>
      <c r="Z10" s="473">
        <f t="shared" si="7"/>
        <v>5200</v>
      </c>
      <c r="AA10" s="471">
        <v>251</v>
      </c>
      <c r="AB10" s="476">
        <v>25</v>
      </c>
      <c r="AC10" s="473">
        <f t="shared" si="8"/>
        <v>6275</v>
      </c>
      <c r="AD10" s="471"/>
      <c r="AE10" s="476">
        <v>7.5</v>
      </c>
      <c r="AF10" s="473">
        <f t="shared" si="9"/>
        <v>0</v>
      </c>
      <c r="AG10" s="471"/>
      <c r="AH10" s="475">
        <v>15</v>
      </c>
      <c r="AI10" s="473">
        <f t="shared" si="10"/>
        <v>0</v>
      </c>
      <c r="AJ10" s="471">
        <v>125</v>
      </c>
      <c r="AK10" s="476">
        <v>10</v>
      </c>
      <c r="AL10" s="473">
        <f t="shared" si="11"/>
        <v>1250</v>
      </c>
      <c r="AM10" s="471">
        <f t="shared" si="12"/>
        <v>5660</v>
      </c>
      <c r="AN10" s="471"/>
      <c r="AO10" s="478"/>
      <c r="AP10" s="471"/>
      <c r="AQ10" s="471"/>
      <c r="AR10" s="473"/>
      <c r="AS10" s="471"/>
      <c r="AT10" s="471"/>
      <c r="AU10" s="479">
        <v>1022</v>
      </c>
      <c r="AV10" s="471"/>
      <c r="AW10" s="530">
        <f t="shared" si="13"/>
        <v>0.55117549275706479</v>
      </c>
      <c r="AX10" s="530">
        <f t="shared" si="14"/>
        <v>1.3440987888862503</v>
      </c>
      <c r="AY10" s="540">
        <f t="shared" si="15"/>
        <v>0.44032744506678156</v>
      </c>
      <c r="AZ10" s="531">
        <f t="shared" si="16"/>
        <v>277301</v>
      </c>
      <c r="BA10" s="531">
        <f t="shared" si="17"/>
        <v>266721</v>
      </c>
      <c r="BB10" s="531">
        <f t="shared" si="18"/>
        <v>277301</v>
      </c>
      <c r="BC10" s="531">
        <f t="shared" si="19"/>
        <v>277301</v>
      </c>
      <c r="BD10" s="546">
        <v>2</v>
      </c>
      <c r="BE10" s="532">
        <v>337431</v>
      </c>
      <c r="BF10" s="532">
        <v>220271</v>
      </c>
      <c r="BG10" s="533">
        <f t="shared" si="20"/>
        <v>65.278827375078166</v>
      </c>
      <c r="BH10" s="534">
        <f t="shared" si="21"/>
        <v>30349.5</v>
      </c>
      <c r="BI10" s="535">
        <f t="shared" si="22"/>
        <v>8.9942832756919194E-2</v>
      </c>
      <c r="BJ10" s="536">
        <v>27550</v>
      </c>
      <c r="BK10" s="536"/>
      <c r="BL10" s="536">
        <v>2187.5</v>
      </c>
      <c r="BM10" s="536"/>
      <c r="BN10" s="536"/>
      <c r="BO10" s="536"/>
      <c r="BP10" s="537"/>
      <c r="BQ10" s="536"/>
      <c r="BR10" s="536">
        <v>8269</v>
      </c>
      <c r="BS10" s="537">
        <v>94441.49</v>
      </c>
      <c r="BT10" s="539">
        <f>+BS10/BE10%</f>
        <v>27.988385773684104</v>
      </c>
      <c r="BU10" s="532">
        <f>SUM(BE10-BF10-BS10)</f>
        <v>22718.509999999995</v>
      </c>
      <c r="BV10" s="533">
        <f>+BU10/BE10%</f>
        <v>6.7327868512377327</v>
      </c>
      <c r="BW10" s="481">
        <v>13943.5</v>
      </c>
      <c r="BX10" s="481">
        <v>7955</v>
      </c>
      <c r="BY10" s="481">
        <v>5496</v>
      </c>
      <c r="BZ10" s="481">
        <f>2430+525</f>
        <v>2955</v>
      </c>
      <c r="CA10" s="482">
        <f>BW10/BE10</f>
        <v>4.1322522234175284E-2</v>
      </c>
      <c r="CB10" s="482">
        <f>BX10/BE10</f>
        <v>2.3575190187030831E-2</v>
      </c>
      <c r="CC10" s="482">
        <f>BY10/BE10</f>
        <v>1.6287774389430729E-2</v>
      </c>
      <c r="CD10" s="482">
        <f>BZ10/BE10</f>
        <v>8.7573459462823508E-3</v>
      </c>
      <c r="CE10" s="480">
        <f>+BU10*10%</f>
        <v>2271.8509999999997</v>
      </c>
      <c r="CF10" s="483">
        <f>BU10*90%</f>
        <v>20446.658999999996</v>
      </c>
    </row>
    <row r="11" spans="1:85" ht="18.75" customHeight="1" x14ac:dyDescent="0.45">
      <c r="A11" s="469">
        <f t="shared" si="23"/>
        <v>4</v>
      </c>
      <c r="B11" s="470" t="s">
        <v>108</v>
      </c>
      <c r="C11" s="470"/>
      <c r="D11" s="471"/>
      <c r="E11" s="472">
        <v>40</v>
      </c>
      <c r="F11" s="473">
        <f t="shared" si="0"/>
        <v>0</v>
      </c>
      <c r="G11" s="471">
        <v>6012</v>
      </c>
      <c r="H11" s="475">
        <v>50</v>
      </c>
      <c r="I11" s="473">
        <f t="shared" si="1"/>
        <v>300600</v>
      </c>
      <c r="J11" s="471"/>
      <c r="K11" s="476">
        <v>60</v>
      </c>
      <c r="L11" s="473">
        <f t="shared" si="2"/>
        <v>0</v>
      </c>
      <c r="M11" s="471">
        <v>5874</v>
      </c>
      <c r="N11" s="476">
        <v>15</v>
      </c>
      <c r="O11" s="473">
        <f t="shared" si="3"/>
        <v>88110</v>
      </c>
      <c r="P11" s="471">
        <v>2782</v>
      </c>
      <c r="Q11" s="477">
        <v>12</v>
      </c>
      <c r="R11" s="473">
        <f t="shared" si="4"/>
        <v>33384</v>
      </c>
      <c r="S11" s="471">
        <v>1153</v>
      </c>
      <c r="T11" s="473">
        <f t="shared" si="5"/>
        <v>9224</v>
      </c>
      <c r="U11" s="471">
        <v>338</v>
      </c>
      <c r="V11" s="476">
        <v>12</v>
      </c>
      <c r="W11" s="473">
        <f t="shared" si="6"/>
        <v>4056</v>
      </c>
      <c r="X11" s="471">
        <v>1180</v>
      </c>
      <c r="Y11" s="476">
        <v>10</v>
      </c>
      <c r="Z11" s="473">
        <f t="shared" si="7"/>
        <v>11800</v>
      </c>
      <c r="AA11" s="471">
        <v>478</v>
      </c>
      <c r="AB11" s="476">
        <v>25</v>
      </c>
      <c r="AC11" s="473">
        <f t="shared" si="8"/>
        <v>11950</v>
      </c>
      <c r="AD11" s="471"/>
      <c r="AE11" s="476">
        <v>7.5</v>
      </c>
      <c r="AF11" s="473">
        <f t="shared" si="9"/>
        <v>0</v>
      </c>
      <c r="AG11" s="471"/>
      <c r="AH11" s="475">
        <v>15</v>
      </c>
      <c r="AI11" s="473">
        <f t="shared" si="10"/>
        <v>0</v>
      </c>
      <c r="AJ11" s="471">
        <v>257</v>
      </c>
      <c r="AK11" s="476">
        <v>10</v>
      </c>
      <c r="AL11" s="473">
        <f t="shared" si="11"/>
        <v>2570</v>
      </c>
      <c r="AM11" s="471">
        <f t="shared" si="12"/>
        <v>6188</v>
      </c>
      <c r="AN11" s="471"/>
      <c r="AO11" s="478"/>
      <c r="AP11" s="471"/>
      <c r="AQ11" s="471"/>
      <c r="AR11" s="473"/>
      <c r="AS11" s="471"/>
      <c r="AT11" s="471"/>
      <c r="AU11" s="479">
        <v>2189</v>
      </c>
      <c r="AV11" s="471"/>
      <c r="AW11" s="530">
        <f t="shared" si="13"/>
        <v>0.97704590818363268</v>
      </c>
      <c r="AX11" s="530">
        <f t="shared" si="14"/>
        <v>1.0292747837658018</v>
      </c>
      <c r="AY11" s="530">
        <f t="shared" si="15"/>
        <v>0.37265917602996257</v>
      </c>
      <c r="AZ11" s="531">
        <f t="shared" si="16"/>
        <v>371014</v>
      </c>
      <c r="BA11" s="531">
        <f t="shared" si="17"/>
        <v>345934</v>
      </c>
      <c r="BB11" s="531">
        <f t="shared" si="18"/>
        <v>371014</v>
      </c>
      <c r="BC11" s="531">
        <f t="shared" si="19"/>
        <v>371014</v>
      </c>
      <c r="BD11" s="546">
        <v>4</v>
      </c>
      <c r="BE11" s="532">
        <v>512383</v>
      </c>
      <c r="BF11" s="532">
        <v>332983.88</v>
      </c>
      <c r="BG11" s="533">
        <f t="shared" si="20"/>
        <v>64.98730051543474</v>
      </c>
      <c r="BH11" s="534">
        <f t="shared" si="21"/>
        <v>45547</v>
      </c>
      <c r="BI11" s="535">
        <f t="shared" si="22"/>
        <v>8.8892488626671845E-2</v>
      </c>
      <c r="BJ11" s="536">
        <v>44850</v>
      </c>
      <c r="BK11" s="536"/>
      <c r="BL11" s="536"/>
      <c r="BM11" s="536"/>
      <c r="BN11" s="536"/>
      <c r="BO11" s="536"/>
      <c r="BP11" s="537"/>
      <c r="BQ11" s="536"/>
      <c r="BR11" s="536">
        <v>28000</v>
      </c>
      <c r="BS11" s="537">
        <v>160446.22</v>
      </c>
      <c r="BT11" s="539">
        <f>+BS11/BE11%</f>
        <v>31.313728207219992</v>
      </c>
      <c r="BU11" s="532">
        <f>SUM(BE11-BF11-BS11)</f>
        <v>18952.899999999994</v>
      </c>
      <c r="BV11" s="533">
        <f>+BU11/BE11%</f>
        <v>3.6989712773452661</v>
      </c>
      <c r="BW11" s="481">
        <v>16996</v>
      </c>
      <c r="BX11" s="481">
        <v>9546</v>
      </c>
      <c r="BY11" s="481">
        <v>15114</v>
      </c>
      <c r="BZ11" s="481">
        <f>3240+651</f>
        <v>3891</v>
      </c>
      <c r="CA11" s="482">
        <f>BW11/BE11</f>
        <v>3.3170499411572983E-2</v>
      </c>
      <c r="CB11" s="482">
        <f>BX11/BE11</f>
        <v>1.863059469186136E-2</v>
      </c>
      <c r="CC11" s="482">
        <f>BY11/BE11</f>
        <v>2.949746576291563E-2</v>
      </c>
      <c r="CD11" s="482">
        <f>BZ11/BE11</f>
        <v>7.5939287603218686E-3</v>
      </c>
      <c r="CE11" s="480">
        <f>+BU11*10%</f>
        <v>1895.2899999999995</v>
      </c>
      <c r="CF11" s="483">
        <f>BU11*90%</f>
        <v>17057.609999999997</v>
      </c>
    </row>
    <row r="12" spans="1:85" ht="18.75" customHeight="1" x14ac:dyDescent="0.45">
      <c r="A12" s="469">
        <f t="shared" si="23"/>
        <v>5</v>
      </c>
      <c r="B12" s="470" t="s">
        <v>247</v>
      </c>
      <c r="C12" s="470"/>
      <c r="D12" s="471"/>
      <c r="E12" s="472">
        <v>40</v>
      </c>
      <c r="F12" s="473">
        <f t="shared" si="0"/>
        <v>0</v>
      </c>
      <c r="G12" s="471">
        <v>8011</v>
      </c>
      <c r="H12" s="475">
        <v>50</v>
      </c>
      <c r="I12" s="473">
        <f t="shared" si="1"/>
        <v>400550</v>
      </c>
      <c r="J12" s="471"/>
      <c r="K12" s="476">
        <v>60</v>
      </c>
      <c r="L12" s="473">
        <f t="shared" si="2"/>
        <v>0</v>
      </c>
      <c r="M12" s="471">
        <v>4001</v>
      </c>
      <c r="N12" s="476">
        <v>15</v>
      </c>
      <c r="O12" s="473">
        <f t="shared" si="3"/>
        <v>60015</v>
      </c>
      <c r="P12" s="471">
        <v>2700</v>
      </c>
      <c r="Q12" s="477">
        <v>12</v>
      </c>
      <c r="R12" s="473">
        <f t="shared" si="4"/>
        <v>32400</v>
      </c>
      <c r="S12" s="471">
        <v>1092</v>
      </c>
      <c r="T12" s="473">
        <f t="shared" si="5"/>
        <v>8736</v>
      </c>
      <c r="U12" s="471">
        <v>341</v>
      </c>
      <c r="V12" s="476">
        <v>12</v>
      </c>
      <c r="W12" s="473">
        <f t="shared" si="6"/>
        <v>4092</v>
      </c>
      <c r="X12" s="471">
        <v>734</v>
      </c>
      <c r="Y12" s="476">
        <v>10</v>
      </c>
      <c r="Z12" s="473">
        <f t="shared" si="7"/>
        <v>7340</v>
      </c>
      <c r="AA12" s="471">
        <v>242</v>
      </c>
      <c r="AB12" s="476">
        <v>25</v>
      </c>
      <c r="AC12" s="473">
        <f t="shared" si="8"/>
        <v>6050</v>
      </c>
      <c r="AD12" s="471"/>
      <c r="AE12" s="476">
        <v>7.5</v>
      </c>
      <c r="AF12" s="473">
        <f t="shared" si="9"/>
        <v>0</v>
      </c>
      <c r="AG12" s="471"/>
      <c r="AH12" s="475">
        <v>15</v>
      </c>
      <c r="AI12" s="473">
        <f t="shared" si="10"/>
        <v>0</v>
      </c>
      <c r="AJ12" s="471">
        <v>295</v>
      </c>
      <c r="AK12" s="476">
        <v>10</v>
      </c>
      <c r="AL12" s="473">
        <f t="shared" si="11"/>
        <v>2950</v>
      </c>
      <c r="AM12" s="471">
        <f t="shared" si="12"/>
        <v>5404</v>
      </c>
      <c r="AN12" s="471"/>
      <c r="AO12" s="478"/>
      <c r="AP12" s="471"/>
      <c r="AQ12" s="471"/>
      <c r="AR12" s="473"/>
      <c r="AS12" s="471"/>
      <c r="AT12" s="471"/>
      <c r="AU12" s="479">
        <v>1005</v>
      </c>
      <c r="AV12" s="471"/>
      <c r="AW12" s="530">
        <f t="shared" si="13"/>
        <v>0.49943827237548372</v>
      </c>
      <c r="AX12" s="530">
        <f t="shared" si="14"/>
        <v>0.67457246286356265</v>
      </c>
      <c r="AY12" s="530">
        <f t="shared" si="15"/>
        <v>0.25118720319920018</v>
      </c>
      <c r="AZ12" s="531">
        <f t="shared" si="16"/>
        <v>459168</v>
      </c>
      <c r="BA12" s="531">
        <f t="shared" si="17"/>
        <v>439000</v>
      </c>
      <c r="BB12" s="531">
        <f t="shared" si="18"/>
        <v>459168</v>
      </c>
      <c r="BC12" s="531">
        <f t="shared" si="19"/>
        <v>459168</v>
      </c>
      <c r="BD12" s="546">
        <v>3</v>
      </c>
      <c r="BE12" s="532">
        <v>546064</v>
      </c>
      <c r="BF12" s="532">
        <v>366822.33</v>
      </c>
      <c r="BG12" s="533">
        <f t="shared" si="20"/>
        <v>67.175702848017821</v>
      </c>
      <c r="BH12" s="534">
        <f t="shared" si="21"/>
        <v>38098</v>
      </c>
      <c r="BI12" s="535">
        <f t="shared" si="22"/>
        <v>6.97683787980896E-2</v>
      </c>
      <c r="BJ12" s="536">
        <v>37750</v>
      </c>
      <c r="BK12" s="536"/>
      <c r="BL12" s="536">
        <v>1875</v>
      </c>
      <c r="BM12" s="536"/>
      <c r="BN12" s="536"/>
      <c r="BO12" s="536"/>
      <c r="BP12" s="537"/>
      <c r="BQ12" s="536"/>
      <c r="BR12" s="536">
        <v>27000</v>
      </c>
      <c r="BS12" s="537">
        <v>136162.56</v>
      </c>
      <c r="BT12" s="539">
        <f>+BS12/BE12%</f>
        <v>24.935274986082216</v>
      </c>
      <c r="BU12" s="532">
        <f>SUM(BE12-BF12-BS12)</f>
        <v>43079.109999999986</v>
      </c>
      <c r="BV12" s="533">
        <f>+BU12/BE12%</f>
        <v>7.8890221658999646</v>
      </c>
      <c r="BW12" s="481">
        <v>12558</v>
      </c>
      <c r="BX12" s="481">
        <v>7955</v>
      </c>
      <c r="BY12" s="481">
        <v>13740</v>
      </c>
      <c r="BZ12" s="481">
        <v>3845</v>
      </c>
      <c r="CA12" s="482">
        <f>BW12/BE12</f>
        <v>2.2997304345278208E-2</v>
      </c>
      <c r="CB12" s="482">
        <f>BX12/BE12</f>
        <v>1.4567889478156407E-2</v>
      </c>
      <c r="CC12" s="482">
        <f>BY12/BE12</f>
        <v>2.5161885786281462E-2</v>
      </c>
      <c r="CD12" s="482">
        <f>BZ12/BE12</f>
        <v>7.0412991883735242E-3</v>
      </c>
      <c r="CE12" s="480">
        <f>+BU12*10%</f>
        <v>4307.9109999999991</v>
      </c>
      <c r="CF12" s="483">
        <f>BU12*90%</f>
        <v>38771.198999999986</v>
      </c>
    </row>
    <row r="13" spans="1:85" ht="18.75" customHeight="1" x14ac:dyDescent="0.45">
      <c r="A13" s="469">
        <f t="shared" si="23"/>
        <v>6</v>
      </c>
      <c r="B13" s="470" t="s">
        <v>111</v>
      </c>
      <c r="C13" s="470"/>
      <c r="D13" s="471"/>
      <c r="E13" s="472">
        <v>40</v>
      </c>
      <c r="F13" s="473">
        <f t="shared" si="0"/>
        <v>0</v>
      </c>
      <c r="G13" s="471">
        <v>9280</v>
      </c>
      <c r="H13" s="475">
        <v>50</v>
      </c>
      <c r="I13" s="473">
        <f t="shared" si="1"/>
        <v>464000</v>
      </c>
      <c r="J13" s="471"/>
      <c r="K13" s="476">
        <v>60</v>
      </c>
      <c r="L13" s="473">
        <f t="shared" si="2"/>
        <v>0</v>
      </c>
      <c r="M13" s="471">
        <v>3420</v>
      </c>
      <c r="N13" s="476">
        <v>15</v>
      </c>
      <c r="O13" s="473">
        <f t="shared" si="3"/>
        <v>51300</v>
      </c>
      <c r="P13" s="484">
        <v>430</v>
      </c>
      <c r="Q13" s="477">
        <v>12</v>
      </c>
      <c r="R13" s="473">
        <f t="shared" si="4"/>
        <v>5160</v>
      </c>
      <c r="S13" s="471">
        <v>720</v>
      </c>
      <c r="T13" s="473">
        <f t="shared" si="5"/>
        <v>5760</v>
      </c>
      <c r="U13" s="471">
        <v>457</v>
      </c>
      <c r="V13" s="476">
        <v>12</v>
      </c>
      <c r="W13" s="473">
        <f t="shared" si="6"/>
        <v>5484</v>
      </c>
      <c r="X13" s="471">
        <v>950</v>
      </c>
      <c r="Y13" s="476">
        <v>10</v>
      </c>
      <c r="Z13" s="473">
        <f t="shared" si="7"/>
        <v>9500</v>
      </c>
      <c r="AA13" s="471">
        <v>279</v>
      </c>
      <c r="AB13" s="476">
        <v>25</v>
      </c>
      <c r="AC13" s="473">
        <f t="shared" si="8"/>
        <v>6975</v>
      </c>
      <c r="AD13" s="471"/>
      <c r="AE13" s="476">
        <v>7.5</v>
      </c>
      <c r="AF13" s="473">
        <f t="shared" si="9"/>
        <v>0</v>
      </c>
      <c r="AG13" s="471"/>
      <c r="AH13" s="475">
        <v>15</v>
      </c>
      <c r="AI13" s="473">
        <f t="shared" si="10"/>
        <v>0</v>
      </c>
      <c r="AJ13" s="471"/>
      <c r="AK13" s="476">
        <v>10</v>
      </c>
      <c r="AL13" s="473">
        <f t="shared" si="11"/>
        <v>0</v>
      </c>
      <c r="AM13" s="471">
        <f t="shared" si="12"/>
        <v>2836</v>
      </c>
      <c r="AN13" s="471"/>
      <c r="AO13" s="478"/>
      <c r="AP13" s="471"/>
      <c r="AQ13" s="471"/>
      <c r="AR13" s="473"/>
      <c r="AS13" s="471"/>
      <c r="AT13" s="471"/>
      <c r="AU13" s="479">
        <v>1315</v>
      </c>
      <c r="AV13" s="471"/>
      <c r="AW13" s="530">
        <f t="shared" si="13"/>
        <v>0.36853448275862066</v>
      </c>
      <c r="AX13" s="530">
        <f t="shared" si="14"/>
        <v>0.30560344827586206</v>
      </c>
      <c r="AY13" s="530">
        <f t="shared" si="15"/>
        <v>0.38450292397660818</v>
      </c>
      <c r="AZ13" s="531">
        <f t="shared" si="16"/>
        <v>496879</v>
      </c>
      <c r="BA13" s="531">
        <f t="shared" si="17"/>
        <v>476135</v>
      </c>
      <c r="BB13" s="531">
        <f t="shared" si="18"/>
        <v>496879</v>
      </c>
      <c r="BC13" s="531">
        <f t="shared" si="19"/>
        <v>496879</v>
      </c>
      <c r="BD13" s="546">
        <v>4</v>
      </c>
      <c r="BE13" s="532">
        <v>578428</v>
      </c>
      <c r="BF13" s="532">
        <v>377472.48</v>
      </c>
      <c r="BG13" s="533">
        <f t="shared" si="20"/>
        <v>65.258334658764795</v>
      </c>
      <c r="BH13" s="534">
        <f t="shared" si="21"/>
        <v>44941</v>
      </c>
      <c r="BI13" s="535">
        <f t="shared" si="22"/>
        <v>7.7695063171215772E-2</v>
      </c>
      <c r="BJ13" s="536">
        <v>45750</v>
      </c>
      <c r="BK13" s="536"/>
      <c r="BL13" s="536">
        <v>562.5</v>
      </c>
      <c r="BM13" s="536"/>
      <c r="BN13" s="536"/>
      <c r="BO13" s="536"/>
      <c r="BP13" s="537"/>
      <c r="BQ13" s="536"/>
      <c r="BR13" s="536">
        <v>13000</v>
      </c>
      <c r="BS13" s="537">
        <v>135767.76999999999</v>
      </c>
      <c r="BT13" s="539">
        <f>+BS13/BE13%</f>
        <v>23.471853022329487</v>
      </c>
      <c r="BU13" s="532">
        <f>SUM(BE13-BF13-BS13)</f>
        <v>65187.750000000029</v>
      </c>
      <c r="BV13" s="533">
        <f>+BU13/BE13%</f>
        <v>11.269812318905728</v>
      </c>
      <c r="BW13" s="481">
        <v>12726</v>
      </c>
      <c r="BX13" s="481">
        <v>11137</v>
      </c>
      <c r="BY13" s="481">
        <v>16488</v>
      </c>
      <c r="BZ13" s="485">
        <v>4590</v>
      </c>
      <c r="CA13" s="482">
        <f>BW13/BE13</f>
        <v>2.2001009633005317E-2</v>
      </c>
      <c r="CB13" s="482">
        <f>BX13/BE13</f>
        <v>1.9253908870248328E-2</v>
      </c>
      <c r="CC13" s="482">
        <f>BY13/BE13</f>
        <v>2.8504844163837157E-2</v>
      </c>
      <c r="CD13" s="482">
        <f>BZ13/BE13</f>
        <v>7.9353005041249737E-3</v>
      </c>
      <c r="CE13" s="480">
        <f>+BU13*10%</f>
        <v>6518.7750000000033</v>
      </c>
      <c r="CF13" s="483">
        <f>BU13*90%</f>
        <v>58668.975000000028</v>
      </c>
    </row>
    <row r="14" spans="1:85" ht="18.75" customHeight="1" x14ac:dyDescent="0.45">
      <c r="A14" s="469">
        <f t="shared" si="23"/>
        <v>7</v>
      </c>
      <c r="B14" s="470" t="s">
        <v>110</v>
      </c>
      <c r="C14" s="470"/>
      <c r="D14" s="471"/>
      <c r="E14" s="472">
        <v>40</v>
      </c>
      <c r="F14" s="473">
        <f t="shared" si="0"/>
        <v>0</v>
      </c>
      <c r="G14" s="471">
        <v>16581</v>
      </c>
      <c r="H14" s="475">
        <v>50</v>
      </c>
      <c r="I14" s="473">
        <f t="shared" si="1"/>
        <v>829050</v>
      </c>
      <c r="J14" s="471"/>
      <c r="K14" s="476">
        <v>60</v>
      </c>
      <c r="L14" s="473">
        <f t="shared" si="2"/>
        <v>0</v>
      </c>
      <c r="M14" s="471">
        <v>4790</v>
      </c>
      <c r="N14" s="476">
        <v>15</v>
      </c>
      <c r="O14" s="473">
        <f t="shared" si="3"/>
        <v>71850</v>
      </c>
      <c r="P14" s="471"/>
      <c r="Q14" s="477">
        <v>12</v>
      </c>
      <c r="R14" s="473">
        <f t="shared" si="4"/>
        <v>0</v>
      </c>
      <c r="S14" s="471">
        <v>1231</v>
      </c>
      <c r="T14" s="473">
        <f t="shared" si="5"/>
        <v>9848</v>
      </c>
      <c r="U14" s="471">
        <v>453</v>
      </c>
      <c r="V14" s="476">
        <v>12</v>
      </c>
      <c r="W14" s="473">
        <f t="shared" si="6"/>
        <v>5436</v>
      </c>
      <c r="X14" s="471">
        <v>1370</v>
      </c>
      <c r="Y14" s="476">
        <v>10</v>
      </c>
      <c r="Z14" s="473">
        <f t="shared" si="7"/>
        <v>13700</v>
      </c>
      <c r="AA14" s="471">
        <v>367</v>
      </c>
      <c r="AB14" s="476">
        <v>25</v>
      </c>
      <c r="AC14" s="473">
        <f t="shared" si="8"/>
        <v>9175</v>
      </c>
      <c r="AD14" s="471"/>
      <c r="AE14" s="476">
        <v>7.5</v>
      </c>
      <c r="AF14" s="473">
        <f t="shared" si="9"/>
        <v>0</v>
      </c>
      <c r="AG14" s="471"/>
      <c r="AH14" s="475">
        <v>15</v>
      </c>
      <c r="AI14" s="473">
        <f t="shared" si="10"/>
        <v>0</v>
      </c>
      <c r="AJ14" s="471">
        <v>344</v>
      </c>
      <c r="AK14" s="476">
        <v>10</v>
      </c>
      <c r="AL14" s="473">
        <f t="shared" si="11"/>
        <v>3440</v>
      </c>
      <c r="AM14" s="471">
        <f t="shared" si="12"/>
        <v>3765</v>
      </c>
      <c r="AN14" s="471"/>
      <c r="AO14" s="478"/>
      <c r="AP14" s="471"/>
      <c r="AQ14" s="471"/>
      <c r="AR14" s="473"/>
      <c r="AS14" s="471"/>
      <c r="AT14" s="471"/>
      <c r="AU14" s="479">
        <v>2094</v>
      </c>
      <c r="AV14" s="471"/>
      <c r="AW14" s="530">
        <f t="shared" si="13"/>
        <v>0.28888486822266451</v>
      </c>
      <c r="AX14" s="530">
        <f t="shared" si="14"/>
        <v>0.22706712502261625</v>
      </c>
      <c r="AY14" s="530">
        <f t="shared" si="15"/>
        <v>0.43716075156576201</v>
      </c>
      <c r="AZ14" s="531">
        <f t="shared" si="16"/>
        <v>867209</v>
      </c>
      <c r="BA14" s="531">
        <f t="shared" si="17"/>
        <v>838225</v>
      </c>
      <c r="BB14" s="531">
        <f t="shared" si="18"/>
        <v>867209</v>
      </c>
      <c r="BC14" s="531">
        <f t="shared" si="19"/>
        <v>867209</v>
      </c>
      <c r="BD14" s="546">
        <v>7</v>
      </c>
      <c r="BE14" s="532">
        <v>991421</v>
      </c>
      <c r="BF14" s="532">
        <v>657681.94999999995</v>
      </c>
      <c r="BG14" s="533">
        <f t="shared" si="20"/>
        <v>66.337302720035183</v>
      </c>
      <c r="BH14" s="534">
        <f t="shared" si="21"/>
        <v>60868</v>
      </c>
      <c r="BI14" s="535">
        <f t="shared" si="22"/>
        <v>6.1394705175702356E-2</v>
      </c>
      <c r="BJ14" s="541">
        <v>67350</v>
      </c>
      <c r="BK14" s="536"/>
      <c r="BL14" s="542"/>
      <c r="BM14" s="541" t="e">
        <f t="shared" ref="BM14:BM16" si="24">+BS14/BL14</f>
        <v>#DIV/0!</v>
      </c>
      <c r="BN14" s="542"/>
      <c r="BO14" s="541" t="e">
        <f t="shared" ref="BO14:BO16" si="25">+BS14/BN14</f>
        <v>#DIV/0!</v>
      </c>
      <c r="BP14" s="542"/>
      <c r="BQ14" s="541" t="e">
        <f t="shared" ref="BQ14:BQ16" si="26">+BS14/BP14</f>
        <v>#DIV/0!</v>
      </c>
      <c r="BR14" s="541">
        <v>14500</v>
      </c>
      <c r="BS14" s="543">
        <v>190232.57</v>
      </c>
      <c r="BT14" s="539">
        <f>+BS14/BE14%</f>
        <v>19.187869734451866</v>
      </c>
      <c r="BU14" s="532">
        <f>SUM(BE14-BF14-BS14)</f>
        <v>143506.48000000004</v>
      </c>
      <c r="BV14" s="533">
        <f>+BU14/BE14%</f>
        <v>14.47482754551296</v>
      </c>
      <c r="BW14" s="481">
        <v>16470</v>
      </c>
      <c r="BX14" s="481">
        <v>15910</v>
      </c>
      <c r="BY14" s="481">
        <v>23358</v>
      </c>
      <c r="BZ14" s="481">
        <v>5130</v>
      </c>
      <c r="CA14" s="482">
        <f>BW14/BE14</f>
        <v>1.6612518798774688E-2</v>
      </c>
      <c r="CB14" s="482">
        <f>BX14/BE14</f>
        <v>1.6047672986551628E-2</v>
      </c>
      <c r="CC14" s="482">
        <f>BY14/BE14</f>
        <v>2.3560122289118347E-2</v>
      </c>
      <c r="CD14" s="482">
        <f>BZ14/BE14</f>
        <v>5.1743911012576901E-3</v>
      </c>
      <c r="CE14" s="480">
        <f>+BU14*10%</f>
        <v>14350.648000000005</v>
      </c>
      <c r="CF14" s="483">
        <f>BU14*90%</f>
        <v>129155.83200000004</v>
      </c>
    </row>
    <row r="15" spans="1:85" ht="18.75" customHeight="1" x14ac:dyDescent="0.45">
      <c r="A15" s="469">
        <f t="shared" si="23"/>
        <v>8</v>
      </c>
      <c r="B15" s="470" t="s">
        <v>116</v>
      </c>
      <c r="C15" s="470"/>
      <c r="D15" s="471"/>
      <c r="E15" s="472">
        <v>40</v>
      </c>
      <c r="F15" s="473">
        <f t="shared" si="0"/>
        <v>0</v>
      </c>
      <c r="G15" s="471">
        <v>6583</v>
      </c>
      <c r="H15" s="475">
        <v>50</v>
      </c>
      <c r="I15" s="473">
        <f t="shared" si="1"/>
        <v>329150</v>
      </c>
      <c r="J15" s="471"/>
      <c r="K15" s="476">
        <v>60</v>
      </c>
      <c r="L15" s="473">
        <f t="shared" si="2"/>
        <v>0</v>
      </c>
      <c r="M15" s="471">
        <v>1663</v>
      </c>
      <c r="N15" s="476">
        <v>15</v>
      </c>
      <c r="O15" s="473">
        <f t="shared" si="3"/>
        <v>24945</v>
      </c>
      <c r="P15" s="471">
        <v>1940</v>
      </c>
      <c r="Q15" s="477">
        <v>12</v>
      </c>
      <c r="R15" s="473">
        <f t="shared" si="4"/>
        <v>23280</v>
      </c>
      <c r="S15" s="471">
        <v>526</v>
      </c>
      <c r="T15" s="473">
        <f t="shared" si="5"/>
        <v>4208</v>
      </c>
      <c r="U15" s="471">
        <v>222</v>
      </c>
      <c r="V15" s="476">
        <v>12</v>
      </c>
      <c r="W15" s="473">
        <f t="shared" si="6"/>
        <v>2664</v>
      </c>
      <c r="X15" s="471">
        <v>750</v>
      </c>
      <c r="Y15" s="476">
        <v>10</v>
      </c>
      <c r="Z15" s="473">
        <f t="shared" si="7"/>
        <v>7500</v>
      </c>
      <c r="AA15" s="471">
        <v>240</v>
      </c>
      <c r="AB15" s="476">
        <v>25</v>
      </c>
      <c r="AC15" s="473">
        <f t="shared" si="8"/>
        <v>6000</v>
      </c>
      <c r="AD15" s="471"/>
      <c r="AE15" s="476">
        <v>7.5</v>
      </c>
      <c r="AF15" s="473">
        <f t="shared" si="9"/>
        <v>0</v>
      </c>
      <c r="AG15" s="471"/>
      <c r="AH15" s="475">
        <v>15</v>
      </c>
      <c r="AI15" s="473">
        <f t="shared" si="10"/>
        <v>0</v>
      </c>
      <c r="AJ15" s="471">
        <v>168</v>
      </c>
      <c r="AK15" s="476">
        <v>10</v>
      </c>
      <c r="AL15" s="473">
        <f t="shared" si="11"/>
        <v>1680</v>
      </c>
      <c r="AM15" s="471">
        <f t="shared" si="12"/>
        <v>3846</v>
      </c>
      <c r="AN15" s="471"/>
      <c r="AO15" s="478"/>
      <c r="AP15" s="471"/>
      <c r="AQ15" s="471"/>
      <c r="AR15" s="473"/>
      <c r="AS15" s="471"/>
      <c r="AT15" s="471"/>
      <c r="AU15" s="479">
        <v>564</v>
      </c>
      <c r="AV15" s="471"/>
      <c r="AW15" s="530">
        <f t="shared" si="13"/>
        <v>0.2526203858423211</v>
      </c>
      <c r="AX15" s="530">
        <f t="shared" si="14"/>
        <v>0.58423211301838063</v>
      </c>
      <c r="AY15" s="540">
        <f t="shared" si="15"/>
        <v>0.33914612146722789</v>
      </c>
      <c r="AZ15" s="531">
        <f t="shared" si="16"/>
        <v>372802</v>
      </c>
      <c r="BA15" s="531">
        <f t="shared" si="17"/>
        <v>358430</v>
      </c>
      <c r="BB15" s="531">
        <f t="shared" si="18"/>
        <v>372802</v>
      </c>
      <c r="BC15" s="531">
        <f t="shared" si="19"/>
        <v>372802</v>
      </c>
      <c r="BD15" s="546">
        <v>3</v>
      </c>
      <c r="BE15" s="532">
        <v>412449</v>
      </c>
      <c r="BF15" s="532">
        <v>273796.71999999997</v>
      </c>
      <c r="BG15" s="533">
        <f t="shared" si="20"/>
        <v>66.383169797962893</v>
      </c>
      <c r="BH15" s="534">
        <f t="shared" si="21"/>
        <v>31104</v>
      </c>
      <c r="BI15" s="535">
        <f t="shared" si="22"/>
        <v>7.5412960147800093E-2</v>
      </c>
      <c r="BJ15" s="541">
        <v>27550</v>
      </c>
      <c r="BK15" s="536"/>
      <c r="BL15" s="541">
        <v>3750</v>
      </c>
      <c r="BM15" s="541">
        <f t="shared" si="24"/>
        <v>28.886533333333333</v>
      </c>
      <c r="BN15" s="542"/>
      <c r="BO15" s="541" t="e">
        <f t="shared" si="25"/>
        <v>#DIV/0!</v>
      </c>
      <c r="BP15" s="542"/>
      <c r="BQ15" s="541" t="e">
        <f t="shared" si="26"/>
        <v>#DIV/0!</v>
      </c>
      <c r="BR15" s="541">
        <v>15000</v>
      </c>
      <c r="BS15" s="543">
        <v>108324.5</v>
      </c>
      <c r="BT15" s="539">
        <f>+BS15/BE15%</f>
        <v>26.26373200080495</v>
      </c>
      <c r="BU15" s="532">
        <f>SUM(BE15-BF15-BS15)</f>
        <v>30327.780000000028</v>
      </c>
      <c r="BV15" s="533">
        <f>+BU15/BE15%</f>
        <v>7.3530982012321591</v>
      </c>
      <c r="BW15" s="481">
        <v>8160</v>
      </c>
      <c r="BX15" s="481">
        <v>9546</v>
      </c>
      <c r="BY15" s="481">
        <v>9618</v>
      </c>
      <c r="BZ15" s="481">
        <v>3780</v>
      </c>
      <c r="CA15" s="482">
        <f>BW15/BE15</f>
        <v>1.9784264236305579E-2</v>
      </c>
      <c r="CB15" s="482">
        <f>BX15/BE15</f>
        <v>2.3144679705854543E-2</v>
      </c>
      <c r="CC15" s="482">
        <f>BY15/BE15</f>
        <v>2.3319246743233709E-2</v>
      </c>
      <c r="CD15" s="482">
        <f>BZ15/BE15</f>
        <v>9.1647694624062605E-3</v>
      </c>
      <c r="CE15" s="480">
        <f>+BU15*10%</f>
        <v>3032.778000000003</v>
      </c>
      <c r="CF15" s="483">
        <f>BU15*90%</f>
        <v>27295.002000000026</v>
      </c>
    </row>
    <row r="16" spans="1:85" ht="18.75" customHeight="1" x14ac:dyDescent="0.45">
      <c r="A16" s="469">
        <f t="shared" si="23"/>
        <v>9</v>
      </c>
      <c r="B16" s="470" t="s">
        <v>78</v>
      </c>
      <c r="C16" s="470"/>
      <c r="D16" s="471"/>
      <c r="E16" s="472">
        <v>40</v>
      </c>
      <c r="F16" s="473">
        <f t="shared" si="0"/>
        <v>0</v>
      </c>
      <c r="G16" s="471">
        <v>8853</v>
      </c>
      <c r="H16" s="475">
        <v>50</v>
      </c>
      <c r="I16" s="473">
        <f t="shared" si="1"/>
        <v>442650</v>
      </c>
      <c r="J16" s="471"/>
      <c r="K16" s="476">
        <v>60</v>
      </c>
      <c r="L16" s="473">
        <f t="shared" si="2"/>
        <v>0</v>
      </c>
      <c r="M16" s="471">
        <v>2575</v>
      </c>
      <c r="N16" s="476">
        <v>15</v>
      </c>
      <c r="O16" s="473">
        <f t="shared" si="3"/>
        <v>38625</v>
      </c>
      <c r="P16" s="471">
        <v>931</v>
      </c>
      <c r="Q16" s="477">
        <v>12</v>
      </c>
      <c r="R16" s="473">
        <f t="shared" si="4"/>
        <v>11172</v>
      </c>
      <c r="S16" s="471">
        <v>247</v>
      </c>
      <c r="T16" s="473">
        <f t="shared" si="5"/>
        <v>1976</v>
      </c>
      <c r="U16" s="471">
        <v>190</v>
      </c>
      <c r="V16" s="476">
        <v>12</v>
      </c>
      <c r="W16" s="473">
        <f t="shared" si="6"/>
        <v>2280</v>
      </c>
      <c r="X16" s="471">
        <v>370</v>
      </c>
      <c r="Y16" s="476">
        <v>10</v>
      </c>
      <c r="Z16" s="473">
        <f t="shared" si="7"/>
        <v>3700</v>
      </c>
      <c r="AA16" s="471">
        <v>38</v>
      </c>
      <c r="AB16" s="476">
        <v>25</v>
      </c>
      <c r="AC16" s="473">
        <f t="shared" si="8"/>
        <v>950</v>
      </c>
      <c r="AD16" s="471"/>
      <c r="AE16" s="476">
        <v>7.5</v>
      </c>
      <c r="AF16" s="473">
        <f t="shared" si="9"/>
        <v>0</v>
      </c>
      <c r="AG16" s="471"/>
      <c r="AH16" s="475">
        <v>15</v>
      </c>
      <c r="AI16" s="473">
        <f t="shared" si="10"/>
        <v>0</v>
      </c>
      <c r="AJ16" s="471">
        <v>60</v>
      </c>
      <c r="AK16" s="476">
        <v>12</v>
      </c>
      <c r="AL16" s="473">
        <f t="shared" si="11"/>
        <v>720</v>
      </c>
      <c r="AM16" s="471">
        <f t="shared" si="12"/>
        <v>1836</v>
      </c>
      <c r="AN16" s="471"/>
      <c r="AO16" s="478"/>
      <c r="AP16" s="471"/>
      <c r="AQ16" s="471"/>
      <c r="AR16" s="473"/>
      <c r="AS16" s="471"/>
      <c r="AT16" s="471"/>
      <c r="AU16" s="479">
        <v>1349</v>
      </c>
      <c r="AV16" s="471"/>
      <c r="AW16" s="530">
        <f t="shared" si="13"/>
        <v>0.29086185473850673</v>
      </c>
      <c r="AX16" s="530">
        <f t="shared" si="14"/>
        <v>0.2073873263300576</v>
      </c>
      <c r="AY16" s="530">
        <f t="shared" si="15"/>
        <v>0.52388349514563104</v>
      </c>
      <c r="AZ16" s="531">
        <f t="shared" si="16"/>
        <v>462728</v>
      </c>
      <c r="BA16" s="531">
        <f t="shared" si="17"/>
        <v>454772</v>
      </c>
      <c r="BB16" s="531">
        <f t="shared" si="18"/>
        <v>462728</v>
      </c>
      <c r="BC16" s="531">
        <f t="shared" si="19"/>
        <v>462728</v>
      </c>
      <c r="BD16" s="546">
        <v>4</v>
      </c>
      <c r="BE16" s="532">
        <v>532773</v>
      </c>
      <c r="BF16" s="532">
        <v>350670</v>
      </c>
      <c r="BG16" s="533">
        <f t="shared" si="20"/>
        <v>65.819776903108831</v>
      </c>
      <c r="BH16" s="534">
        <f t="shared" si="21"/>
        <v>40815</v>
      </c>
      <c r="BI16" s="535">
        <f t="shared" si="22"/>
        <v>7.6608611922901498E-2</v>
      </c>
      <c r="BJ16" s="541">
        <v>38725</v>
      </c>
      <c r="BK16" s="536"/>
      <c r="BL16" s="542"/>
      <c r="BM16" s="541" t="e">
        <f t="shared" si="24"/>
        <v>#DIV/0!</v>
      </c>
      <c r="BN16" s="542"/>
      <c r="BO16" s="541" t="e">
        <f t="shared" si="25"/>
        <v>#DIV/0!</v>
      </c>
      <c r="BP16" s="542"/>
      <c r="BQ16" s="541" t="e">
        <f t="shared" si="26"/>
        <v>#DIV/0!</v>
      </c>
      <c r="BR16" s="541">
        <v>18000</v>
      </c>
      <c r="BS16" s="543">
        <v>149660</v>
      </c>
      <c r="BT16" s="539">
        <f>+BS16/BE16%</f>
        <v>28.090762857727402</v>
      </c>
      <c r="BU16" s="532">
        <f>SUM(BE16-BF16-BS16)</f>
        <v>32443</v>
      </c>
      <c r="BV16" s="533">
        <f>+BU16/BE16%</f>
        <v>6.0894602391637722</v>
      </c>
      <c r="BW16" s="481">
        <v>17025</v>
      </c>
      <c r="BX16" s="481">
        <v>10380</v>
      </c>
      <c r="BY16" s="481">
        <v>10530</v>
      </c>
      <c r="BZ16" s="481">
        <v>2880</v>
      </c>
      <c r="CA16" s="482">
        <f>BW16/BE16</f>
        <v>3.1955448192757516E-2</v>
      </c>
      <c r="CB16" s="482">
        <f>BX16/BE16</f>
        <v>1.9482969294615154E-2</v>
      </c>
      <c r="CC16" s="482">
        <f>BY16/BE16</f>
        <v>1.9764515093670287E-2</v>
      </c>
      <c r="CD16" s="482">
        <f>BZ16/BE16</f>
        <v>5.4056793418585398E-3</v>
      </c>
      <c r="CE16" s="480">
        <f>+BU16*20%</f>
        <v>6488.6</v>
      </c>
      <c r="CF16" s="483">
        <f>BU16*90%</f>
        <v>29198.7</v>
      </c>
    </row>
    <row r="17" spans="1:85" ht="18.75" customHeight="1" x14ac:dyDescent="0.45">
      <c r="A17" s="469">
        <f t="shared" si="23"/>
        <v>10</v>
      </c>
      <c r="B17" s="486" t="s">
        <v>253</v>
      </c>
      <c r="C17" s="486"/>
      <c r="D17" s="486"/>
      <c r="E17" s="486"/>
      <c r="F17" s="486"/>
      <c r="G17" s="487">
        <v>10075</v>
      </c>
      <c r="H17" s="475">
        <v>50</v>
      </c>
      <c r="I17" s="473">
        <f t="shared" si="1"/>
        <v>503750</v>
      </c>
      <c r="J17" s="471"/>
      <c r="K17" s="476">
        <v>60</v>
      </c>
      <c r="L17" s="473">
        <f t="shared" si="2"/>
        <v>0</v>
      </c>
      <c r="M17" s="471">
        <v>4032</v>
      </c>
      <c r="N17" s="476">
        <v>15</v>
      </c>
      <c r="O17" s="473">
        <f t="shared" si="3"/>
        <v>60480</v>
      </c>
      <c r="P17" s="471">
        <v>299</v>
      </c>
      <c r="Q17" s="477">
        <v>12</v>
      </c>
      <c r="R17" s="473">
        <f t="shared" si="4"/>
        <v>3588</v>
      </c>
      <c r="S17" s="471">
        <v>968</v>
      </c>
      <c r="T17" s="473">
        <f t="shared" si="5"/>
        <v>7744</v>
      </c>
      <c r="U17" s="471">
        <v>1062</v>
      </c>
      <c r="V17" s="476">
        <v>12</v>
      </c>
      <c r="W17" s="473">
        <f t="shared" si="6"/>
        <v>12744</v>
      </c>
      <c r="X17" s="471">
        <v>1675</v>
      </c>
      <c r="Y17" s="476">
        <v>10</v>
      </c>
      <c r="Z17" s="473">
        <f t="shared" si="7"/>
        <v>16750</v>
      </c>
      <c r="AA17" s="471">
        <v>250</v>
      </c>
      <c r="AB17" s="476">
        <v>25</v>
      </c>
      <c r="AC17" s="473">
        <f t="shared" si="8"/>
        <v>6250</v>
      </c>
      <c r="AD17" s="471"/>
      <c r="AE17" s="476">
        <v>7.5</v>
      </c>
      <c r="AF17" s="473">
        <f t="shared" si="9"/>
        <v>0</v>
      </c>
      <c r="AG17" s="471"/>
      <c r="AH17" s="475">
        <v>15</v>
      </c>
      <c r="AI17" s="473">
        <f t="shared" si="10"/>
        <v>0</v>
      </c>
      <c r="AJ17" s="471">
        <v>88</v>
      </c>
      <c r="AK17" s="476">
        <v>10</v>
      </c>
      <c r="AL17" s="473">
        <f t="shared" si="11"/>
        <v>880</v>
      </c>
      <c r="AM17" s="471">
        <f t="shared" si="12"/>
        <v>4342</v>
      </c>
      <c r="AN17" s="471"/>
      <c r="AO17" s="478"/>
      <c r="AP17" s="471"/>
      <c r="AQ17" s="471"/>
      <c r="AR17" s="473"/>
      <c r="AS17" s="471"/>
      <c r="AT17" s="471"/>
      <c r="AU17" s="479">
        <v>1214</v>
      </c>
      <c r="AV17" s="471"/>
      <c r="AW17" s="530">
        <f t="shared" si="13"/>
        <v>0.4001985111662531</v>
      </c>
      <c r="AX17" s="530">
        <f t="shared" si="14"/>
        <v>0.43096774193548387</v>
      </c>
      <c r="AY17" s="530">
        <f t="shared" si="15"/>
        <v>0.30109126984126983</v>
      </c>
      <c r="AZ17" s="531">
        <f t="shared" si="16"/>
        <v>550826</v>
      </c>
      <c r="BA17" s="531">
        <f t="shared" si="17"/>
        <v>513588</v>
      </c>
      <c r="BB17" s="531">
        <f t="shared" si="18"/>
        <v>550826</v>
      </c>
      <c r="BC17" s="531">
        <f t="shared" si="19"/>
        <v>550826</v>
      </c>
      <c r="BD17" s="546">
        <v>4</v>
      </c>
      <c r="BE17" s="532">
        <v>640902</v>
      </c>
      <c r="BF17" s="532">
        <v>417118</v>
      </c>
      <c r="BG17" s="533">
        <f t="shared" si="20"/>
        <v>65.082961201556557</v>
      </c>
      <c r="BH17" s="544"/>
      <c r="BI17" s="544"/>
      <c r="BJ17" s="545">
        <v>48200</v>
      </c>
      <c r="BK17" s="545"/>
      <c r="BL17" s="545">
        <v>3954</v>
      </c>
      <c r="BM17" s="545"/>
      <c r="BN17" s="545"/>
      <c r="BO17" s="545"/>
      <c r="BP17" s="545"/>
      <c r="BQ17" s="545"/>
      <c r="BR17" s="545">
        <v>21600</v>
      </c>
      <c r="BS17" s="537">
        <v>155038.35999999999</v>
      </c>
      <c r="BT17" s="539">
        <f>+BS17/BE17%</f>
        <v>24.190650052582139</v>
      </c>
      <c r="BU17" s="532">
        <f>SUM(BE17-BF17-BS17)</f>
        <v>68745.640000000014</v>
      </c>
      <c r="BV17" s="533">
        <f>+BU17/BE17%</f>
        <v>10.726388745861303</v>
      </c>
      <c r="BW17" s="486">
        <v>17194</v>
      </c>
      <c r="BX17" s="486">
        <v>12110</v>
      </c>
      <c r="BY17" s="486">
        <v>138880</v>
      </c>
      <c r="BZ17" s="486">
        <v>6400</v>
      </c>
      <c r="CA17" s="482">
        <f>BW17/BE17</f>
        <v>2.6827814548870187E-2</v>
      </c>
      <c r="CB17" s="482">
        <f>BX17/BE17</f>
        <v>1.8895244514762006E-2</v>
      </c>
      <c r="CC17" s="482">
        <f>BY17/BE17</f>
        <v>0.21669459605368682</v>
      </c>
      <c r="CD17" s="482">
        <f>BZ17/BE17</f>
        <v>9.9859260854233568E-3</v>
      </c>
      <c r="CE17" s="480">
        <f>+BU17*20%</f>
        <v>13749.128000000004</v>
      </c>
      <c r="CF17" s="483">
        <f>BU17*90%</f>
        <v>61871.076000000015</v>
      </c>
      <c r="CG17" s="488"/>
    </row>
    <row r="18" spans="1:85" ht="18.75" customHeight="1" x14ac:dyDescent="0.45">
      <c r="A18" s="469">
        <f t="shared" si="23"/>
        <v>11</v>
      </c>
      <c r="B18" s="470" t="s">
        <v>245</v>
      </c>
      <c r="C18" s="470"/>
      <c r="D18" s="471"/>
      <c r="E18" s="472">
        <v>40</v>
      </c>
      <c r="F18" s="473">
        <f t="shared" ref="F18:F45" si="27">SUM(D18*E18)</f>
        <v>0</v>
      </c>
      <c r="G18" s="471">
        <v>8755</v>
      </c>
      <c r="H18" s="475">
        <v>50</v>
      </c>
      <c r="I18" s="473">
        <f t="shared" si="1"/>
        <v>437750</v>
      </c>
      <c r="J18" s="471"/>
      <c r="K18" s="476">
        <v>60</v>
      </c>
      <c r="L18" s="473">
        <f t="shared" si="2"/>
        <v>0</v>
      </c>
      <c r="M18" s="471">
        <v>4009</v>
      </c>
      <c r="N18" s="476">
        <v>15</v>
      </c>
      <c r="O18" s="473">
        <f t="shared" si="3"/>
        <v>60135</v>
      </c>
      <c r="P18" s="471">
        <v>1120</v>
      </c>
      <c r="Q18" s="477">
        <v>12</v>
      </c>
      <c r="R18" s="473">
        <f t="shared" si="4"/>
        <v>13440</v>
      </c>
      <c r="S18" s="471">
        <v>1802</v>
      </c>
      <c r="T18" s="473">
        <f t="shared" si="5"/>
        <v>14416</v>
      </c>
      <c r="U18" s="471">
        <v>1362</v>
      </c>
      <c r="V18" s="476">
        <v>12</v>
      </c>
      <c r="W18" s="473">
        <f t="shared" si="6"/>
        <v>16344</v>
      </c>
      <c r="X18" s="471">
        <v>979</v>
      </c>
      <c r="Y18" s="476">
        <v>10</v>
      </c>
      <c r="Z18" s="473">
        <f t="shared" si="7"/>
        <v>9790</v>
      </c>
      <c r="AA18" s="471">
        <v>853</v>
      </c>
      <c r="AB18" s="476">
        <v>25</v>
      </c>
      <c r="AC18" s="473">
        <f t="shared" si="8"/>
        <v>21325</v>
      </c>
      <c r="AD18" s="471"/>
      <c r="AE18" s="476">
        <v>7.5</v>
      </c>
      <c r="AF18" s="473">
        <f t="shared" si="9"/>
        <v>0</v>
      </c>
      <c r="AG18" s="471"/>
      <c r="AH18" s="475">
        <v>15</v>
      </c>
      <c r="AI18" s="473">
        <f t="shared" si="10"/>
        <v>0</v>
      </c>
      <c r="AJ18" s="471"/>
      <c r="AK18" s="476">
        <v>10</v>
      </c>
      <c r="AL18" s="473">
        <f t="shared" si="11"/>
        <v>0</v>
      </c>
      <c r="AM18" s="471">
        <f t="shared" si="12"/>
        <v>6116</v>
      </c>
      <c r="AN18" s="471"/>
      <c r="AO18" s="478"/>
      <c r="AP18" s="471"/>
      <c r="AQ18" s="471"/>
      <c r="AR18" s="473"/>
      <c r="AS18" s="471"/>
      <c r="AT18" s="471"/>
      <c r="AU18" s="479">
        <v>1638</v>
      </c>
      <c r="AV18" s="471"/>
      <c r="AW18" s="530">
        <f t="shared" si="13"/>
        <v>0.45790976584808679</v>
      </c>
      <c r="AX18" s="530">
        <f t="shared" si="14"/>
        <v>0.69857224443175325</v>
      </c>
      <c r="AY18" s="530">
        <f t="shared" si="15"/>
        <v>0.40858069343976056</v>
      </c>
      <c r="AZ18" s="531">
        <f t="shared" si="16"/>
        <v>513065</v>
      </c>
      <c r="BA18" s="531">
        <f t="shared" si="17"/>
        <v>472515</v>
      </c>
      <c r="BB18" s="531">
        <f t="shared" si="18"/>
        <v>513065</v>
      </c>
      <c r="BC18" s="531">
        <f t="shared" si="19"/>
        <v>513065</v>
      </c>
      <c r="BD18" s="546">
        <v>4</v>
      </c>
      <c r="BE18" s="532">
        <v>606779</v>
      </c>
      <c r="BF18" s="532">
        <v>392320</v>
      </c>
      <c r="BG18" s="533">
        <f t="shared" si="20"/>
        <v>64.656159820956233</v>
      </c>
      <c r="BH18" s="534">
        <f t="shared" ref="BH18:BH45" si="28">SUM(BW18+BX18+BY18+BZ18)</f>
        <v>57861.25</v>
      </c>
      <c r="BI18" s="535">
        <f t="shared" ref="BI18:BI46" si="29">SUM(CA18+CB18+CC18+CD18)</f>
        <v>9.5358029859306276E-2</v>
      </c>
      <c r="BJ18" s="536">
        <v>45950</v>
      </c>
      <c r="BK18" s="536">
        <f t="shared" ref="BK18:BK45" si="30">+BS18/BJ18</f>
        <v>3.4963155603917304</v>
      </c>
      <c r="BL18" s="536"/>
      <c r="BM18" s="536" t="e">
        <f t="shared" ref="BM18:BM45" si="31">+BS18/BL18</f>
        <v>#DIV/0!</v>
      </c>
      <c r="BN18" s="536" t="e">
        <f>#REF!</f>
        <v>#REF!</v>
      </c>
      <c r="BO18" s="536" t="e">
        <f t="shared" ref="BO18:BO45" si="32">+BS18/BN18</f>
        <v>#REF!</v>
      </c>
      <c r="BP18" s="537" t="e">
        <f>BS18-BJ18-BL18-BN18-BW18-BX18-BY18-BZ18</f>
        <v>#REF!</v>
      </c>
      <c r="BQ18" s="536" t="e">
        <f t="shared" ref="BQ18:BQ45" si="33">+BS18/BP18</f>
        <v>#REF!</v>
      </c>
      <c r="BR18" s="536">
        <v>18000</v>
      </c>
      <c r="BS18" s="537">
        <v>160655.70000000001</v>
      </c>
      <c r="BT18" s="539">
        <f>+BS18/BE18%</f>
        <v>26.476806217749793</v>
      </c>
      <c r="BU18" s="532">
        <f>SUM(BE18-BF18-BS18)</f>
        <v>53803.299999999988</v>
      </c>
      <c r="BV18" s="533">
        <f>+BU18/BE18%</f>
        <v>8.8670339612939788</v>
      </c>
      <c r="BW18" s="473">
        <v>20870</v>
      </c>
      <c r="BX18" s="473">
        <v>14319</v>
      </c>
      <c r="BY18" s="473">
        <v>16488</v>
      </c>
      <c r="BZ18" s="473">
        <v>6184.25</v>
      </c>
      <c r="CA18" s="482">
        <f>BW18/BE18</f>
        <v>3.4394730206549665E-2</v>
      </c>
      <c r="CB18" s="482">
        <f>BX18/BE18</f>
        <v>2.3598377663037119E-2</v>
      </c>
      <c r="CC18" s="482">
        <f>BY18/BE18</f>
        <v>2.7172990495715903E-2</v>
      </c>
      <c r="CD18" s="482">
        <f>BZ18/BE18</f>
        <v>1.0191931494003582E-2</v>
      </c>
      <c r="CE18" s="480">
        <f>+BU18*20%</f>
        <v>10760.659999999998</v>
      </c>
      <c r="CF18" s="483">
        <f>BU18*90%</f>
        <v>48422.969999999994</v>
      </c>
    </row>
    <row r="19" spans="1:85" ht="18.75" customHeight="1" x14ac:dyDescent="0.45">
      <c r="A19" s="469">
        <f t="shared" si="23"/>
        <v>12</v>
      </c>
      <c r="B19" s="470" t="s">
        <v>118</v>
      </c>
      <c r="C19" s="470"/>
      <c r="D19" s="471"/>
      <c r="E19" s="472">
        <v>40</v>
      </c>
      <c r="F19" s="473">
        <f t="shared" si="27"/>
        <v>0</v>
      </c>
      <c r="G19" s="471">
        <v>13082</v>
      </c>
      <c r="H19" s="475">
        <v>50</v>
      </c>
      <c r="I19" s="473">
        <f t="shared" si="1"/>
        <v>654100</v>
      </c>
      <c r="J19" s="471"/>
      <c r="K19" s="476">
        <v>60</v>
      </c>
      <c r="L19" s="473">
        <f t="shared" si="2"/>
        <v>0</v>
      </c>
      <c r="M19" s="471">
        <v>9511</v>
      </c>
      <c r="N19" s="476">
        <v>15</v>
      </c>
      <c r="O19" s="473">
        <f t="shared" si="3"/>
        <v>142665</v>
      </c>
      <c r="P19" s="471"/>
      <c r="Q19" s="477">
        <v>12</v>
      </c>
      <c r="R19" s="473">
        <f t="shared" si="4"/>
        <v>0</v>
      </c>
      <c r="S19" s="471">
        <v>1290</v>
      </c>
      <c r="T19" s="473">
        <f t="shared" si="5"/>
        <v>10320</v>
      </c>
      <c r="U19" s="471">
        <v>644</v>
      </c>
      <c r="V19" s="476">
        <v>12</v>
      </c>
      <c r="W19" s="473">
        <f t="shared" si="6"/>
        <v>7728</v>
      </c>
      <c r="X19" s="471">
        <v>1233</v>
      </c>
      <c r="Y19" s="476">
        <v>10</v>
      </c>
      <c r="Z19" s="473">
        <f t="shared" si="7"/>
        <v>12330</v>
      </c>
      <c r="AA19" s="471">
        <v>317</v>
      </c>
      <c r="AB19" s="476">
        <v>25</v>
      </c>
      <c r="AC19" s="473">
        <f t="shared" si="8"/>
        <v>7925</v>
      </c>
      <c r="AD19" s="471"/>
      <c r="AE19" s="476">
        <v>7.5</v>
      </c>
      <c r="AF19" s="473">
        <f t="shared" si="9"/>
        <v>0</v>
      </c>
      <c r="AG19" s="471"/>
      <c r="AH19" s="475">
        <v>15</v>
      </c>
      <c r="AI19" s="473">
        <f t="shared" si="10"/>
        <v>0</v>
      </c>
      <c r="AJ19" s="471">
        <v>566</v>
      </c>
      <c r="AK19" s="476">
        <v>10</v>
      </c>
      <c r="AL19" s="473">
        <f t="shared" si="11"/>
        <v>5660</v>
      </c>
      <c r="AM19" s="471">
        <f t="shared" si="12"/>
        <v>4050</v>
      </c>
      <c r="AN19" s="471"/>
      <c r="AO19" s="478"/>
      <c r="AP19" s="471"/>
      <c r="AQ19" s="471"/>
      <c r="AR19" s="473"/>
      <c r="AS19" s="471"/>
      <c r="AT19" s="471"/>
      <c r="AU19" s="479">
        <v>2261</v>
      </c>
      <c r="AV19" s="471"/>
      <c r="AW19" s="530">
        <f t="shared" si="13"/>
        <v>0.7270295061917138</v>
      </c>
      <c r="AX19" s="530">
        <f t="shared" si="14"/>
        <v>0.3095856902614279</v>
      </c>
      <c r="AY19" s="530">
        <f t="shared" si="15"/>
        <v>0.23772473977499736</v>
      </c>
      <c r="AZ19" s="531">
        <f t="shared" si="16"/>
        <v>692403</v>
      </c>
      <c r="BA19" s="531">
        <f t="shared" si="17"/>
        <v>662025</v>
      </c>
      <c r="BB19" s="531">
        <f t="shared" si="18"/>
        <v>692403</v>
      </c>
      <c r="BC19" s="531">
        <f t="shared" si="19"/>
        <v>692403</v>
      </c>
      <c r="BD19" s="546">
        <v>6</v>
      </c>
      <c r="BE19" s="532">
        <v>894608</v>
      </c>
      <c r="BF19" s="532">
        <v>597642.63</v>
      </c>
      <c r="BG19" s="533">
        <f t="shared" si="20"/>
        <v>66.804972680771911</v>
      </c>
      <c r="BH19" s="534">
        <f t="shared" si="28"/>
        <v>55156</v>
      </c>
      <c r="BI19" s="535">
        <f t="shared" si="29"/>
        <v>6.1653819326453599E-2</v>
      </c>
      <c r="BJ19" s="541">
        <f>59050+1200</f>
        <v>60250</v>
      </c>
      <c r="BK19" s="541">
        <f t="shared" si="30"/>
        <v>3.1661551867219919</v>
      </c>
      <c r="BL19" s="541">
        <v>500</v>
      </c>
      <c r="BM19" s="541">
        <f t="shared" si="31"/>
        <v>381.52170000000001</v>
      </c>
      <c r="BN19" s="542"/>
      <c r="BO19" s="541" t="e">
        <f t="shared" si="32"/>
        <v>#DIV/0!</v>
      </c>
      <c r="BP19" s="542"/>
      <c r="BQ19" s="541" t="e">
        <f t="shared" si="33"/>
        <v>#DIV/0!</v>
      </c>
      <c r="BR19" s="541">
        <v>22050</v>
      </c>
      <c r="BS19" s="543">
        <v>190760.85</v>
      </c>
      <c r="BT19" s="539">
        <f>+BS19/BE19%</f>
        <v>21.323400863842043</v>
      </c>
      <c r="BU19" s="532">
        <f>SUM(BE19-BF19-BS19)</f>
        <v>106204.51999999999</v>
      </c>
      <c r="BV19" s="533">
        <f>+BU19/BE19%</f>
        <v>11.871626455386044</v>
      </c>
      <c r="BW19" s="481">
        <v>21056</v>
      </c>
      <c r="BX19" s="481">
        <v>12728</v>
      </c>
      <c r="BY19" s="481">
        <v>17862</v>
      </c>
      <c r="BZ19" s="481">
        <v>3510</v>
      </c>
      <c r="CA19" s="482">
        <f>BW19/BE19</f>
        <v>2.3536565736054227E-2</v>
      </c>
      <c r="CB19" s="482">
        <f>BX19/BE19</f>
        <v>1.4227460519020621E-2</v>
      </c>
      <c r="CC19" s="482">
        <f>BY19/BE19</f>
        <v>1.9966286910020926E-2</v>
      </c>
      <c r="CD19" s="482">
        <f>BZ19/BE19</f>
        <v>3.923506161357824E-3</v>
      </c>
      <c r="CE19" s="480">
        <f>+BU19*20%</f>
        <v>21240.903999999999</v>
      </c>
      <c r="CF19" s="483">
        <f>BU19*90%</f>
        <v>95584.067999999999</v>
      </c>
    </row>
    <row r="20" spans="1:85" ht="18.75" customHeight="1" x14ac:dyDescent="0.45">
      <c r="A20" s="469">
        <f t="shared" si="23"/>
        <v>13</v>
      </c>
      <c r="B20" s="470" t="s">
        <v>207</v>
      </c>
      <c r="C20" s="470"/>
      <c r="D20" s="471"/>
      <c r="E20" s="472">
        <v>40</v>
      </c>
      <c r="F20" s="473">
        <f t="shared" si="27"/>
        <v>0</v>
      </c>
      <c r="G20" s="471">
        <v>8396</v>
      </c>
      <c r="H20" s="475">
        <v>50</v>
      </c>
      <c r="I20" s="473">
        <f t="shared" si="1"/>
        <v>419800</v>
      </c>
      <c r="J20" s="471"/>
      <c r="K20" s="476">
        <v>60</v>
      </c>
      <c r="L20" s="473">
        <f t="shared" si="2"/>
        <v>0</v>
      </c>
      <c r="M20" s="471">
        <v>3072</v>
      </c>
      <c r="N20" s="476">
        <v>15</v>
      </c>
      <c r="O20" s="473">
        <f t="shared" si="3"/>
        <v>46080</v>
      </c>
      <c r="P20" s="471">
        <v>1260</v>
      </c>
      <c r="Q20" s="477">
        <v>12</v>
      </c>
      <c r="R20" s="473">
        <f t="shared" si="4"/>
        <v>15120</v>
      </c>
      <c r="S20" s="471">
        <v>366</v>
      </c>
      <c r="T20" s="473">
        <f t="shared" si="5"/>
        <v>2928</v>
      </c>
      <c r="U20" s="471">
        <v>599</v>
      </c>
      <c r="V20" s="476">
        <v>12</v>
      </c>
      <c r="W20" s="473">
        <f t="shared" si="6"/>
        <v>7188</v>
      </c>
      <c r="X20" s="471">
        <v>660</v>
      </c>
      <c r="Y20" s="476">
        <v>10</v>
      </c>
      <c r="Z20" s="473">
        <f t="shared" si="7"/>
        <v>6600</v>
      </c>
      <c r="AA20" s="471">
        <v>158</v>
      </c>
      <c r="AB20" s="476">
        <v>25</v>
      </c>
      <c r="AC20" s="473">
        <f t="shared" si="8"/>
        <v>3950</v>
      </c>
      <c r="AD20" s="471"/>
      <c r="AE20" s="476">
        <v>7.5</v>
      </c>
      <c r="AF20" s="473">
        <f t="shared" si="9"/>
        <v>0</v>
      </c>
      <c r="AG20" s="471"/>
      <c r="AH20" s="475">
        <v>15</v>
      </c>
      <c r="AI20" s="473">
        <f t="shared" si="10"/>
        <v>0</v>
      </c>
      <c r="AJ20" s="471">
        <v>262</v>
      </c>
      <c r="AK20" s="476">
        <v>10</v>
      </c>
      <c r="AL20" s="473">
        <f t="shared" si="11"/>
        <v>2620</v>
      </c>
      <c r="AM20" s="471">
        <f t="shared" si="12"/>
        <v>3305</v>
      </c>
      <c r="AN20" s="471"/>
      <c r="AO20" s="478"/>
      <c r="AP20" s="471"/>
      <c r="AQ20" s="471"/>
      <c r="AR20" s="473"/>
      <c r="AS20" s="471"/>
      <c r="AT20" s="471"/>
      <c r="AU20" s="479">
        <v>1608</v>
      </c>
      <c r="AV20" s="471"/>
      <c r="AW20" s="530">
        <f t="shared" si="13"/>
        <v>0.36588851834206765</v>
      </c>
      <c r="AX20" s="530">
        <f t="shared" si="14"/>
        <v>0.39363982848975704</v>
      </c>
      <c r="AY20" s="530">
        <f t="shared" si="15"/>
        <v>0.5234375</v>
      </c>
      <c r="AZ20" s="531">
        <f t="shared" si="16"/>
        <v>455586</v>
      </c>
      <c r="BA20" s="531">
        <f t="shared" si="17"/>
        <v>438870</v>
      </c>
      <c r="BB20" s="531">
        <f t="shared" si="18"/>
        <v>455586</v>
      </c>
      <c r="BC20" s="531">
        <f t="shared" si="19"/>
        <v>455586</v>
      </c>
      <c r="BD20" s="546">
        <v>4</v>
      </c>
      <c r="BE20" s="532">
        <v>540415</v>
      </c>
      <c r="BF20" s="532">
        <v>352011.91</v>
      </c>
      <c r="BG20" s="533">
        <f t="shared" si="20"/>
        <v>65.137331495239764</v>
      </c>
      <c r="BH20" s="534">
        <f t="shared" si="28"/>
        <v>39418</v>
      </c>
      <c r="BI20" s="535">
        <f t="shared" si="29"/>
        <v>7.2940240370826123E-2</v>
      </c>
      <c r="BJ20" s="541">
        <v>35110</v>
      </c>
      <c r="BK20" s="541">
        <f t="shared" si="30"/>
        <v>4.2911609228140133</v>
      </c>
      <c r="BL20" s="541">
        <v>310</v>
      </c>
      <c r="BM20" s="541">
        <f t="shared" si="31"/>
        <v>486.00858064516132</v>
      </c>
      <c r="BN20" s="542"/>
      <c r="BO20" s="541" t="e">
        <f t="shared" si="32"/>
        <v>#DIV/0!</v>
      </c>
      <c r="BP20" s="542"/>
      <c r="BQ20" s="541" t="e">
        <f t="shared" si="33"/>
        <v>#DIV/0!</v>
      </c>
      <c r="BR20" s="541">
        <v>36000</v>
      </c>
      <c r="BS20" s="543">
        <v>150662.66</v>
      </c>
      <c r="BT20" s="539">
        <f>+BS20/BE20%</f>
        <v>27.879067013313843</v>
      </c>
      <c r="BU20" s="532">
        <f>SUM(BE20-BF20-BS20)</f>
        <v>37740.430000000022</v>
      </c>
      <c r="BV20" s="533">
        <f>+BU20/BE20%</f>
        <v>6.9836014914463931</v>
      </c>
      <c r="BW20" s="481">
        <v>13134</v>
      </c>
      <c r="BX20" s="481">
        <v>10380</v>
      </c>
      <c r="BY20" s="481">
        <v>11104</v>
      </c>
      <c r="BZ20" s="481">
        <v>4800</v>
      </c>
      <c r="CA20" s="482">
        <f>BW20/BE20</f>
        <v>2.4303544498209709E-2</v>
      </c>
      <c r="CB20" s="482">
        <f>BX20/BE20</f>
        <v>1.9207460932801644E-2</v>
      </c>
      <c r="CC20" s="482">
        <f>BY20/BE20</f>
        <v>2.0547172080715746E-2</v>
      </c>
      <c r="CD20" s="482">
        <f>BZ20/BE20</f>
        <v>8.8820628590990259E-3</v>
      </c>
      <c r="CE20" s="480">
        <f>+BU20*20%</f>
        <v>7548.0860000000048</v>
      </c>
      <c r="CF20" s="483">
        <f>BU20*90%</f>
        <v>33966.387000000024</v>
      </c>
    </row>
    <row r="21" spans="1:85" ht="18.75" customHeight="1" x14ac:dyDescent="0.45">
      <c r="A21" s="469">
        <f t="shared" si="23"/>
        <v>14</v>
      </c>
      <c r="B21" s="470" t="s">
        <v>208</v>
      </c>
      <c r="C21" s="470"/>
      <c r="D21" s="471"/>
      <c r="E21" s="472">
        <v>40</v>
      </c>
      <c r="F21" s="473">
        <f t="shared" si="27"/>
        <v>0</v>
      </c>
      <c r="G21" s="471">
        <v>7478</v>
      </c>
      <c r="H21" s="475">
        <v>50</v>
      </c>
      <c r="I21" s="473">
        <f t="shared" si="1"/>
        <v>373900</v>
      </c>
      <c r="J21" s="471"/>
      <c r="K21" s="476">
        <v>60</v>
      </c>
      <c r="L21" s="473">
        <f t="shared" si="2"/>
        <v>0</v>
      </c>
      <c r="M21" s="471">
        <v>2486</v>
      </c>
      <c r="N21" s="476">
        <v>15</v>
      </c>
      <c r="O21" s="473">
        <f t="shared" si="3"/>
        <v>37290</v>
      </c>
      <c r="P21" s="471">
        <v>2010</v>
      </c>
      <c r="Q21" s="477">
        <v>12</v>
      </c>
      <c r="R21" s="473">
        <f t="shared" si="4"/>
        <v>24120</v>
      </c>
      <c r="S21" s="471">
        <v>582</v>
      </c>
      <c r="T21" s="473">
        <f t="shared" si="5"/>
        <v>4656</v>
      </c>
      <c r="U21" s="471">
        <v>310</v>
      </c>
      <c r="V21" s="476">
        <v>12</v>
      </c>
      <c r="W21" s="473">
        <f t="shared" si="6"/>
        <v>3720</v>
      </c>
      <c r="X21" s="471">
        <v>700</v>
      </c>
      <c r="Y21" s="476">
        <v>10</v>
      </c>
      <c r="Z21" s="473">
        <f t="shared" si="7"/>
        <v>7000</v>
      </c>
      <c r="AA21" s="471">
        <v>233</v>
      </c>
      <c r="AB21" s="476">
        <v>233</v>
      </c>
      <c r="AC21" s="473">
        <f t="shared" si="8"/>
        <v>54289</v>
      </c>
      <c r="AD21" s="471"/>
      <c r="AE21" s="476">
        <v>7.5</v>
      </c>
      <c r="AF21" s="473">
        <f t="shared" si="9"/>
        <v>0</v>
      </c>
      <c r="AG21" s="471"/>
      <c r="AH21" s="475">
        <v>15</v>
      </c>
      <c r="AI21" s="473">
        <f t="shared" si="10"/>
        <v>0</v>
      </c>
      <c r="AJ21" s="471">
        <v>186</v>
      </c>
      <c r="AK21" s="476">
        <v>10</v>
      </c>
      <c r="AL21" s="473">
        <f t="shared" si="11"/>
        <v>1860</v>
      </c>
      <c r="AM21" s="471">
        <f t="shared" si="12"/>
        <v>4021</v>
      </c>
      <c r="AN21" s="471"/>
      <c r="AO21" s="478"/>
      <c r="AP21" s="471"/>
      <c r="AQ21" s="471"/>
      <c r="AR21" s="473"/>
      <c r="AS21" s="471"/>
      <c r="AT21" s="471"/>
      <c r="AU21" s="479">
        <v>1114</v>
      </c>
      <c r="AV21" s="471"/>
      <c r="AW21" s="530">
        <f t="shared" si="13"/>
        <v>0.3324418293661407</v>
      </c>
      <c r="AX21" s="530">
        <f t="shared" si="14"/>
        <v>0.53771061781224927</v>
      </c>
      <c r="AY21" s="530">
        <f t="shared" si="15"/>
        <v>0.4481094127111826</v>
      </c>
      <c r="AZ21" s="531">
        <f t="shared" si="16"/>
        <v>467685</v>
      </c>
      <c r="BA21" s="531">
        <f t="shared" si="17"/>
        <v>452309</v>
      </c>
      <c r="BB21" s="531">
        <f t="shared" si="18"/>
        <v>467685</v>
      </c>
      <c r="BC21" s="531">
        <f t="shared" si="19"/>
        <v>467685</v>
      </c>
      <c r="BD21" s="546">
        <v>3</v>
      </c>
      <c r="BE21" s="532">
        <v>484441</v>
      </c>
      <c r="BF21" s="532">
        <v>315591.96999999997</v>
      </c>
      <c r="BG21" s="533">
        <f t="shared" si="20"/>
        <v>65.145594613172705</v>
      </c>
      <c r="BH21" s="534">
        <f t="shared" si="28"/>
        <v>32852</v>
      </c>
      <c r="BI21" s="535">
        <f t="shared" si="29"/>
        <v>6.7814243633383633E-2</v>
      </c>
      <c r="BJ21" s="541">
        <v>36000</v>
      </c>
      <c r="BK21" s="541">
        <f t="shared" si="30"/>
        <v>3.1184266666666667</v>
      </c>
      <c r="BL21" s="542"/>
      <c r="BM21" s="541" t="e">
        <f t="shared" si="31"/>
        <v>#DIV/0!</v>
      </c>
      <c r="BN21" s="542"/>
      <c r="BO21" s="541" t="e">
        <f t="shared" si="32"/>
        <v>#DIV/0!</v>
      </c>
      <c r="BP21" s="542"/>
      <c r="BQ21" s="541" t="e">
        <f t="shared" si="33"/>
        <v>#DIV/0!</v>
      </c>
      <c r="BR21" s="541">
        <v>15000</v>
      </c>
      <c r="BS21" s="543">
        <v>112263.36</v>
      </c>
      <c r="BT21" s="539">
        <f>+BS21/BE21%</f>
        <v>23.173794125600434</v>
      </c>
      <c r="BU21" s="532">
        <f>SUM(BE21-BF21-BS21)</f>
        <v>56585.670000000027</v>
      </c>
      <c r="BV21" s="533">
        <f>+BU21/BE21%</f>
        <v>11.680611261226863</v>
      </c>
      <c r="BW21" s="481">
        <v>9074</v>
      </c>
      <c r="BX21" s="481">
        <v>9546</v>
      </c>
      <c r="BY21" s="481">
        <v>10992</v>
      </c>
      <c r="BZ21" s="481">
        <v>3240</v>
      </c>
      <c r="CA21" s="482">
        <f>BW21/BE21</f>
        <v>1.8730867123137804E-2</v>
      </c>
      <c r="CB21" s="482">
        <f>BX21/BE21</f>
        <v>1.9705185977239748E-2</v>
      </c>
      <c r="CC21" s="482">
        <f>BY21/BE21</f>
        <v>2.2690069585357145E-2</v>
      </c>
      <c r="CD21" s="482">
        <f>BZ21/BE21</f>
        <v>6.6881209476489399E-3</v>
      </c>
      <c r="CE21" s="480">
        <f>+BU21*20%</f>
        <v>11317.134000000005</v>
      </c>
      <c r="CF21" s="483">
        <f>BU21*90%</f>
        <v>50927.103000000025</v>
      </c>
    </row>
    <row r="22" spans="1:85" ht="18.75" customHeight="1" x14ac:dyDescent="0.45">
      <c r="A22" s="469">
        <f t="shared" si="23"/>
        <v>15</v>
      </c>
      <c r="B22" s="470" t="s">
        <v>97</v>
      </c>
      <c r="C22" s="470"/>
      <c r="D22" s="471"/>
      <c r="E22" s="472">
        <v>40</v>
      </c>
      <c r="F22" s="473">
        <f t="shared" si="27"/>
        <v>0</v>
      </c>
      <c r="G22" s="471">
        <v>7681</v>
      </c>
      <c r="H22" s="475">
        <v>50</v>
      </c>
      <c r="I22" s="473">
        <f t="shared" si="1"/>
        <v>384050</v>
      </c>
      <c r="J22" s="471"/>
      <c r="K22" s="476">
        <v>60</v>
      </c>
      <c r="L22" s="473">
        <f t="shared" si="2"/>
        <v>0</v>
      </c>
      <c r="M22" s="471">
        <v>4346</v>
      </c>
      <c r="N22" s="476">
        <v>15</v>
      </c>
      <c r="O22" s="473">
        <f t="shared" si="3"/>
        <v>65190</v>
      </c>
      <c r="P22" s="471">
        <v>2731</v>
      </c>
      <c r="Q22" s="477">
        <v>12</v>
      </c>
      <c r="R22" s="473">
        <f t="shared" si="4"/>
        <v>32772</v>
      </c>
      <c r="S22" s="471">
        <v>713</v>
      </c>
      <c r="T22" s="473">
        <f t="shared" si="5"/>
        <v>5704</v>
      </c>
      <c r="U22" s="471">
        <v>262</v>
      </c>
      <c r="V22" s="476">
        <v>12</v>
      </c>
      <c r="W22" s="473">
        <f t="shared" si="6"/>
        <v>3144</v>
      </c>
      <c r="X22" s="471">
        <v>668</v>
      </c>
      <c r="Y22" s="476">
        <v>10</v>
      </c>
      <c r="Z22" s="473">
        <f t="shared" si="7"/>
        <v>6680</v>
      </c>
      <c r="AA22" s="471">
        <v>218</v>
      </c>
      <c r="AB22" s="476">
        <v>25</v>
      </c>
      <c r="AC22" s="473">
        <f t="shared" si="8"/>
        <v>5450</v>
      </c>
      <c r="AD22" s="471"/>
      <c r="AE22" s="476">
        <v>7.5</v>
      </c>
      <c r="AF22" s="473">
        <f t="shared" si="9"/>
        <v>0</v>
      </c>
      <c r="AG22" s="471"/>
      <c r="AH22" s="475">
        <v>15</v>
      </c>
      <c r="AI22" s="473">
        <f t="shared" si="10"/>
        <v>0</v>
      </c>
      <c r="AJ22" s="471">
        <v>195</v>
      </c>
      <c r="AK22" s="476">
        <v>10</v>
      </c>
      <c r="AL22" s="473">
        <f t="shared" si="11"/>
        <v>1950</v>
      </c>
      <c r="AM22" s="471">
        <f t="shared" si="12"/>
        <v>4787</v>
      </c>
      <c r="AN22" s="471"/>
      <c r="AO22" s="478"/>
      <c r="AP22" s="471"/>
      <c r="AQ22" s="471"/>
      <c r="AR22" s="473"/>
      <c r="AS22" s="471"/>
      <c r="AT22" s="471"/>
      <c r="AU22" s="479">
        <v>1347</v>
      </c>
      <c r="AV22" s="471"/>
      <c r="AW22" s="530">
        <f t="shared" si="13"/>
        <v>0.56581174326259598</v>
      </c>
      <c r="AX22" s="530">
        <f t="shared" si="14"/>
        <v>0.62322614242937113</v>
      </c>
      <c r="AY22" s="530">
        <f t="shared" si="15"/>
        <v>0.30994017487344683</v>
      </c>
      <c r="AZ22" s="531">
        <f t="shared" si="16"/>
        <v>437800</v>
      </c>
      <c r="BA22" s="531">
        <f t="shared" si="17"/>
        <v>422272</v>
      </c>
      <c r="BB22" s="531">
        <f t="shared" si="18"/>
        <v>437800</v>
      </c>
      <c r="BC22" s="531">
        <f t="shared" si="19"/>
        <v>437800</v>
      </c>
      <c r="BD22" s="546">
        <v>3</v>
      </c>
      <c r="BE22" s="532">
        <v>536510</v>
      </c>
      <c r="BF22" s="532">
        <v>357580.21</v>
      </c>
      <c r="BG22" s="533">
        <f t="shared" si="20"/>
        <v>66.64930942573298</v>
      </c>
      <c r="BH22" s="534">
        <f t="shared" si="28"/>
        <v>38517.5</v>
      </c>
      <c r="BI22" s="535">
        <f t="shared" si="29"/>
        <v>7.1792697247022419E-2</v>
      </c>
      <c r="BJ22" s="541">
        <f>38000+1200</f>
        <v>39200</v>
      </c>
      <c r="BK22" s="541">
        <f t="shared" si="30"/>
        <v>3.5363408163265304</v>
      </c>
      <c r="BL22" s="541">
        <v>1375</v>
      </c>
      <c r="BM22" s="541">
        <f t="shared" si="31"/>
        <v>100.81786181818181</v>
      </c>
      <c r="BN22" s="542"/>
      <c r="BO22" s="541" t="e">
        <f t="shared" si="32"/>
        <v>#DIV/0!</v>
      </c>
      <c r="BP22" s="542"/>
      <c r="BQ22" s="541" t="e">
        <f t="shared" si="33"/>
        <v>#DIV/0!</v>
      </c>
      <c r="BR22" s="541">
        <v>26750</v>
      </c>
      <c r="BS22" s="543">
        <v>138624.56</v>
      </c>
      <c r="BT22" s="539">
        <f>+BS22/BE22%</f>
        <v>25.83820618441408</v>
      </c>
      <c r="BU22" s="532">
        <f>SUM(BE22-BF22-BS22)</f>
        <v>40305.229999999981</v>
      </c>
      <c r="BV22" s="533">
        <f>+BU22/BE22%</f>
        <v>7.5124843898529345</v>
      </c>
      <c r="BW22" s="481">
        <v>12726</v>
      </c>
      <c r="BX22" s="481">
        <v>9546</v>
      </c>
      <c r="BY22" s="481">
        <v>12366</v>
      </c>
      <c r="BZ22" s="481">
        <f>3510+369.5</f>
        <v>3879.5</v>
      </c>
      <c r="CA22" s="482">
        <f>BW22/BE22</f>
        <v>2.3719967940951707E-2</v>
      </c>
      <c r="CB22" s="482">
        <f>BX22/BE22</f>
        <v>1.7792771802948686E-2</v>
      </c>
      <c r="CC22" s="482">
        <f>BY22/BE22</f>
        <v>2.3048964604574007E-2</v>
      </c>
      <c r="CD22" s="482">
        <f>BZ22/BE22</f>
        <v>7.2309928985480236E-3</v>
      </c>
      <c r="CE22" s="480">
        <f>+BU22*20%</f>
        <v>8061.0459999999966</v>
      </c>
      <c r="CF22" s="483">
        <f>BU22*90%</f>
        <v>36274.706999999988</v>
      </c>
    </row>
    <row r="23" spans="1:85" ht="18.75" customHeight="1" x14ac:dyDescent="0.45">
      <c r="A23" s="469">
        <f t="shared" si="23"/>
        <v>16</v>
      </c>
      <c r="B23" s="470" t="s">
        <v>99</v>
      </c>
      <c r="C23" s="470"/>
      <c r="D23" s="471"/>
      <c r="E23" s="472">
        <v>40</v>
      </c>
      <c r="F23" s="473">
        <f t="shared" si="27"/>
        <v>0</v>
      </c>
      <c r="G23" s="471">
        <v>6389</v>
      </c>
      <c r="H23" s="475">
        <v>50</v>
      </c>
      <c r="I23" s="473">
        <f t="shared" si="1"/>
        <v>319450</v>
      </c>
      <c r="J23" s="471"/>
      <c r="K23" s="476">
        <v>60</v>
      </c>
      <c r="L23" s="473">
        <f t="shared" si="2"/>
        <v>0</v>
      </c>
      <c r="M23" s="471">
        <v>4588</v>
      </c>
      <c r="N23" s="476">
        <v>15</v>
      </c>
      <c r="O23" s="473">
        <f t="shared" si="3"/>
        <v>68820</v>
      </c>
      <c r="P23" s="471">
        <v>2490</v>
      </c>
      <c r="Q23" s="477">
        <v>12</v>
      </c>
      <c r="R23" s="473">
        <f t="shared" si="4"/>
        <v>29880</v>
      </c>
      <c r="S23" s="471">
        <v>697</v>
      </c>
      <c r="T23" s="473">
        <f t="shared" si="5"/>
        <v>5576</v>
      </c>
      <c r="U23" s="471">
        <v>253</v>
      </c>
      <c r="V23" s="476">
        <v>12</v>
      </c>
      <c r="W23" s="473">
        <f t="shared" si="6"/>
        <v>3036</v>
      </c>
      <c r="X23" s="471">
        <v>723</v>
      </c>
      <c r="Y23" s="476">
        <v>10</v>
      </c>
      <c r="Z23" s="473">
        <f t="shared" si="7"/>
        <v>7230</v>
      </c>
      <c r="AA23" s="471">
        <v>422</v>
      </c>
      <c r="AB23" s="476">
        <v>25</v>
      </c>
      <c r="AC23" s="473">
        <f t="shared" si="8"/>
        <v>10550</v>
      </c>
      <c r="AD23" s="471"/>
      <c r="AE23" s="476">
        <v>7.5</v>
      </c>
      <c r="AF23" s="473">
        <f t="shared" si="9"/>
        <v>0</v>
      </c>
      <c r="AG23" s="471"/>
      <c r="AH23" s="475">
        <v>15</v>
      </c>
      <c r="AI23" s="473">
        <f t="shared" si="10"/>
        <v>0</v>
      </c>
      <c r="AJ23" s="471">
        <v>283</v>
      </c>
      <c r="AK23" s="476">
        <v>10</v>
      </c>
      <c r="AL23" s="473">
        <f t="shared" si="11"/>
        <v>2830</v>
      </c>
      <c r="AM23" s="471">
        <f t="shared" si="12"/>
        <v>4868</v>
      </c>
      <c r="AN23" s="471"/>
      <c r="AO23" s="478"/>
      <c r="AP23" s="471"/>
      <c r="AQ23" s="471"/>
      <c r="AR23" s="473"/>
      <c r="AS23" s="471"/>
      <c r="AT23" s="471"/>
      <c r="AU23" s="479">
        <v>1269</v>
      </c>
      <c r="AV23" s="471"/>
      <c r="AW23" s="530">
        <f t="shared" si="13"/>
        <v>0.71810925027390826</v>
      </c>
      <c r="AX23" s="530">
        <f t="shared" si="14"/>
        <v>0.7619345750508687</v>
      </c>
      <c r="AY23" s="530">
        <f t="shared" si="15"/>
        <v>0.27659110723626851</v>
      </c>
      <c r="AZ23" s="531">
        <f t="shared" si="16"/>
        <v>375722</v>
      </c>
      <c r="BA23" s="531">
        <f t="shared" si="17"/>
        <v>359880</v>
      </c>
      <c r="BB23" s="531">
        <f t="shared" si="18"/>
        <v>375722</v>
      </c>
      <c r="BC23" s="531">
        <f t="shared" si="19"/>
        <v>375722</v>
      </c>
      <c r="BD23" s="546">
        <v>4</v>
      </c>
      <c r="BE23" s="532">
        <v>477937</v>
      </c>
      <c r="BF23" s="532">
        <v>316847.88</v>
      </c>
      <c r="BG23" s="533">
        <f t="shared" si="20"/>
        <v>66.294904977015804</v>
      </c>
      <c r="BH23" s="534">
        <f t="shared" si="28"/>
        <v>39207.5</v>
      </c>
      <c r="BI23" s="535">
        <f t="shared" si="29"/>
        <v>8.2034870704716323E-2</v>
      </c>
      <c r="BJ23" s="541">
        <f>27550+1050</f>
        <v>28600</v>
      </c>
      <c r="BK23" s="541">
        <f t="shared" si="30"/>
        <v>4.7953839160839165</v>
      </c>
      <c r="BL23" s="541">
        <v>3287.5</v>
      </c>
      <c r="BM23" s="541">
        <f t="shared" si="31"/>
        <v>41.718016730038023</v>
      </c>
      <c r="BN23" s="542"/>
      <c r="BO23" s="541" t="e">
        <f t="shared" si="32"/>
        <v>#DIV/0!</v>
      </c>
      <c r="BP23" s="542"/>
      <c r="BQ23" s="541" t="e">
        <f t="shared" si="33"/>
        <v>#DIV/0!</v>
      </c>
      <c r="BR23" s="541">
        <v>35000</v>
      </c>
      <c r="BS23" s="543">
        <v>137147.98000000001</v>
      </c>
      <c r="BT23" s="539">
        <f>+BS23/BE23%</f>
        <v>28.69582811123642</v>
      </c>
      <c r="BU23" s="532">
        <f>SUM(BE23-BF23-BS23)</f>
        <v>23941.139999999985</v>
      </c>
      <c r="BV23" s="533">
        <f>+BU23/BE23%</f>
        <v>5.0092669117477797</v>
      </c>
      <c r="BW23" s="481">
        <v>13943.5</v>
      </c>
      <c r="BX23" s="481">
        <v>9546</v>
      </c>
      <c r="BY23" s="481">
        <v>12366</v>
      </c>
      <c r="BZ23" s="481">
        <f>3240+112</f>
        <v>3352</v>
      </c>
      <c r="CA23" s="482">
        <f>BW23/BE23</f>
        <v>2.9174347246603633E-2</v>
      </c>
      <c r="CB23" s="482">
        <f>BX23/BE23</f>
        <v>1.9973343767065534E-2</v>
      </c>
      <c r="CC23" s="482">
        <f>BY23/BE23</f>
        <v>2.5873703019435618E-2</v>
      </c>
      <c r="CD23" s="482">
        <f>BZ23/BE23</f>
        <v>7.0134766716115305E-3</v>
      </c>
      <c r="CE23" s="480">
        <f>+BU23*20%</f>
        <v>4788.2279999999973</v>
      </c>
      <c r="CF23" s="483">
        <f>BU23*90%</f>
        <v>21547.025999999987</v>
      </c>
    </row>
    <row r="24" spans="1:85" ht="18.75" customHeight="1" x14ac:dyDescent="0.45">
      <c r="A24" s="469">
        <f t="shared" si="23"/>
        <v>17</v>
      </c>
      <c r="B24" s="470" t="s">
        <v>246</v>
      </c>
      <c r="C24" s="470"/>
      <c r="D24" s="471"/>
      <c r="E24" s="472">
        <v>40</v>
      </c>
      <c r="F24" s="473">
        <f t="shared" si="27"/>
        <v>0</v>
      </c>
      <c r="G24" s="471">
        <v>4122</v>
      </c>
      <c r="H24" s="475">
        <v>50</v>
      </c>
      <c r="I24" s="473">
        <f t="shared" si="1"/>
        <v>206100</v>
      </c>
      <c r="J24" s="471"/>
      <c r="K24" s="476">
        <v>60</v>
      </c>
      <c r="L24" s="473">
        <f t="shared" si="2"/>
        <v>0</v>
      </c>
      <c r="M24" s="471">
        <v>1854</v>
      </c>
      <c r="N24" s="476">
        <v>15</v>
      </c>
      <c r="O24" s="473">
        <f t="shared" si="3"/>
        <v>27810</v>
      </c>
      <c r="P24" s="471">
        <v>1060</v>
      </c>
      <c r="Q24" s="477">
        <v>12</v>
      </c>
      <c r="R24" s="473">
        <f t="shared" si="4"/>
        <v>12720</v>
      </c>
      <c r="S24" s="471">
        <v>770</v>
      </c>
      <c r="T24" s="473">
        <f t="shared" si="5"/>
        <v>6160</v>
      </c>
      <c r="U24" s="471">
        <v>507</v>
      </c>
      <c r="V24" s="476">
        <v>12</v>
      </c>
      <c r="W24" s="473">
        <f t="shared" si="6"/>
        <v>6084</v>
      </c>
      <c r="X24" s="471">
        <v>800</v>
      </c>
      <c r="Y24" s="476">
        <v>10</v>
      </c>
      <c r="Z24" s="473">
        <f t="shared" si="7"/>
        <v>8000</v>
      </c>
      <c r="AA24" s="471">
        <v>206</v>
      </c>
      <c r="AB24" s="476">
        <v>25</v>
      </c>
      <c r="AC24" s="473">
        <f t="shared" si="8"/>
        <v>5150</v>
      </c>
      <c r="AD24" s="471"/>
      <c r="AE24" s="476">
        <v>7.5</v>
      </c>
      <c r="AF24" s="473">
        <f t="shared" si="9"/>
        <v>0</v>
      </c>
      <c r="AG24" s="471"/>
      <c r="AH24" s="475">
        <v>15</v>
      </c>
      <c r="AI24" s="473">
        <f t="shared" si="10"/>
        <v>0</v>
      </c>
      <c r="AJ24" s="471">
        <v>27</v>
      </c>
      <c r="AK24" s="476">
        <v>10</v>
      </c>
      <c r="AL24" s="473">
        <f t="shared" si="11"/>
        <v>270</v>
      </c>
      <c r="AM24" s="471">
        <f t="shared" si="12"/>
        <v>3370</v>
      </c>
      <c r="AN24" s="471"/>
      <c r="AO24" s="478"/>
      <c r="AP24" s="471"/>
      <c r="AQ24" s="471"/>
      <c r="AR24" s="473"/>
      <c r="AS24" s="471"/>
      <c r="AT24" s="471"/>
      <c r="AU24" s="479">
        <v>946</v>
      </c>
      <c r="AV24" s="471"/>
      <c r="AW24" s="530">
        <f t="shared" si="13"/>
        <v>0.44978165938864628</v>
      </c>
      <c r="AX24" s="530">
        <f t="shared" si="14"/>
        <v>0.81756428918000967</v>
      </c>
      <c r="AY24" s="530">
        <f t="shared" si="15"/>
        <v>0.51024811218985977</v>
      </c>
      <c r="AZ24" s="531">
        <f t="shared" si="16"/>
        <v>244214</v>
      </c>
      <c r="BA24" s="531">
        <f t="shared" si="17"/>
        <v>223970</v>
      </c>
      <c r="BB24" s="531">
        <f t="shared" si="18"/>
        <v>244214</v>
      </c>
      <c r="BC24" s="531">
        <f t="shared" si="19"/>
        <v>244214</v>
      </c>
      <c r="BD24" s="546"/>
      <c r="BE24" s="532">
        <v>291898</v>
      </c>
      <c r="BF24" s="532">
        <v>186824.16</v>
      </c>
      <c r="BG24" s="533">
        <f t="shared" si="20"/>
        <v>64.003234006399495</v>
      </c>
      <c r="BH24" s="534">
        <f t="shared" si="28"/>
        <v>21694.16</v>
      </c>
      <c r="BI24" s="535">
        <f t="shared" si="29"/>
        <v>7.432102994881773E-2</v>
      </c>
      <c r="BJ24" s="536">
        <v>25450</v>
      </c>
      <c r="BK24" s="536">
        <f t="shared" si="30"/>
        <v>3.6707273084479368</v>
      </c>
      <c r="BL24" s="536">
        <v>6903</v>
      </c>
      <c r="BM24" s="536">
        <f t="shared" si="31"/>
        <v>13.533247863247862</v>
      </c>
      <c r="BN24" s="536" t="e">
        <f>#REF!</f>
        <v>#REF!</v>
      </c>
      <c r="BO24" s="536" t="e">
        <f t="shared" si="32"/>
        <v>#REF!</v>
      </c>
      <c r="BP24" s="537" t="e">
        <f>BS24-BJ24-BL24-BN24-BW24-BX24-BY24-BZ24</f>
        <v>#REF!</v>
      </c>
      <c r="BQ24" s="536" t="e">
        <f t="shared" si="33"/>
        <v>#REF!</v>
      </c>
      <c r="BR24" s="536">
        <v>11000</v>
      </c>
      <c r="BS24" s="537">
        <v>93420.01</v>
      </c>
      <c r="BT24" s="539">
        <f>+BS24/BE24%</f>
        <v>32.00433370560949</v>
      </c>
      <c r="BU24" s="532">
        <f>SUM(BE24-BF24-BS24)</f>
        <v>11653.830000000002</v>
      </c>
      <c r="BV24" s="533">
        <f>+BU24/BE24%</f>
        <v>3.992432287991011</v>
      </c>
      <c r="BW24" s="473">
        <v>4270</v>
      </c>
      <c r="BX24" s="473">
        <v>6364</v>
      </c>
      <c r="BY24" s="473">
        <v>8244</v>
      </c>
      <c r="BZ24" s="473">
        <v>2816.16</v>
      </c>
      <c r="CA24" s="482">
        <f>BW24/BE24</f>
        <v>1.4628397590939301E-2</v>
      </c>
      <c r="CB24" s="482">
        <f>BX24/BE24</f>
        <v>2.1802136362702038E-2</v>
      </c>
      <c r="CC24" s="482">
        <f>BY24/BE24</f>
        <v>2.8242742327799438E-2</v>
      </c>
      <c r="CD24" s="482">
        <f>BZ24/BE24</f>
        <v>9.6477536673769595E-3</v>
      </c>
      <c r="CE24" s="480">
        <f>+BU24*20%</f>
        <v>2330.7660000000005</v>
      </c>
      <c r="CF24" s="483">
        <f>BU24*90%</f>
        <v>10488.447000000002</v>
      </c>
    </row>
    <row r="25" spans="1:85" ht="18.75" customHeight="1" x14ac:dyDescent="0.45">
      <c r="A25" s="469" t="e">
        <f>#REF!+1</f>
        <v>#REF!</v>
      </c>
      <c r="B25" s="470" t="s">
        <v>98</v>
      </c>
      <c r="C25" s="470"/>
      <c r="D25" s="471"/>
      <c r="E25" s="472">
        <v>40</v>
      </c>
      <c r="F25" s="473">
        <f t="shared" si="27"/>
        <v>0</v>
      </c>
      <c r="G25" s="471">
        <v>23508</v>
      </c>
      <c r="H25" s="475">
        <v>50</v>
      </c>
      <c r="I25" s="473">
        <f t="shared" si="1"/>
        <v>1175400</v>
      </c>
      <c r="J25" s="471"/>
      <c r="K25" s="476">
        <v>60</v>
      </c>
      <c r="L25" s="473">
        <f t="shared" si="2"/>
        <v>0</v>
      </c>
      <c r="M25" s="471">
        <v>21871</v>
      </c>
      <c r="N25" s="476">
        <v>15</v>
      </c>
      <c r="O25" s="473">
        <f t="shared" si="3"/>
        <v>328065</v>
      </c>
      <c r="P25" s="471"/>
      <c r="Q25" s="477">
        <v>12</v>
      </c>
      <c r="R25" s="473">
        <f t="shared" si="4"/>
        <v>0</v>
      </c>
      <c r="S25" s="471">
        <v>3520</v>
      </c>
      <c r="T25" s="473">
        <f t="shared" si="5"/>
        <v>28160</v>
      </c>
      <c r="U25" s="471">
        <v>882</v>
      </c>
      <c r="V25" s="476">
        <v>12</v>
      </c>
      <c r="W25" s="473">
        <f t="shared" si="6"/>
        <v>10584</v>
      </c>
      <c r="X25" s="471">
        <v>2840</v>
      </c>
      <c r="Y25" s="476">
        <v>10</v>
      </c>
      <c r="Z25" s="473">
        <f t="shared" si="7"/>
        <v>28400</v>
      </c>
      <c r="AA25" s="471">
        <v>1670</v>
      </c>
      <c r="AB25" s="476">
        <v>25</v>
      </c>
      <c r="AC25" s="473">
        <f t="shared" si="8"/>
        <v>41750</v>
      </c>
      <c r="AD25" s="471"/>
      <c r="AE25" s="476">
        <v>7.5</v>
      </c>
      <c r="AF25" s="473">
        <f t="shared" si="9"/>
        <v>0</v>
      </c>
      <c r="AG25" s="471">
        <v>983</v>
      </c>
      <c r="AH25" s="475">
        <v>10</v>
      </c>
      <c r="AI25" s="473">
        <f t="shared" si="10"/>
        <v>9830</v>
      </c>
      <c r="AJ25" s="471">
        <v>814</v>
      </c>
      <c r="AK25" s="476">
        <v>10</v>
      </c>
      <c r="AL25" s="473">
        <f t="shared" si="11"/>
        <v>8140</v>
      </c>
      <c r="AM25" s="471">
        <f t="shared" si="12"/>
        <v>9726</v>
      </c>
      <c r="AN25" s="471"/>
      <c r="AO25" s="478"/>
      <c r="AP25" s="471"/>
      <c r="AQ25" s="471"/>
      <c r="AR25" s="473"/>
      <c r="AS25" s="471"/>
      <c r="AT25" s="471">
        <v>10118</v>
      </c>
      <c r="AU25" s="479">
        <v>8271</v>
      </c>
      <c r="AV25" s="471"/>
      <c r="AW25" s="530">
        <f t="shared" si="13"/>
        <v>0.93036413135953722</v>
      </c>
      <c r="AX25" s="530">
        <f t="shared" si="14"/>
        <v>0.41373149566105155</v>
      </c>
      <c r="AY25" s="530">
        <f t="shared" si="15"/>
        <v>0.37817200859585753</v>
      </c>
      <c r="AZ25" s="531">
        <f t="shared" si="16"/>
        <v>1284294</v>
      </c>
      <c r="BA25" s="531">
        <f t="shared" si="17"/>
        <v>1217150</v>
      </c>
      <c r="BB25" s="531">
        <f t="shared" si="18"/>
        <v>1284294</v>
      </c>
      <c r="BC25" s="531">
        <f t="shared" si="19"/>
        <v>1284294</v>
      </c>
      <c r="BD25" s="546">
        <v>9</v>
      </c>
      <c r="BE25" s="532">
        <v>1814929</v>
      </c>
      <c r="BF25" s="532">
        <v>1194683.1100000001</v>
      </c>
      <c r="BG25" s="533">
        <f t="shared" si="20"/>
        <v>65.825335867133091</v>
      </c>
      <c r="BH25" s="534">
        <f t="shared" si="28"/>
        <v>96636</v>
      </c>
      <c r="BI25" s="535">
        <f t="shared" si="29"/>
        <v>5.324505807114218E-2</v>
      </c>
      <c r="BJ25" s="541">
        <f>98250+1150</f>
        <v>99400</v>
      </c>
      <c r="BK25" s="541">
        <f t="shared" si="30"/>
        <v>3.6202170020120725</v>
      </c>
      <c r="BL25" s="542"/>
      <c r="BM25" s="541" t="e">
        <f t="shared" si="31"/>
        <v>#DIV/0!</v>
      </c>
      <c r="BN25" s="542"/>
      <c r="BO25" s="541" t="e">
        <f t="shared" si="32"/>
        <v>#DIV/0!</v>
      </c>
      <c r="BP25" s="542"/>
      <c r="BQ25" s="541" t="e">
        <f t="shared" si="33"/>
        <v>#DIV/0!</v>
      </c>
      <c r="BR25" s="541">
        <v>69457.5</v>
      </c>
      <c r="BS25" s="543">
        <v>359849.57</v>
      </c>
      <c r="BT25" s="539">
        <f>+BS25/BE25%</f>
        <v>19.827198198937808</v>
      </c>
      <c r="BU25" s="532">
        <f>SUM(BE25-BF25-BS25)</f>
        <v>260396.31999999989</v>
      </c>
      <c r="BV25" s="533">
        <f>+BU25/BE25%</f>
        <v>14.347465933929088</v>
      </c>
      <c r="BW25" s="481">
        <v>29344</v>
      </c>
      <c r="BX25" s="481">
        <v>22274</v>
      </c>
      <c r="BY25" s="481">
        <v>35724</v>
      </c>
      <c r="BZ25" s="481">
        <f>7020+2274</f>
        <v>9294</v>
      </c>
      <c r="CA25" s="482">
        <f>BW25/BE25</f>
        <v>1.6168125585077985E-2</v>
      </c>
      <c r="CB25" s="482">
        <f>BX25/BE25</f>
        <v>1.2272656395925129E-2</v>
      </c>
      <c r="CC25" s="482">
        <f>BY25/BE25</f>
        <v>1.9683414612913234E-2</v>
      </c>
      <c r="CD25" s="482">
        <f>BZ25/BE25</f>
        <v>5.1208614772258309E-3</v>
      </c>
      <c r="CE25" s="480">
        <f>+BU25*20%</f>
        <v>52079.263999999981</v>
      </c>
      <c r="CF25" s="483">
        <f>BU25*90%</f>
        <v>234356.68799999991</v>
      </c>
    </row>
    <row r="26" spans="1:85" ht="18.75" customHeight="1" x14ac:dyDescent="0.45">
      <c r="A26" s="469" t="e">
        <f t="shared" ref="A26:A45" si="34">A25+1</f>
        <v>#REF!</v>
      </c>
      <c r="B26" s="470" t="s">
        <v>117</v>
      </c>
      <c r="C26" s="470"/>
      <c r="D26" s="471"/>
      <c r="E26" s="472">
        <v>40</v>
      </c>
      <c r="F26" s="473">
        <f t="shared" si="27"/>
        <v>0</v>
      </c>
      <c r="G26" s="471">
        <v>11966</v>
      </c>
      <c r="H26" s="475">
        <v>50</v>
      </c>
      <c r="I26" s="473">
        <f t="shared" si="1"/>
        <v>598300</v>
      </c>
      <c r="J26" s="471"/>
      <c r="K26" s="476">
        <v>60</v>
      </c>
      <c r="L26" s="473">
        <f t="shared" si="2"/>
        <v>0</v>
      </c>
      <c r="M26" s="471">
        <v>4593</v>
      </c>
      <c r="N26" s="476">
        <v>15</v>
      </c>
      <c r="O26" s="473">
        <f t="shared" si="3"/>
        <v>68895</v>
      </c>
      <c r="P26" s="471"/>
      <c r="Q26" s="477">
        <v>12</v>
      </c>
      <c r="R26" s="473">
        <f t="shared" si="4"/>
        <v>0</v>
      </c>
      <c r="S26" s="471">
        <v>615</v>
      </c>
      <c r="T26" s="473">
        <f t="shared" si="5"/>
        <v>4920</v>
      </c>
      <c r="U26" s="471">
        <v>439</v>
      </c>
      <c r="V26" s="476">
        <v>12</v>
      </c>
      <c r="W26" s="473">
        <f t="shared" si="6"/>
        <v>5268</v>
      </c>
      <c r="X26" s="471">
        <v>986</v>
      </c>
      <c r="Y26" s="476">
        <v>10</v>
      </c>
      <c r="Z26" s="473">
        <f t="shared" si="7"/>
        <v>9860</v>
      </c>
      <c r="AA26" s="471">
        <v>147</v>
      </c>
      <c r="AB26" s="476">
        <v>25</v>
      </c>
      <c r="AC26" s="473">
        <f t="shared" si="8"/>
        <v>3675</v>
      </c>
      <c r="AD26" s="471"/>
      <c r="AE26" s="476">
        <v>7.5</v>
      </c>
      <c r="AF26" s="473">
        <f t="shared" si="9"/>
        <v>0</v>
      </c>
      <c r="AG26" s="471"/>
      <c r="AH26" s="475">
        <v>15</v>
      </c>
      <c r="AI26" s="473">
        <f t="shared" si="10"/>
        <v>0</v>
      </c>
      <c r="AJ26" s="471"/>
      <c r="AK26" s="476">
        <v>10</v>
      </c>
      <c r="AL26" s="473">
        <f t="shared" si="11"/>
        <v>0</v>
      </c>
      <c r="AM26" s="471">
        <f t="shared" si="12"/>
        <v>2187</v>
      </c>
      <c r="AN26" s="471"/>
      <c r="AO26" s="478"/>
      <c r="AP26" s="471"/>
      <c r="AQ26" s="471"/>
      <c r="AR26" s="473"/>
      <c r="AS26" s="471"/>
      <c r="AT26" s="471"/>
      <c r="AU26" s="479">
        <v>2285</v>
      </c>
      <c r="AV26" s="471"/>
      <c r="AW26" s="530">
        <f t="shared" si="13"/>
        <v>0.38383753969580475</v>
      </c>
      <c r="AX26" s="530">
        <f t="shared" si="14"/>
        <v>0.18276784221962225</v>
      </c>
      <c r="AY26" s="530">
        <f t="shared" si="15"/>
        <v>0.49749618985412586</v>
      </c>
      <c r="AZ26" s="531">
        <f t="shared" si="16"/>
        <v>622023</v>
      </c>
      <c r="BA26" s="531">
        <f t="shared" si="17"/>
        <v>601975</v>
      </c>
      <c r="BB26" s="531">
        <f t="shared" si="18"/>
        <v>622023</v>
      </c>
      <c r="BC26" s="531">
        <f t="shared" si="19"/>
        <v>622023</v>
      </c>
      <c r="BD26" s="546">
        <v>6</v>
      </c>
      <c r="BE26" s="532">
        <v>743155</v>
      </c>
      <c r="BF26" s="532">
        <v>481572.24</v>
      </c>
      <c r="BG26" s="533">
        <f t="shared" si="20"/>
        <v>64.801049579159127</v>
      </c>
      <c r="BH26" s="534">
        <f t="shared" si="28"/>
        <v>61091</v>
      </c>
      <c r="BI26" s="535">
        <f t="shared" si="29"/>
        <v>8.2204923602747754E-2</v>
      </c>
      <c r="BJ26" s="541">
        <v>66162.5</v>
      </c>
      <c r="BK26" s="541">
        <f t="shared" si="30"/>
        <v>3.2048875118080482</v>
      </c>
      <c r="BL26" s="542"/>
      <c r="BM26" s="541" t="e">
        <f t="shared" si="31"/>
        <v>#DIV/0!</v>
      </c>
      <c r="BN26" s="542"/>
      <c r="BO26" s="541" t="e">
        <f t="shared" si="32"/>
        <v>#DIV/0!</v>
      </c>
      <c r="BP26" s="542"/>
      <c r="BQ26" s="541" t="e">
        <f t="shared" si="33"/>
        <v>#DIV/0!</v>
      </c>
      <c r="BR26" s="541">
        <v>26280</v>
      </c>
      <c r="BS26" s="543">
        <v>212043.37</v>
      </c>
      <c r="BT26" s="539">
        <f>+BS26/BE26%</f>
        <v>28.532859228559317</v>
      </c>
      <c r="BU26" s="532">
        <f>SUM(BE26-BF26-BS26)</f>
        <v>49539.390000000014</v>
      </c>
      <c r="BV26" s="533">
        <f>+BU26/BE26%</f>
        <v>6.6660911922815584</v>
      </c>
      <c r="BW26" s="481">
        <v>21056</v>
      </c>
      <c r="BX26" s="481">
        <v>14319</v>
      </c>
      <c r="BY26" s="481">
        <v>19236</v>
      </c>
      <c r="BZ26" s="481">
        <v>6480</v>
      </c>
      <c r="CA26" s="482">
        <f>BW26/BE26</f>
        <v>2.8333254839165451E-2</v>
      </c>
      <c r="CB26" s="482">
        <f>BX26/BE26</f>
        <v>1.9267851255794551E-2</v>
      </c>
      <c r="CC26" s="482">
        <f>BY26/BE26</f>
        <v>2.5884236801205669E-2</v>
      </c>
      <c r="CD26" s="482">
        <f>BZ26/BE26</f>
        <v>8.7195807065820717E-3</v>
      </c>
      <c r="CE26" s="480">
        <f>+BU26*20%</f>
        <v>9907.8780000000042</v>
      </c>
      <c r="CF26" s="483">
        <f>BU26*90%</f>
        <v>44585.451000000015</v>
      </c>
    </row>
    <row r="27" spans="1:85" ht="18.75" customHeight="1" x14ac:dyDescent="0.45">
      <c r="A27" s="469" t="e">
        <f t="shared" si="34"/>
        <v>#REF!</v>
      </c>
      <c r="B27" s="470" t="s">
        <v>213</v>
      </c>
      <c r="C27" s="470"/>
      <c r="D27" s="471"/>
      <c r="E27" s="472">
        <v>40</v>
      </c>
      <c r="F27" s="473">
        <f t="shared" si="27"/>
        <v>0</v>
      </c>
      <c r="G27" s="471">
        <v>4182</v>
      </c>
      <c r="H27" s="475">
        <v>50</v>
      </c>
      <c r="I27" s="473">
        <f t="shared" si="1"/>
        <v>209100</v>
      </c>
      <c r="J27" s="471"/>
      <c r="K27" s="476">
        <v>60</v>
      </c>
      <c r="L27" s="473">
        <f t="shared" si="2"/>
        <v>0</v>
      </c>
      <c r="M27" s="471">
        <v>1925</v>
      </c>
      <c r="N27" s="476">
        <v>15</v>
      </c>
      <c r="O27" s="473">
        <f t="shared" si="3"/>
        <v>28875</v>
      </c>
      <c r="P27" s="471">
        <v>730</v>
      </c>
      <c r="Q27" s="477">
        <v>12</v>
      </c>
      <c r="R27" s="473">
        <f t="shared" si="4"/>
        <v>8760</v>
      </c>
      <c r="S27" s="471">
        <v>278</v>
      </c>
      <c r="T27" s="473">
        <f t="shared" si="5"/>
        <v>2224</v>
      </c>
      <c r="U27" s="471">
        <v>149</v>
      </c>
      <c r="V27" s="476">
        <v>12</v>
      </c>
      <c r="W27" s="473">
        <f t="shared" si="6"/>
        <v>1788</v>
      </c>
      <c r="X27" s="471">
        <v>634</v>
      </c>
      <c r="Y27" s="476">
        <v>10</v>
      </c>
      <c r="Z27" s="473">
        <f t="shared" si="7"/>
        <v>6340</v>
      </c>
      <c r="AA27" s="471">
        <v>63</v>
      </c>
      <c r="AB27" s="476">
        <v>25</v>
      </c>
      <c r="AC27" s="473">
        <f t="shared" si="8"/>
        <v>1575</v>
      </c>
      <c r="AD27" s="471"/>
      <c r="AE27" s="476">
        <v>7.5</v>
      </c>
      <c r="AF27" s="473">
        <f t="shared" si="9"/>
        <v>0</v>
      </c>
      <c r="AG27" s="471"/>
      <c r="AH27" s="475">
        <v>15</v>
      </c>
      <c r="AI27" s="473">
        <f t="shared" si="10"/>
        <v>0</v>
      </c>
      <c r="AJ27" s="471">
        <v>23</v>
      </c>
      <c r="AK27" s="476">
        <v>10</v>
      </c>
      <c r="AL27" s="473">
        <f t="shared" si="11"/>
        <v>230</v>
      </c>
      <c r="AM27" s="471">
        <f t="shared" si="12"/>
        <v>1877</v>
      </c>
      <c r="AN27" s="471"/>
      <c r="AO27" s="478"/>
      <c r="AP27" s="471"/>
      <c r="AQ27" s="471"/>
      <c r="AR27" s="473"/>
      <c r="AS27" s="471"/>
      <c r="AT27" s="471"/>
      <c r="AU27" s="479">
        <v>614</v>
      </c>
      <c r="AV27" s="471"/>
      <c r="AW27" s="530">
        <f t="shared" si="13"/>
        <v>0.4603060736489718</v>
      </c>
      <c r="AX27" s="530">
        <f t="shared" si="14"/>
        <v>0.44882831181252991</v>
      </c>
      <c r="AY27" s="530">
        <f t="shared" si="15"/>
        <v>0.31896103896103895</v>
      </c>
      <c r="AZ27" s="531">
        <f t="shared" si="16"/>
        <v>229787</v>
      </c>
      <c r="BA27" s="531">
        <f t="shared" si="17"/>
        <v>219435</v>
      </c>
      <c r="BB27" s="531">
        <f t="shared" si="18"/>
        <v>229787</v>
      </c>
      <c r="BC27" s="531">
        <f t="shared" si="19"/>
        <v>229787</v>
      </c>
      <c r="BD27" s="546">
        <v>4</v>
      </c>
      <c r="BE27" s="532">
        <v>273922</v>
      </c>
      <c r="BF27" s="532">
        <v>176097.75</v>
      </c>
      <c r="BG27" s="533">
        <f t="shared" si="20"/>
        <v>64.287552660976488</v>
      </c>
      <c r="BH27" s="534">
        <f t="shared" si="28"/>
        <v>31172</v>
      </c>
      <c r="BI27" s="535">
        <f t="shared" si="29"/>
        <v>0.11379881864180313</v>
      </c>
      <c r="BJ27" s="541">
        <f>28050+1250</f>
        <v>29300</v>
      </c>
      <c r="BK27" s="541">
        <f t="shared" si="30"/>
        <v>3.3977443686006827</v>
      </c>
      <c r="BL27" s="541">
        <v>3750</v>
      </c>
      <c r="BM27" s="541">
        <f t="shared" si="31"/>
        <v>26.547709333333334</v>
      </c>
      <c r="BN27" s="542"/>
      <c r="BO27" s="541" t="e">
        <f t="shared" si="32"/>
        <v>#DIV/0!</v>
      </c>
      <c r="BP27" s="542"/>
      <c r="BQ27" s="541" t="e">
        <f t="shared" si="33"/>
        <v>#DIV/0!</v>
      </c>
      <c r="BR27" s="541">
        <v>10000</v>
      </c>
      <c r="BS27" s="543">
        <v>99553.91</v>
      </c>
      <c r="BT27" s="539">
        <f>+BS27/BE27%</f>
        <v>36.343889866458341</v>
      </c>
      <c r="BU27" s="532">
        <f>SUM(BE27-BF27-BS27)</f>
        <v>-1729.6600000000035</v>
      </c>
      <c r="BV27" s="533">
        <f>+BU27/BE27%</f>
        <v>-0.63144252743481855</v>
      </c>
      <c r="BW27" s="481">
        <v>8498</v>
      </c>
      <c r="BX27" s="481">
        <v>9546</v>
      </c>
      <c r="BY27" s="481">
        <v>9618</v>
      </c>
      <c r="BZ27" s="481">
        <v>3510</v>
      </c>
      <c r="CA27" s="482">
        <f>BW27/BE27</f>
        <v>3.1023430027526083E-2</v>
      </c>
      <c r="CB27" s="482">
        <f>BX27/BE27</f>
        <v>3.4849336672483411E-2</v>
      </c>
      <c r="CC27" s="482">
        <f>BY27/BE27</f>
        <v>3.5112185220610249E-2</v>
      </c>
      <c r="CD27" s="482">
        <f>BZ27/BE27</f>
        <v>1.2813866721183403E-2</v>
      </c>
      <c r="CE27" s="480">
        <f>+BU27*20%</f>
        <v>-345.9320000000007</v>
      </c>
      <c r="CF27" s="483">
        <f>BU27*90%</f>
        <v>-1556.6940000000031</v>
      </c>
    </row>
    <row r="28" spans="1:85" ht="18.75" customHeight="1" x14ac:dyDescent="0.45">
      <c r="A28" s="469" t="e">
        <f t="shared" si="34"/>
        <v>#REF!</v>
      </c>
      <c r="B28" s="470" t="s">
        <v>112</v>
      </c>
      <c r="C28" s="470"/>
      <c r="D28" s="471"/>
      <c r="E28" s="472">
        <v>40</v>
      </c>
      <c r="F28" s="473">
        <f t="shared" si="27"/>
        <v>0</v>
      </c>
      <c r="G28" s="471">
        <v>16539</v>
      </c>
      <c r="H28" s="475">
        <v>50</v>
      </c>
      <c r="I28" s="473">
        <f t="shared" si="1"/>
        <v>826950</v>
      </c>
      <c r="J28" s="471"/>
      <c r="K28" s="476">
        <v>60</v>
      </c>
      <c r="L28" s="473">
        <f t="shared" si="2"/>
        <v>0</v>
      </c>
      <c r="M28" s="471">
        <v>6358</v>
      </c>
      <c r="N28" s="476">
        <v>15</v>
      </c>
      <c r="O28" s="473">
        <f t="shared" si="3"/>
        <v>95370</v>
      </c>
      <c r="P28" s="471">
        <v>1888</v>
      </c>
      <c r="Q28" s="477">
        <v>12</v>
      </c>
      <c r="R28" s="473">
        <f t="shared" si="4"/>
        <v>22656</v>
      </c>
      <c r="S28" s="471">
        <v>1052</v>
      </c>
      <c r="T28" s="473">
        <f t="shared" si="5"/>
        <v>8416</v>
      </c>
      <c r="U28" s="471">
        <v>407</v>
      </c>
      <c r="V28" s="476">
        <v>12</v>
      </c>
      <c r="W28" s="473">
        <f t="shared" si="6"/>
        <v>4884</v>
      </c>
      <c r="X28" s="471">
        <v>1598</v>
      </c>
      <c r="Y28" s="476">
        <v>10</v>
      </c>
      <c r="Z28" s="473">
        <f t="shared" si="7"/>
        <v>15980</v>
      </c>
      <c r="AA28" s="471">
        <v>280</v>
      </c>
      <c r="AB28" s="476">
        <v>25</v>
      </c>
      <c r="AC28" s="473">
        <f t="shared" si="8"/>
        <v>7000</v>
      </c>
      <c r="AD28" s="471"/>
      <c r="AE28" s="476">
        <v>7.5</v>
      </c>
      <c r="AF28" s="473">
        <f t="shared" si="9"/>
        <v>0</v>
      </c>
      <c r="AG28" s="471"/>
      <c r="AH28" s="475">
        <v>15</v>
      </c>
      <c r="AI28" s="473">
        <f t="shared" si="10"/>
        <v>0</v>
      </c>
      <c r="AJ28" s="471">
        <v>162</v>
      </c>
      <c r="AK28" s="476">
        <v>10</v>
      </c>
      <c r="AL28" s="473">
        <f t="shared" si="11"/>
        <v>1620</v>
      </c>
      <c r="AM28" s="471">
        <f t="shared" si="12"/>
        <v>5387</v>
      </c>
      <c r="AN28" s="471"/>
      <c r="AO28" s="478"/>
      <c r="AP28" s="471"/>
      <c r="AQ28" s="471"/>
      <c r="AR28" s="473"/>
      <c r="AS28" s="471"/>
      <c r="AT28" s="471"/>
      <c r="AU28" s="479">
        <v>2477</v>
      </c>
      <c r="AV28" s="471"/>
      <c r="AW28" s="530">
        <f t="shared" si="13"/>
        <v>0.38442469314952538</v>
      </c>
      <c r="AX28" s="530">
        <f t="shared" si="14"/>
        <v>0.32571497672168814</v>
      </c>
      <c r="AY28" s="530">
        <f t="shared" si="15"/>
        <v>0.38958792072978926</v>
      </c>
      <c r="AZ28" s="531">
        <f t="shared" si="16"/>
        <v>885886</v>
      </c>
      <c r="BA28" s="531">
        <f t="shared" si="17"/>
        <v>856606</v>
      </c>
      <c r="BB28" s="531">
        <f t="shared" si="18"/>
        <v>885886</v>
      </c>
      <c r="BC28" s="531">
        <f t="shared" si="19"/>
        <v>885886</v>
      </c>
      <c r="BD28" s="546">
        <v>6</v>
      </c>
      <c r="BE28" s="532">
        <v>1042305</v>
      </c>
      <c r="BF28" s="532">
        <v>703421.53</v>
      </c>
      <c r="BG28" s="533">
        <f t="shared" si="20"/>
        <v>67.487110778514932</v>
      </c>
      <c r="BH28" s="534">
        <f t="shared" si="28"/>
        <v>70156</v>
      </c>
      <c r="BI28" s="535">
        <f t="shared" si="29"/>
        <v>6.7308513343023388E-2</v>
      </c>
      <c r="BJ28" s="541">
        <v>65700</v>
      </c>
      <c r="BK28" s="541">
        <f t="shared" si="30"/>
        <v>3.1485155251141554</v>
      </c>
      <c r="BL28" s="542"/>
      <c r="BM28" s="541" t="e">
        <f t="shared" si="31"/>
        <v>#DIV/0!</v>
      </c>
      <c r="BN28" s="542"/>
      <c r="BO28" s="541" t="e">
        <f t="shared" si="32"/>
        <v>#DIV/0!</v>
      </c>
      <c r="BP28" s="542"/>
      <c r="BQ28" s="541" t="e">
        <f t="shared" si="33"/>
        <v>#DIV/0!</v>
      </c>
      <c r="BR28" s="541">
        <v>25000</v>
      </c>
      <c r="BS28" s="543">
        <v>206857.47</v>
      </c>
      <c r="BT28" s="539">
        <f>+BS28/BE28%</f>
        <v>19.846155395973348</v>
      </c>
      <c r="BU28" s="532">
        <f>SUM(BE28-BF28-BS28)</f>
        <v>132025.99999999997</v>
      </c>
      <c r="BV28" s="533">
        <f>+BU28/BE28%</f>
        <v>12.666733825511724</v>
      </c>
      <c r="BW28" s="481">
        <v>24630</v>
      </c>
      <c r="BX28" s="481">
        <v>15910</v>
      </c>
      <c r="BY28" s="481">
        <v>23676</v>
      </c>
      <c r="BZ28" s="481">
        <v>5940</v>
      </c>
      <c r="CA28" s="482">
        <f>BW28/BE28</f>
        <v>2.3630319340308258E-2</v>
      </c>
      <c r="CB28" s="482">
        <f>BX28/BE28</f>
        <v>1.5264246070008298E-2</v>
      </c>
      <c r="CC28" s="482">
        <f>BY28/BE28</f>
        <v>2.2715040223351132E-2</v>
      </c>
      <c r="CD28" s="482">
        <f>BZ28/BE28</f>
        <v>5.6989077093557066E-3</v>
      </c>
      <c r="CE28" s="480">
        <f>+BU28*20%</f>
        <v>26405.199999999997</v>
      </c>
      <c r="CF28" s="483">
        <f>BU28*90%</f>
        <v>118823.39999999998</v>
      </c>
    </row>
    <row r="29" spans="1:85" ht="18.75" customHeight="1" x14ac:dyDescent="0.45">
      <c r="A29" s="469" t="e">
        <f t="shared" si="34"/>
        <v>#REF!</v>
      </c>
      <c r="B29" s="470" t="s">
        <v>104</v>
      </c>
      <c r="C29" s="470"/>
      <c r="D29" s="471"/>
      <c r="E29" s="472">
        <v>40</v>
      </c>
      <c r="F29" s="473">
        <f t="shared" si="27"/>
        <v>0</v>
      </c>
      <c r="G29" s="471">
        <v>23589</v>
      </c>
      <c r="H29" s="475">
        <v>50</v>
      </c>
      <c r="I29" s="473">
        <f t="shared" si="1"/>
        <v>1179450</v>
      </c>
      <c r="J29" s="471"/>
      <c r="K29" s="476">
        <v>60</v>
      </c>
      <c r="L29" s="473">
        <f t="shared" si="2"/>
        <v>0</v>
      </c>
      <c r="M29" s="471">
        <v>21414</v>
      </c>
      <c r="N29" s="476">
        <v>15</v>
      </c>
      <c r="O29" s="473">
        <f t="shared" si="3"/>
        <v>321210</v>
      </c>
      <c r="P29" s="471"/>
      <c r="Q29" s="477">
        <v>12</v>
      </c>
      <c r="R29" s="473">
        <f t="shared" si="4"/>
        <v>0</v>
      </c>
      <c r="S29" s="471"/>
      <c r="T29" s="473">
        <f t="shared" si="5"/>
        <v>0</v>
      </c>
      <c r="U29" s="471">
        <v>1230</v>
      </c>
      <c r="V29" s="476">
        <v>12</v>
      </c>
      <c r="W29" s="473">
        <f t="shared" si="6"/>
        <v>14760</v>
      </c>
      <c r="X29" s="471">
        <v>3211</v>
      </c>
      <c r="Y29" s="476">
        <v>10</v>
      </c>
      <c r="Z29" s="473">
        <f t="shared" si="7"/>
        <v>32110</v>
      </c>
      <c r="AA29" s="471">
        <v>610</v>
      </c>
      <c r="AB29" s="476">
        <v>25</v>
      </c>
      <c r="AC29" s="473">
        <f t="shared" si="8"/>
        <v>15250</v>
      </c>
      <c r="AD29" s="471"/>
      <c r="AE29" s="476">
        <v>7.5</v>
      </c>
      <c r="AF29" s="473">
        <f t="shared" si="9"/>
        <v>0</v>
      </c>
      <c r="AG29" s="471"/>
      <c r="AH29" s="475">
        <v>15</v>
      </c>
      <c r="AI29" s="473">
        <f t="shared" si="10"/>
        <v>0</v>
      </c>
      <c r="AJ29" s="471">
        <v>890</v>
      </c>
      <c r="AK29" s="476">
        <v>10</v>
      </c>
      <c r="AL29" s="473">
        <f t="shared" si="11"/>
        <v>8900</v>
      </c>
      <c r="AM29" s="471">
        <f t="shared" si="12"/>
        <v>5941</v>
      </c>
      <c r="AN29" s="471"/>
      <c r="AO29" s="478"/>
      <c r="AP29" s="471"/>
      <c r="AQ29" s="471"/>
      <c r="AR29" s="473"/>
      <c r="AS29" s="471"/>
      <c r="AT29" s="471"/>
      <c r="AU29" s="479">
        <v>5694</v>
      </c>
      <c r="AV29" s="471"/>
      <c r="AW29" s="530">
        <f t="shared" si="13"/>
        <v>0.90779600661325199</v>
      </c>
      <c r="AX29" s="530">
        <f t="shared" si="14"/>
        <v>0.25185467802789435</v>
      </c>
      <c r="AY29" s="530">
        <f t="shared" si="15"/>
        <v>0.26590081255253573</v>
      </c>
      <c r="AZ29" s="531">
        <f t="shared" si="16"/>
        <v>1241570</v>
      </c>
      <c r="BA29" s="531">
        <f t="shared" si="17"/>
        <v>1194700</v>
      </c>
      <c r="BB29" s="531">
        <f t="shared" si="18"/>
        <v>1241570</v>
      </c>
      <c r="BC29" s="531">
        <f t="shared" si="19"/>
        <v>1241570</v>
      </c>
      <c r="BD29" s="546">
        <v>9</v>
      </c>
      <c r="BE29" s="532">
        <v>1731394</v>
      </c>
      <c r="BF29" s="532">
        <v>1146776.96</v>
      </c>
      <c r="BG29" s="533">
        <f t="shared" si="20"/>
        <v>66.234315239627719</v>
      </c>
      <c r="BH29" s="534">
        <f t="shared" si="28"/>
        <v>102275.25</v>
      </c>
      <c r="BI29" s="535">
        <f t="shared" si="29"/>
        <v>5.9071043332713402E-2</v>
      </c>
      <c r="BJ29" s="541">
        <f>97050</f>
        <v>97050</v>
      </c>
      <c r="BK29" s="541">
        <f t="shared" si="30"/>
        <v>3.2274021638330757</v>
      </c>
      <c r="BL29" s="542"/>
      <c r="BM29" s="541" t="e">
        <f t="shared" si="31"/>
        <v>#DIV/0!</v>
      </c>
      <c r="BN29" s="542"/>
      <c r="BO29" s="541" t="e">
        <f t="shared" si="32"/>
        <v>#DIV/0!</v>
      </c>
      <c r="BP29" s="542"/>
      <c r="BQ29" s="541" t="e">
        <f t="shared" si="33"/>
        <v>#DIV/0!</v>
      </c>
      <c r="BR29" s="541">
        <v>35280</v>
      </c>
      <c r="BS29" s="543">
        <v>313219.38</v>
      </c>
      <c r="BT29" s="539">
        <f>+BS29/BE29%</f>
        <v>18.090589432561281</v>
      </c>
      <c r="BU29" s="532">
        <f>SUM(BE29-BF29-BS29)</f>
        <v>271397.66000000003</v>
      </c>
      <c r="BV29" s="533">
        <f>+BU29/BE29%</f>
        <v>15.675095327811004</v>
      </c>
      <c r="BW29" s="481">
        <v>29512</v>
      </c>
      <c r="BX29" s="481">
        <v>28638</v>
      </c>
      <c r="BY29" s="481">
        <v>35724</v>
      </c>
      <c r="BZ29" s="481">
        <f>7290+1111.25</f>
        <v>8401.25</v>
      </c>
      <c r="CA29" s="482">
        <f>BW29/BE29</f>
        <v>1.7045224830396777E-2</v>
      </c>
      <c r="CB29" s="482">
        <f>BX29/BE29</f>
        <v>1.6540429272597686E-2</v>
      </c>
      <c r="CC29" s="482">
        <f>BY29/BE29</f>
        <v>2.0633085248071784E-2</v>
      </c>
      <c r="CD29" s="482">
        <f>BZ29/BE29</f>
        <v>4.8523039816471582E-3</v>
      </c>
      <c r="CE29" s="480">
        <f>+BU29*10%</f>
        <v>27139.766000000003</v>
      </c>
      <c r="CF29" s="483">
        <f>BU29*90%</f>
        <v>244257.89400000003</v>
      </c>
    </row>
    <row r="30" spans="1:85" ht="18.75" customHeight="1" x14ac:dyDescent="0.45">
      <c r="A30" s="469" t="e">
        <f t="shared" si="34"/>
        <v>#REF!</v>
      </c>
      <c r="B30" s="470" t="s">
        <v>206</v>
      </c>
      <c r="C30" s="470"/>
      <c r="D30" s="471"/>
      <c r="E30" s="472">
        <v>40</v>
      </c>
      <c r="F30" s="473">
        <f t="shared" si="27"/>
        <v>0</v>
      </c>
      <c r="G30" s="471">
        <v>11320</v>
      </c>
      <c r="H30" s="475">
        <v>50</v>
      </c>
      <c r="I30" s="473">
        <f t="shared" si="1"/>
        <v>566000</v>
      </c>
      <c r="J30" s="471"/>
      <c r="K30" s="476">
        <v>60</v>
      </c>
      <c r="L30" s="473">
        <f t="shared" si="2"/>
        <v>0</v>
      </c>
      <c r="M30" s="471">
        <v>3926</v>
      </c>
      <c r="N30" s="476">
        <v>15</v>
      </c>
      <c r="O30" s="473">
        <f t="shared" si="3"/>
        <v>58890</v>
      </c>
      <c r="P30" s="471">
        <v>1480</v>
      </c>
      <c r="Q30" s="477">
        <v>12</v>
      </c>
      <c r="R30" s="473">
        <f t="shared" si="4"/>
        <v>17760</v>
      </c>
      <c r="S30" s="471">
        <v>986</v>
      </c>
      <c r="T30" s="473">
        <f t="shared" si="5"/>
        <v>7888</v>
      </c>
      <c r="U30" s="471">
        <v>461</v>
      </c>
      <c r="V30" s="476">
        <v>12</v>
      </c>
      <c r="W30" s="473">
        <f t="shared" si="6"/>
        <v>5532</v>
      </c>
      <c r="X30" s="471">
        <v>1006</v>
      </c>
      <c r="Y30" s="476">
        <v>10</v>
      </c>
      <c r="Z30" s="473">
        <f t="shared" si="7"/>
        <v>10060</v>
      </c>
      <c r="AA30" s="471">
        <v>320</v>
      </c>
      <c r="AB30" s="476">
        <v>25</v>
      </c>
      <c r="AC30" s="473">
        <f t="shared" si="8"/>
        <v>8000</v>
      </c>
      <c r="AD30" s="471"/>
      <c r="AE30" s="476">
        <v>7.5</v>
      </c>
      <c r="AF30" s="473">
        <f t="shared" si="9"/>
        <v>0</v>
      </c>
      <c r="AG30" s="471"/>
      <c r="AH30" s="475">
        <v>15</v>
      </c>
      <c r="AI30" s="473">
        <f t="shared" si="10"/>
        <v>0</v>
      </c>
      <c r="AJ30" s="471">
        <v>228</v>
      </c>
      <c r="AK30" s="476">
        <v>10</v>
      </c>
      <c r="AL30" s="473">
        <f t="shared" si="11"/>
        <v>2280</v>
      </c>
      <c r="AM30" s="471">
        <f t="shared" si="12"/>
        <v>4481</v>
      </c>
      <c r="AN30" s="471"/>
      <c r="AO30" s="478"/>
      <c r="AP30" s="471"/>
      <c r="AQ30" s="471"/>
      <c r="AR30" s="473"/>
      <c r="AS30" s="471"/>
      <c r="AT30" s="471"/>
      <c r="AU30" s="479">
        <v>2342</v>
      </c>
      <c r="AV30" s="471"/>
      <c r="AW30" s="530">
        <f t="shared" si="13"/>
        <v>0.34681978798586571</v>
      </c>
      <c r="AX30" s="530">
        <f t="shared" si="14"/>
        <v>0.39584805653710248</v>
      </c>
      <c r="AY30" s="530">
        <f t="shared" si="15"/>
        <v>0.59653591441670917</v>
      </c>
      <c r="AZ30" s="531">
        <f t="shared" si="16"/>
        <v>615240</v>
      </c>
      <c r="BA30" s="531">
        <f t="shared" si="17"/>
        <v>591760</v>
      </c>
      <c r="BB30" s="531">
        <f t="shared" si="18"/>
        <v>615240</v>
      </c>
      <c r="BC30" s="531">
        <f t="shared" si="19"/>
        <v>615240</v>
      </c>
      <c r="BD30" s="546">
        <v>5</v>
      </c>
      <c r="BE30" s="532">
        <v>731763</v>
      </c>
      <c r="BF30" s="532">
        <v>476998.62</v>
      </c>
      <c r="BG30" s="533">
        <f t="shared" si="20"/>
        <v>65.184850832851623</v>
      </c>
      <c r="BH30" s="534">
        <f t="shared" si="28"/>
        <v>55741</v>
      </c>
      <c r="BI30" s="535">
        <f t="shared" si="29"/>
        <v>7.6173569858000473E-2</v>
      </c>
      <c r="BJ30" s="541">
        <v>47300</v>
      </c>
      <c r="BK30" s="541">
        <f t="shared" si="30"/>
        <v>3.608760465116279</v>
      </c>
      <c r="BL30" s="542"/>
      <c r="BM30" s="541" t="e">
        <f t="shared" si="31"/>
        <v>#DIV/0!</v>
      </c>
      <c r="BN30" s="542"/>
      <c r="BO30" s="541" t="e">
        <f t="shared" si="32"/>
        <v>#DIV/0!</v>
      </c>
      <c r="BP30" s="542"/>
      <c r="BQ30" s="541" t="e">
        <f t="shared" si="33"/>
        <v>#DIV/0!</v>
      </c>
      <c r="BR30" s="541">
        <v>16000</v>
      </c>
      <c r="BS30" s="543">
        <v>170694.37</v>
      </c>
      <c r="BT30" s="539">
        <f>+BS30/BE30%</f>
        <v>23.326455423408945</v>
      </c>
      <c r="BU30" s="532">
        <f>SUM(BE30-BF30-BS30)</f>
        <v>84070.010000000009</v>
      </c>
      <c r="BV30" s="533">
        <f>+BU30/BE30%</f>
        <v>11.488693743739436</v>
      </c>
      <c r="BW30" s="481">
        <v>16786</v>
      </c>
      <c r="BX30" s="481">
        <v>14319</v>
      </c>
      <c r="BY30" s="481">
        <v>19236</v>
      </c>
      <c r="BZ30" s="481">
        <v>5400</v>
      </c>
      <c r="CA30" s="482">
        <f>BW30/BE30</f>
        <v>2.2939120999558599E-2</v>
      </c>
      <c r="CB30" s="482">
        <f>BX30/BE30</f>
        <v>1.9567810889591301E-2</v>
      </c>
      <c r="CC30" s="482">
        <f>BY30/BE30</f>
        <v>2.6287199544114691E-2</v>
      </c>
      <c r="CD30" s="482">
        <f>BZ30/BE30</f>
        <v>7.3794384247358779E-3</v>
      </c>
      <c r="CE30" s="480">
        <f>+BU30*20%</f>
        <v>16814.002000000004</v>
      </c>
      <c r="CF30" s="483">
        <f>BU30*90%</f>
        <v>75663.009000000005</v>
      </c>
    </row>
    <row r="31" spans="1:85" ht="18.75" customHeight="1" x14ac:dyDescent="0.45">
      <c r="A31" s="469" t="e">
        <f t="shared" si="34"/>
        <v>#REF!</v>
      </c>
      <c r="B31" s="470" t="s">
        <v>215</v>
      </c>
      <c r="C31" s="470"/>
      <c r="D31" s="471"/>
      <c r="E31" s="472">
        <v>40</v>
      </c>
      <c r="F31" s="473">
        <f t="shared" si="27"/>
        <v>0</v>
      </c>
      <c r="G31" s="471">
        <v>7287</v>
      </c>
      <c r="H31" s="475">
        <v>50</v>
      </c>
      <c r="I31" s="473">
        <f t="shared" si="1"/>
        <v>364350</v>
      </c>
      <c r="J31" s="471"/>
      <c r="K31" s="476">
        <v>60</v>
      </c>
      <c r="L31" s="473">
        <f t="shared" si="2"/>
        <v>0</v>
      </c>
      <c r="M31" s="471">
        <v>3022</v>
      </c>
      <c r="N31" s="476">
        <v>15</v>
      </c>
      <c r="O31" s="473">
        <f t="shared" si="3"/>
        <v>45330</v>
      </c>
      <c r="P31" s="471">
        <v>2920</v>
      </c>
      <c r="Q31" s="477">
        <v>12</v>
      </c>
      <c r="R31" s="473">
        <f t="shared" si="4"/>
        <v>35040</v>
      </c>
      <c r="S31" s="471">
        <v>753</v>
      </c>
      <c r="T31" s="473">
        <f t="shared" si="5"/>
        <v>6024</v>
      </c>
      <c r="U31" s="471">
        <v>854</v>
      </c>
      <c r="V31" s="476">
        <v>12</v>
      </c>
      <c r="W31" s="473">
        <f t="shared" si="6"/>
        <v>10248</v>
      </c>
      <c r="X31" s="471">
        <v>1509</v>
      </c>
      <c r="Y31" s="476">
        <v>10</v>
      </c>
      <c r="Z31" s="473">
        <f t="shared" si="7"/>
        <v>15090</v>
      </c>
      <c r="AA31" s="471">
        <v>325</v>
      </c>
      <c r="AB31" s="476">
        <v>25</v>
      </c>
      <c r="AC31" s="473">
        <f t="shared" si="8"/>
        <v>8125</v>
      </c>
      <c r="AD31" s="471"/>
      <c r="AE31" s="476">
        <v>7.5</v>
      </c>
      <c r="AF31" s="473">
        <f t="shared" si="9"/>
        <v>0</v>
      </c>
      <c r="AG31" s="471"/>
      <c r="AH31" s="475">
        <v>15</v>
      </c>
      <c r="AI31" s="473">
        <f t="shared" si="10"/>
        <v>0</v>
      </c>
      <c r="AJ31" s="471"/>
      <c r="AK31" s="476">
        <v>10</v>
      </c>
      <c r="AL31" s="473">
        <f t="shared" si="11"/>
        <v>0</v>
      </c>
      <c r="AM31" s="471">
        <f t="shared" si="12"/>
        <v>6361</v>
      </c>
      <c r="AN31" s="471"/>
      <c r="AO31" s="478"/>
      <c r="AP31" s="471"/>
      <c r="AQ31" s="471"/>
      <c r="AR31" s="473"/>
      <c r="AS31" s="471"/>
      <c r="AT31" s="471"/>
      <c r="AU31" s="479">
        <v>1287</v>
      </c>
      <c r="AV31" s="471"/>
      <c r="AW31" s="530">
        <f t="shared" si="13"/>
        <v>0.41471112940853577</v>
      </c>
      <c r="AX31" s="530">
        <f t="shared" si="14"/>
        <v>0.87292438589268562</v>
      </c>
      <c r="AY31" s="530">
        <f t="shared" si="15"/>
        <v>0.42587690271343481</v>
      </c>
      <c r="AZ31" s="531">
        <f t="shared" si="16"/>
        <v>438877</v>
      </c>
      <c r="BA31" s="531">
        <f t="shared" si="17"/>
        <v>407515</v>
      </c>
      <c r="BB31" s="531">
        <f t="shared" si="18"/>
        <v>438877</v>
      </c>
      <c r="BC31" s="531">
        <f t="shared" si="19"/>
        <v>438877</v>
      </c>
      <c r="BD31" s="546">
        <v>4</v>
      </c>
      <c r="BE31" s="532">
        <v>519732</v>
      </c>
      <c r="BF31" s="532">
        <v>336127.57</v>
      </c>
      <c r="BG31" s="533">
        <f t="shared" si="20"/>
        <v>64.673248905205</v>
      </c>
      <c r="BH31" s="534">
        <f t="shared" si="28"/>
        <v>37426</v>
      </c>
      <c r="BI31" s="535">
        <f t="shared" si="29"/>
        <v>7.201018986708535E-2</v>
      </c>
      <c r="BJ31" s="541">
        <v>44300</v>
      </c>
      <c r="BK31" s="541">
        <f t="shared" si="30"/>
        <v>3.0282203160270882</v>
      </c>
      <c r="BL31" s="542"/>
      <c r="BM31" s="541" t="e">
        <f t="shared" si="31"/>
        <v>#DIV/0!</v>
      </c>
      <c r="BN31" s="542"/>
      <c r="BO31" s="541" t="e">
        <f t="shared" si="32"/>
        <v>#DIV/0!</v>
      </c>
      <c r="BP31" s="542"/>
      <c r="BQ31" s="541" t="e">
        <f t="shared" si="33"/>
        <v>#DIV/0!</v>
      </c>
      <c r="BR31" s="541">
        <v>12000</v>
      </c>
      <c r="BS31" s="543">
        <v>134150.16</v>
      </c>
      <c r="BT31" s="539">
        <f>+BS31/BE31%</f>
        <v>25.811410496178802</v>
      </c>
      <c r="BU31" s="532">
        <f>SUM(BE31-BF31-BS31)</f>
        <v>49454.26999999999</v>
      </c>
      <c r="BV31" s="533">
        <f>+BU31/BE31%</f>
        <v>9.5153405986162092</v>
      </c>
      <c r="BW31" s="481">
        <v>11890</v>
      </c>
      <c r="BX31" s="481">
        <v>10380</v>
      </c>
      <c r="BY31" s="481">
        <v>9716</v>
      </c>
      <c r="BZ31" s="481">
        <v>5440</v>
      </c>
      <c r="CA31" s="482">
        <f>BW31/BE31</f>
        <v>2.2877175159505284E-2</v>
      </c>
      <c r="CB31" s="482">
        <f>BX31/BE31</f>
        <v>1.9971831636304865E-2</v>
      </c>
      <c r="CC31" s="482">
        <f>BY31/BE31</f>
        <v>1.8694250113520047E-2</v>
      </c>
      <c r="CD31" s="482">
        <f>BZ31/BE31</f>
        <v>1.0466932957755151E-2</v>
      </c>
      <c r="CE31" s="480">
        <f>+BU31*20%</f>
        <v>9890.8539999999994</v>
      </c>
      <c r="CF31" s="483">
        <f>BU31*90%</f>
        <v>44508.842999999993</v>
      </c>
    </row>
    <row r="32" spans="1:85" ht="18.75" customHeight="1" x14ac:dyDescent="0.45">
      <c r="A32" s="469" t="e">
        <f t="shared" si="34"/>
        <v>#REF!</v>
      </c>
      <c r="B32" s="470" t="s">
        <v>103</v>
      </c>
      <c r="C32" s="470"/>
      <c r="D32" s="471"/>
      <c r="E32" s="472">
        <v>40</v>
      </c>
      <c r="F32" s="473">
        <f t="shared" si="27"/>
        <v>0</v>
      </c>
      <c r="G32" s="471">
        <v>21990</v>
      </c>
      <c r="H32" s="475">
        <v>50</v>
      </c>
      <c r="I32" s="473">
        <f t="shared" si="1"/>
        <v>1099500</v>
      </c>
      <c r="J32" s="471"/>
      <c r="K32" s="476">
        <v>60</v>
      </c>
      <c r="L32" s="473">
        <f t="shared" si="2"/>
        <v>0</v>
      </c>
      <c r="M32" s="471">
        <v>6687</v>
      </c>
      <c r="N32" s="476">
        <v>15</v>
      </c>
      <c r="O32" s="473">
        <f t="shared" si="3"/>
        <v>100305</v>
      </c>
      <c r="P32" s="471">
        <v>1660</v>
      </c>
      <c r="Q32" s="477">
        <v>12</v>
      </c>
      <c r="R32" s="473">
        <f t="shared" si="4"/>
        <v>19920</v>
      </c>
      <c r="S32" s="471">
        <v>964</v>
      </c>
      <c r="T32" s="473">
        <f t="shared" si="5"/>
        <v>7712</v>
      </c>
      <c r="U32" s="471">
        <v>732</v>
      </c>
      <c r="V32" s="476">
        <v>12</v>
      </c>
      <c r="W32" s="473">
        <f t="shared" si="6"/>
        <v>8784</v>
      </c>
      <c r="X32" s="471">
        <v>1472</v>
      </c>
      <c r="Y32" s="476">
        <v>10</v>
      </c>
      <c r="Z32" s="473">
        <f t="shared" si="7"/>
        <v>14720</v>
      </c>
      <c r="AA32" s="471">
        <v>355</v>
      </c>
      <c r="AB32" s="476">
        <v>25</v>
      </c>
      <c r="AC32" s="473">
        <f t="shared" si="8"/>
        <v>8875</v>
      </c>
      <c r="AD32" s="471"/>
      <c r="AE32" s="476">
        <v>7.5</v>
      </c>
      <c r="AF32" s="473">
        <f t="shared" si="9"/>
        <v>0</v>
      </c>
      <c r="AG32" s="471"/>
      <c r="AH32" s="475">
        <v>15</v>
      </c>
      <c r="AI32" s="473">
        <f t="shared" si="10"/>
        <v>0</v>
      </c>
      <c r="AJ32" s="471">
        <v>393</v>
      </c>
      <c r="AK32" s="476">
        <v>10</v>
      </c>
      <c r="AL32" s="473">
        <f t="shared" si="11"/>
        <v>3930</v>
      </c>
      <c r="AM32" s="471">
        <f t="shared" si="12"/>
        <v>5576</v>
      </c>
      <c r="AN32" s="471"/>
      <c r="AO32" s="478"/>
      <c r="AP32" s="471"/>
      <c r="AQ32" s="471"/>
      <c r="AR32" s="473"/>
      <c r="AS32" s="471"/>
      <c r="AT32" s="471"/>
      <c r="AU32" s="479">
        <v>3061</v>
      </c>
      <c r="AV32" s="471"/>
      <c r="AW32" s="530">
        <f t="shared" si="13"/>
        <v>0.30409276944065483</v>
      </c>
      <c r="AX32" s="530">
        <f t="shared" si="14"/>
        <v>0.25356980445657118</v>
      </c>
      <c r="AY32" s="530">
        <f t="shared" si="15"/>
        <v>0.45775385075519665</v>
      </c>
      <c r="AZ32" s="531">
        <f t="shared" si="16"/>
        <v>1159511</v>
      </c>
      <c r="BA32" s="531">
        <f t="shared" si="17"/>
        <v>1128295</v>
      </c>
      <c r="BB32" s="531">
        <f t="shared" si="18"/>
        <v>1159511</v>
      </c>
      <c r="BC32" s="531">
        <f t="shared" si="19"/>
        <v>1159511</v>
      </c>
      <c r="BD32" s="546">
        <v>7</v>
      </c>
      <c r="BE32" s="532">
        <v>1344920</v>
      </c>
      <c r="BF32" s="532">
        <v>885019</v>
      </c>
      <c r="BG32" s="533">
        <f t="shared" si="20"/>
        <v>65.804583172233293</v>
      </c>
      <c r="BH32" s="534">
        <f t="shared" si="28"/>
        <v>99238</v>
      </c>
      <c r="BI32" s="535">
        <f t="shared" si="29"/>
        <v>7.3787288463254316E-2</v>
      </c>
      <c r="BJ32" s="541">
        <v>85806.25</v>
      </c>
      <c r="BK32" s="541">
        <f t="shared" si="30"/>
        <v>3.4572591157404036</v>
      </c>
      <c r="BL32" s="541">
        <v>1168</v>
      </c>
      <c r="BM32" s="541">
        <f t="shared" si="31"/>
        <v>253.98496575342466</v>
      </c>
      <c r="BN32" s="542"/>
      <c r="BO32" s="541" t="e">
        <f t="shared" si="32"/>
        <v>#DIV/0!</v>
      </c>
      <c r="BP32" s="542"/>
      <c r="BQ32" s="541" t="e">
        <f t="shared" si="33"/>
        <v>#DIV/0!</v>
      </c>
      <c r="BR32" s="541">
        <v>20000</v>
      </c>
      <c r="BS32" s="543">
        <v>296654.44</v>
      </c>
      <c r="BT32" s="539">
        <f>+BS32/BE32%</f>
        <v>22.057404157868124</v>
      </c>
      <c r="BU32" s="532">
        <f>SUM(BE32-BF32-BS32)</f>
        <v>163246.56</v>
      </c>
      <c r="BV32" s="533">
        <f>+BU32/BE32%</f>
        <v>12.138012669898581</v>
      </c>
      <c r="BW32" s="481">
        <v>35132</v>
      </c>
      <c r="BX32" s="481">
        <v>24220</v>
      </c>
      <c r="BY32" s="481">
        <v>31566</v>
      </c>
      <c r="BZ32" s="481">
        <v>8320</v>
      </c>
      <c r="CA32" s="482">
        <f>BW32/BE32</f>
        <v>2.6121999821550723E-2</v>
      </c>
      <c r="CB32" s="482">
        <f>BX32/BE32</f>
        <v>1.8008506082146152E-2</v>
      </c>
      <c r="CC32" s="482">
        <f>BY32/BE32</f>
        <v>2.3470540998721114E-2</v>
      </c>
      <c r="CD32" s="482">
        <f>BZ32/BE32</f>
        <v>6.1862415608363325E-3</v>
      </c>
      <c r="CE32" s="480">
        <f>+BU32*20%</f>
        <v>32649.312000000002</v>
      </c>
      <c r="CF32" s="483">
        <f>BU32*90%</f>
        <v>146921.90400000001</v>
      </c>
    </row>
    <row r="33" spans="1:85" ht="18.75" customHeight="1" x14ac:dyDescent="0.45">
      <c r="A33" s="469" t="e">
        <f t="shared" si="34"/>
        <v>#REF!</v>
      </c>
      <c r="B33" s="470" t="s">
        <v>217</v>
      </c>
      <c r="C33" s="470"/>
      <c r="D33" s="471"/>
      <c r="E33" s="472">
        <v>40</v>
      </c>
      <c r="F33" s="473">
        <f t="shared" si="27"/>
        <v>0</v>
      </c>
      <c r="G33" s="471">
        <v>6055</v>
      </c>
      <c r="H33" s="475">
        <v>50</v>
      </c>
      <c r="I33" s="473">
        <f t="shared" si="1"/>
        <v>302750</v>
      </c>
      <c r="J33" s="471"/>
      <c r="K33" s="476">
        <v>60</v>
      </c>
      <c r="L33" s="473">
        <f t="shared" si="2"/>
        <v>0</v>
      </c>
      <c r="M33" s="471">
        <v>2453</v>
      </c>
      <c r="N33" s="476">
        <v>15</v>
      </c>
      <c r="O33" s="473">
        <f t="shared" si="3"/>
        <v>36795</v>
      </c>
      <c r="P33" s="471">
        <v>2900</v>
      </c>
      <c r="Q33" s="477">
        <v>12</v>
      </c>
      <c r="R33" s="473">
        <f t="shared" si="4"/>
        <v>34800</v>
      </c>
      <c r="S33" s="471">
        <v>356</v>
      </c>
      <c r="T33" s="473">
        <f t="shared" si="5"/>
        <v>2848</v>
      </c>
      <c r="U33" s="471">
        <v>188</v>
      </c>
      <c r="V33" s="476">
        <v>12</v>
      </c>
      <c r="W33" s="473">
        <f t="shared" si="6"/>
        <v>2256</v>
      </c>
      <c r="X33" s="471">
        <v>329</v>
      </c>
      <c r="Y33" s="476">
        <v>10</v>
      </c>
      <c r="Z33" s="473">
        <f t="shared" si="7"/>
        <v>3290</v>
      </c>
      <c r="AA33" s="471">
        <v>65</v>
      </c>
      <c r="AB33" s="476">
        <v>25</v>
      </c>
      <c r="AC33" s="473">
        <f t="shared" si="8"/>
        <v>1625</v>
      </c>
      <c r="AD33" s="471"/>
      <c r="AE33" s="476">
        <v>7.5</v>
      </c>
      <c r="AF33" s="473">
        <f t="shared" si="9"/>
        <v>0</v>
      </c>
      <c r="AG33" s="471"/>
      <c r="AH33" s="475">
        <v>15</v>
      </c>
      <c r="AI33" s="473">
        <f t="shared" si="10"/>
        <v>0</v>
      </c>
      <c r="AJ33" s="471">
        <v>42</v>
      </c>
      <c r="AK33" s="476">
        <v>10</v>
      </c>
      <c r="AL33" s="473">
        <f t="shared" si="11"/>
        <v>420</v>
      </c>
      <c r="AM33" s="471">
        <f t="shared" si="12"/>
        <v>3880</v>
      </c>
      <c r="AN33" s="471"/>
      <c r="AO33" s="478"/>
      <c r="AP33" s="471"/>
      <c r="AQ33" s="471"/>
      <c r="AR33" s="473"/>
      <c r="AS33" s="471"/>
      <c r="AT33" s="471"/>
      <c r="AU33" s="479">
        <v>833</v>
      </c>
      <c r="AV33" s="471"/>
      <c r="AW33" s="530">
        <f t="shared" si="13"/>
        <v>0.40511973575557392</v>
      </c>
      <c r="AX33" s="530">
        <f t="shared" si="14"/>
        <v>0.64079273327828246</v>
      </c>
      <c r="AY33" s="530">
        <f t="shared" si="15"/>
        <v>0.33958418263350998</v>
      </c>
      <c r="AZ33" s="531">
        <f t="shared" si="16"/>
        <v>347569</v>
      </c>
      <c r="BA33" s="531">
        <f t="shared" si="17"/>
        <v>339175</v>
      </c>
      <c r="BB33" s="531">
        <f t="shared" si="18"/>
        <v>347569</v>
      </c>
      <c r="BC33" s="531">
        <f t="shared" si="19"/>
        <v>347569</v>
      </c>
      <c r="BD33" s="546">
        <v>2</v>
      </c>
      <c r="BE33" s="532">
        <v>404408</v>
      </c>
      <c r="BF33" s="532">
        <v>260348.19</v>
      </c>
      <c r="BG33" s="533">
        <f t="shared" si="20"/>
        <v>64.377606278807548</v>
      </c>
      <c r="BH33" s="534">
        <f t="shared" si="28"/>
        <v>37484</v>
      </c>
      <c r="BI33" s="535">
        <f t="shared" si="29"/>
        <v>9.2688571937251482E-2</v>
      </c>
      <c r="BJ33" s="541">
        <v>34950</v>
      </c>
      <c r="BK33" s="541">
        <f t="shared" si="30"/>
        <v>3.5810311874105865</v>
      </c>
      <c r="BL33" s="542"/>
      <c r="BM33" s="541" t="e">
        <f t="shared" si="31"/>
        <v>#DIV/0!</v>
      </c>
      <c r="BN33" s="542"/>
      <c r="BO33" s="541" t="e">
        <f t="shared" si="32"/>
        <v>#DIV/0!</v>
      </c>
      <c r="BP33" s="542"/>
      <c r="BQ33" s="541" t="e">
        <f t="shared" si="33"/>
        <v>#DIV/0!</v>
      </c>
      <c r="BR33" s="541">
        <v>14000</v>
      </c>
      <c r="BS33" s="543">
        <v>125157.04</v>
      </c>
      <c r="BT33" s="539">
        <f>+BS33/BE33%</f>
        <v>30.948210717888863</v>
      </c>
      <c r="BU33" s="532">
        <f>SUM(BE33-BF33-BS33)</f>
        <v>18902.770000000004</v>
      </c>
      <c r="BV33" s="533">
        <f>+BU33/BE33%</f>
        <v>4.6741830033035958</v>
      </c>
      <c r="BW33" s="481">
        <v>13676</v>
      </c>
      <c r="BX33" s="481">
        <v>10380</v>
      </c>
      <c r="BY33" s="481">
        <v>10868</v>
      </c>
      <c r="BZ33" s="481">
        <v>2560</v>
      </c>
      <c r="CA33" s="482">
        <f>BW33/BE33</f>
        <v>3.3817332990445294E-2</v>
      </c>
      <c r="CB33" s="482">
        <f>BX33/BE33</f>
        <v>2.5667148028723469E-2</v>
      </c>
      <c r="CC33" s="482">
        <f>BY33/BE33</f>
        <v>2.6873850171114322E-2</v>
      </c>
      <c r="CD33" s="482">
        <f>BZ33/BE33</f>
        <v>6.3302407469684081E-3</v>
      </c>
      <c r="CE33" s="480">
        <f>+BU33*20%</f>
        <v>3780.554000000001</v>
      </c>
      <c r="CF33" s="483">
        <f>BU33*90%</f>
        <v>17012.493000000006</v>
      </c>
    </row>
    <row r="34" spans="1:85" ht="18.75" customHeight="1" x14ac:dyDescent="0.45">
      <c r="A34" s="469" t="e">
        <f t="shared" si="34"/>
        <v>#REF!</v>
      </c>
      <c r="B34" s="470" t="s">
        <v>211</v>
      </c>
      <c r="C34" s="470"/>
      <c r="D34" s="471"/>
      <c r="E34" s="472">
        <v>40</v>
      </c>
      <c r="F34" s="473">
        <f t="shared" si="27"/>
        <v>0</v>
      </c>
      <c r="G34" s="471">
        <v>8975</v>
      </c>
      <c r="H34" s="475">
        <v>50</v>
      </c>
      <c r="I34" s="473">
        <f t="shared" si="1"/>
        <v>448750</v>
      </c>
      <c r="J34" s="471"/>
      <c r="K34" s="476">
        <v>60</v>
      </c>
      <c r="L34" s="473">
        <f t="shared" si="2"/>
        <v>0</v>
      </c>
      <c r="M34" s="471">
        <v>3567</v>
      </c>
      <c r="N34" s="476">
        <v>15</v>
      </c>
      <c r="O34" s="473">
        <f t="shared" si="3"/>
        <v>53505</v>
      </c>
      <c r="P34" s="471">
        <v>2761</v>
      </c>
      <c r="Q34" s="477">
        <v>12</v>
      </c>
      <c r="R34" s="473">
        <f t="shared" si="4"/>
        <v>33132</v>
      </c>
      <c r="S34" s="471">
        <v>467</v>
      </c>
      <c r="T34" s="473">
        <f t="shared" si="5"/>
        <v>3736</v>
      </c>
      <c r="U34" s="471">
        <v>596</v>
      </c>
      <c r="V34" s="476">
        <v>12</v>
      </c>
      <c r="W34" s="473">
        <f t="shared" si="6"/>
        <v>7152</v>
      </c>
      <c r="X34" s="471">
        <v>595</v>
      </c>
      <c r="Y34" s="476">
        <v>10</v>
      </c>
      <c r="Z34" s="473">
        <f t="shared" si="7"/>
        <v>5950</v>
      </c>
      <c r="AA34" s="471">
        <v>251</v>
      </c>
      <c r="AB34" s="476">
        <v>25</v>
      </c>
      <c r="AC34" s="473">
        <f t="shared" si="8"/>
        <v>6275</v>
      </c>
      <c r="AD34" s="471"/>
      <c r="AE34" s="476">
        <v>7.5</v>
      </c>
      <c r="AF34" s="473">
        <f t="shared" si="9"/>
        <v>0</v>
      </c>
      <c r="AG34" s="471"/>
      <c r="AH34" s="475">
        <v>15</v>
      </c>
      <c r="AI34" s="473">
        <f t="shared" si="10"/>
        <v>0</v>
      </c>
      <c r="AJ34" s="471">
        <v>93</v>
      </c>
      <c r="AK34" s="476">
        <v>10</v>
      </c>
      <c r="AL34" s="473">
        <f t="shared" si="11"/>
        <v>930</v>
      </c>
      <c r="AM34" s="471">
        <f t="shared" si="12"/>
        <v>4763</v>
      </c>
      <c r="AN34" s="471"/>
      <c r="AO34" s="478"/>
      <c r="AP34" s="471"/>
      <c r="AQ34" s="471"/>
      <c r="AR34" s="473"/>
      <c r="AS34" s="471"/>
      <c r="AT34" s="471"/>
      <c r="AU34" s="479">
        <v>993</v>
      </c>
      <c r="AV34" s="471"/>
      <c r="AW34" s="530">
        <f t="shared" si="13"/>
        <v>0.39743732590529246</v>
      </c>
      <c r="AX34" s="530">
        <f t="shared" si="14"/>
        <v>0.53069637883008358</v>
      </c>
      <c r="AY34" s="530">
        <f t="shared" si="15"/>
        <v>0.27838519764507991</v>
      </c>
      <c r="AZ34" s="531">
        <f t="shared" si="16"/>
        <v>504995</v>
      </c>
      <c r="BA34" s="531">
        <f t="shared" si="17"/>
        <v>488157</v>
      </c>
      <c r="BB34" s="531">
        <f t="shared" si="18"/>
        <v>504995</v>
      </c>
      <c r="BC34" s="531">
        <f t="shared" si="19"/>
        <v>504995</v>
      </c>
      <c r="BD34" s="546">
        <v>5</v>
      </c>
      <c r="BE34" s="532">
        <v>582266</v>
      </c>
      <c r="BF34" s="532">
        <v>377695.82</v>
      </c>
      <c r="BG34" s="533">
        <f t="shared" si="20"/>
        <v>64.866542095880575</v>
      </c>
      <c r="BH34" s="534">
        <f t="shared" si="28"/>
        <v>46506</v>
      </c>
      <c r="BI34" s="535">
        <f t="shared" si="29"/>
        <v>7.9870712011348766E-2</v>
      </c>
      <c r="BJ34" s="541">
        <v>48300</v>
      </c>
      <c r="BK34" s="541">
        <f t="shared" si="30"/>
        <v>3.6332703933747412</v>
      </c>
      <c r="BL34" s="541">
        <v>693.75</v>
      </c>
      <c r="BM34" s="541">
        <f t="shared" si="31"/>
        <v>252.95417657657657</v>
      </c>
      <c r="BN34" s="542"/>
      <c r="BO34" s="541" t="e">
        <f t="shared" si="32"/>
        <v>#DIV/0!</v>
      </c>
      <c r="BP34" s="542"/>
      <c r="BQ34" s="541" t="e">
        <f t="shared" si="33"/>
        <v>#DIV/0!</v>
      </c>
      <c r="BR34" s="541">
        <v>15000</v>
      </c>
      <c r="BS34" s="543">
        <v>175486.96</v>
      </c>
      <c r="BT34" s="539">
        <f>+BS34/BE34%</f>
        <v>30.138623927895498</v>
      </c>
      <c r="BU34" s="532">
        <f>SUM(BE34-BF34-BS34)</f>
        <v>29083.22</v>
      </c>
      <c r="BV34" s="533">
        <f>+BU34/BE34%</f>
        <v>4.9948339762239256</v>
      </c>
      <c r="BW34" s="481">
        <v>17866</v>
      </c>
      <c r="BX34" s="481">
        <v>12110</v>
      </c>
      <c r="BY34" s="481">
        <v>11090</v>
      </c>
      <c r="BZ34" s="481">
        <v>5440</v>
      </c>
      <c r="CA34" s="482">
        <f>BW34/BE34</f>
        <v>3.0683570739146713E-2</v>
      </c>
      <c r="CB34" s="482">
        <f>BX34/BE34</f>
        <v>2.0798054497429011E-2</v>
      </c>
      <c r="CC34" s="482">
        <f>BY34/BE34</f>
        <v>1.9046277818041926E-2</v>
      </c>
      <c r="CD34" s="482">
        <f>BZ34/BE34</f>
        <v>9.3428089567311155E-3</v>
      </c>
      <c r="CE34" s="480">
        <f>+BU34*20%</f>
        <v>5816.6440000000002</v>
      </c>
      <c r="CF34" s="483">
        <f>BU34*90%</f>
        <v>26174.898000000001</v>
      </c>
    </row>
    <row r="35" spans="1:85" ht="18.75" customHeight="1" x14ac:dyDescent="0.45">
      <c r="A35" s="469" t="e">
        <f t="shared" si="34"/>
        <v>#REF!</v>
      </c>
      <c r="B35" s="470" t="s">
        <v>210</v>
      </c>
      <c r="C35" s="470"/>
      <c r="D35" s="471"/>
      <c r="E35" s="472">
        <v>40</v>
      </c>
      <c r="F35" s="473">
        <f t="shared" si="27"/>
        <v>0</v>
      </c>
      <c r="G35" s="471">
        <v>10469</v>
      </c>
      <c r="H35" s="475">
        <v>50</v>
      </c>
      <c r="I35" s="473">
        <f t="shared" si="1"/>
        <v>523450</v>
      </c>
      <c r="J35" s="471"/>
      <c r="K35" s="476">
        <v>60</v>
      </c>
      <c r="L35" s="473">
        <f t="shared" si="2"/>
        <v>0</v>
      </c>
      <c r="M35" s="471">
        <v>5269</v>
      </c>
      <c r="N35" s="476">
        <v>15</v>
      </c>
      <c r="O35" s="473">
        <f t="shared" si="3"/>
        <v>79035</v>
      </c>
      <c r="P35" s="471">
        <v>1160</v>
      </c>
      <c r="Q35" s="477">
        <v>12</v>
      </c>
      <c r="R35" s="473">
        <f t="shared" si="4"/>
        <v>13920</v>
      </c>
      <c r="S35" s="471">
        <v>912</v>
      </c>
      <c r="T35" s="473">
        <f t="shared" si="5"/>
        <v>7296</v>
      </c>
      <c r="U35" s="471">
        <v>771</v>
      </c>
      <c r="V35" s="476">
        <v>12</v>
      </c>
      <c r="W35" s="473">
        <f t="shared" si="6"/>
        <v>9252</v>
      </c>
      <c r="X35" s="471">
        <v>1280</v>
      </c>
      <c r="Y35" s="476">
        <v>10</v>
      </c>
      <c r="Z35" s="473">
        <f t="shared" si="7"/>
        <v>12800</v>
      </c>
      <c r="AA35" s="471">
        <v>250</v>
      </c>
      <c r="AB35" s="476">
        <v>25</v>
      </c>
      <c r="AC35" s="473">
        <f t="shared" si="8"/>
        <v>6250</v>
      </c>
      <c r="AD35" s="471"/>
      <c r="AE35" s="476">
        <v>7.5</v>
      </c>
      <c r="AF35" s="473">
        <f t="shared" si="9"/>
        <v>0</v>
      </c>
      <c r="AG35" s="471"/>
      <c r="AH35" s="475">
        <v>15</v>
      </c>
      <c r="AI35" s="473">
        <f t="shared" si="10"/>
        <v>0</v>
      </c>
      <c r="AJ35" s="471">
        <v>75</v>
      </c>
      <c r="AK35" s="476">
        <v>10</v>
      </c>
      <c r="AL35" s="473">
        <f t="shared" si="11"/>
        <v>750</v>
      </c>
      <c r="AM35" s="471">
        <f t="shared" si="12"/>
        <v>4448</v>
      </c>
      <c r="AN35" s="471"/>
      <c r="AO35" s="478"/>
      <c r="AP35" s="471"/>
      <c r="AQ35" s="471"/>
      <c r="AR35" s="473"/>
      <c r="AS35" s="471"/>
      <c r="AT35" s="471"/>
      <c r="AU35" s="479">
        <v>2154</v>
      </c>
      <c r="AV35" s="471"/>
      <c r="AW35" s="530">
        <f t="shared" si="13"/>
        <v>0.50329544369089696</v>
      </c>
      <c r="AX35" s="530">
        <f t="shared" si="14"/>
        <v>0.42487343585824816</v>
      </c>
      <c r="AY35" s="530">
        <f t="shared" si="15"/>
        <v>0.40880622509014991</v>
      </c>
      <c r="AZ35" s="531">
        <f t="shared" si="16"/>
        <v>572968</v>
      </c>
      <c r="BA35" s="531">
        <f t="shared" si="17"/>
        <v>543620</v>
      </c>
      <c r="BB35" s="531">
        <f t="shared" si="18"/>
        <v>572968</v>
      </c>
      <c r="BC35" s="531">
        <f t="shared" si="19"/>
        <v>572968</v>
      </c>
      <c r="BD35" s="546">
        <v>6</v>
      </c>
      <c r="BE35" s="532">
        <v>702813</v>
      </c>
      <c r="BF35" s="532">
        <v>449448.5</v>
      </c>
      <c r="BG35" s="533">
        <f t="shared" si="20"/>
        <v>63.949941165004063</v>
      </c>
      <c r="BH35" s="534">
        <f t="shared" si="28"/>
        <v>56364</v>
      </c>
      <c r="BI35" s="535">
        <f t="shared" si="29"/>
        <v>8.0197719734836997E-2</v>
      </c>
      <c r="BJ35" s="541">
        <v>72500</v>
      </c>
      <c r="BK35" s="541">
        <f t="shared" si="30"/>
        <v>2.7111285517241379</v>
      </c>
      <c r="BL35" s="542"/>
      <c r="BM35" s="541" t="e">
        <f t="shared" si="31"/>
        <v>#DIV/0!</v>
      </c>
      <c r="BN35" s="542"/>
      <c r="BO35" s="541" t="e">
        <f t="shared" si="32"/>
        <v>#DIV/0!</v>
      </c>
      <c r="BP35" s="542"/>
      <c r="BQ35" s="541" t="e">
        <f t="shared" si="33"/>
        <v>#DIV/0!</v>
      </c>
      <c r="BR35" s="541">
        <v>8997</v>
      </c>
      <c r="BS35" s="543">
        <v>196556.82</v>
      </c>
      <c r="BT35" s="539">
        <f>+BS35/BE35%</f>
        <v>27.967157693440502</v>
      </c>
      <c r="BU35" s="532">
        <f>SUM(BE35-BF35-BS35)</f>
        <v>56807.679999999993</v>
      </c>
      <c r="BV35" s="533">
        <f>+BU35/BE35%</f>
        <v>8.0829011415554337</v>
      </c>
      <c r="BW35" s="481">
        <v>21816</v>
      </c>
      <c r="BX35" s="481">
        <v>13840</v>
      </c>
      <c r="BY35" s="481">
        <v>15268</v>
      </c>
      <c r="BZ35" s="481">
        <v>5440</v>
      </c>
      <c r="CA35" s="482">
        <f>BW35/BE35</f>
        <v>3.1040973914825139E-2</v>
      </c>
      <c r="CB35" s="482">
        <f>BX35/BE35</f>
        <v>1.9692293682672345E-2</v>
      </c>
      <c r="CC35" s="482">
        <f>BY35/BE35</f>
        <v>2.1724128608890274E-2</v>
      </c>
      <c r="CD35" s="482">
        <f>BZ35/BE35</f>
        <v>7.7403235284492465E-3</v>
      </c>
      <c r="CE35" s="480">
        <f>+BU35*20%</f>
        <v>11361.536</v>
      </c>
      <c r="CF35" s="483">
        <f>BU35*90%</f>
        <v>51126.911999999997</v>
      </c>
    </row>
    <row r="36" spans="1:85" ht="18.75" customHeight="1" x14ac:dyDescent="0.45">
      <c r="A36" s="469" t="e">
        <f t="shared" si="34"/>
        <v>#REF!</v>
      </c>
      <c r="B36" s="470" t="s">
        <v>216</v>
      </c>
      <c r="C36" s="470"/>
      <c r="D36" s="471"/>
      <c r="E36" s="472">
        <v>40</v>
      </c>
      <c r="F36" s="473">
        <f t="shared" si="27"/>
        <v>0</v>
      </c>
      <c r="G36" s="471">
        <v>8922</v>
      </c>
      <c r="H36" s="475">
        <v>50</v>
      </c>
      <c r="I36" s="473">
        <f t="shared" si="1"/>
        <v>446100</v>
      </c>
      <c r="J36" s="471"/>
      <c r="K36" s="476">
        <v>60</v>
      </c>
      <c r="L36" s="473">
        <f t="shared" si="2"/>
        <v>0</v>
      </c>
      <c r="M36" s="471">
        <v>2969</v>
      </c>
      <c r="N36" s="476">
        <v>15</v>
      </c>
      <c r="O36" s="473">
        <f t="shared" si="3"/>
        <v>44535</v>
      </c>
      <c r="P36" s="471">
        <v>1160</v>
      </c>
      <c r="Q36" s="477">
        <v>12</v>
      </c>
      <c r="R36" s="473">
        <f t="shared" si="4"/>
        <v>13920</v>
      </c>
      <c r="S36" s="471">
        <v>560</v>
      </c>
      <c r="T36" s="473">
        <f t="shared" si="5"/>
        <v>4480</v>
      </c>
      <c r="U36" s="471">
        <v>478</v>
      </c>
      <c r="V36" s="476">
        <v>12</v>
      </c>
      <c r="W36" s="473">
        <f t="shared" si="6"/>
        <v>5736</v>
      </c>
      <c r="X36" s="471">
        <v>745</v>
      </c>
      <c r="Y36" s="476">
        <v>10</v>
      </c>
      <c r="Z36" s="473">
        <f t="shared" si="7"/>
        <v>7450</v>
      </c>
      <c r="AA36" s="471">
        <v>120</v>
      </c>
      <c r="AB36" s="476">
        <v>25</v>
      </c>
      <c r="AC36" s="473">
        <f t="shared" si="8"/>
        <v>3000</v>
      </c>
      <c r="AD36" s="471"/>
      <c r="AE36" s="476">
        <v>7.5</v>
      </c>
      <c r="AF36" s="473">
        <f t="shared" si="9"/>
        <v>0</v>
      </c>
      <c r="AG36" s="471"/>
      <c r="AH36" s="475">
        <v>15</v>
      </c>
      <c r="AI36" s="473">
        <f t="shared" si="10"/>
        <v>0</v>
      </c>
      <c r="AJ36" s="471">
        <v>63</v>
      </c>
      <c r="AK36" s="476">
        <v>10</v>
      </c>
      <c r="AL36" s="473">
        <f t="shared" si="11"/>
        <v>630</v>
      </c>
      <c r="AM36" s="471">
        <f t="shared" si="12"/>
        <v>3126</v>
      </c>
      <c r="AN36" s="471"/>
      <c r="AO36" s="478"/>
      <c r="AP36" s="471"/>
      <c r="AQ36" s="471"/>
      <c r="AR36" s="473"/>
      <c r="AS36" s="471"/>
      <c r="AT36" s="471"/>
      <c r="AU36" s="479">
        <v>970</v>
      </c>
      <c r="AV36" s="471"/>
      <c r="AW36" s="530">
        <f t="shared" si="13"/>
        <v>0.33277292086976012</v>
      </c>
      <c r="AX36" s="530">
        <f t="shared" si="14"/>
        <v>0.35036987222595828</v>
      </c>
      <c r="AY36" s="530">
        <f t="shared" si="15"/>
        <v>0.32670932974065342</v>
      </c>
      <c r="AZ36" s="531">
        <f t="shared" si="16"/>
        <v>480686</v>
      </c>
      <c r="BA36" s="531">
        <f t="shared" si="17"/>
        <v>463020</v>
      </c>
      <c r="BB36" s="531">
        <f t="shared" si="18"/>
        <v>480686</v>
      </c>
      <c r="BC36" s="531">
        <f t="shared" si="19"/>
        <v>480686</v>
      </c>
      <c r="BD36" s="546">
        <v>4</v>
      </c>
      <c r="BE36" s="532">
        <v>548522</v>
      </c>
      <c r="BF36" s="532">
        <v>180494.52</v>
      </c>
      <c r="BG36" s="533">
        <f t="shared" si="20"/>
        <v>32.905611807730587</v>
      </c>
      <c r="BH36" s="534">
        <f t="shared" si="28"/>
        <v>53170</v>
      </c>
      <c r="BI36" s="535">
        <f t="shared" si="29"/>
        <v>9.6933213253069153E-2</v>
      </c>
      <c r="BJ36" s="541">
        <v>49650</v>
      </c>
      <c r="BK36" s="541">
        <f t="shared" si="30"/>
        <v>3.635337764350453</v>
      </c>
      <c r="BL36" s="541">
        <v>2268.75</v>
      </c>
      <c r="BM36" s="541">
        <f t="shared" si="31"/>
        <v>79.556813223140495</v>
      </c>
      <c r="BN36" s="542"/>
      <c r="BO36" s="541" t="e">
        <f t="shared" si="32"/>
        <v>#DIV/0!</v>
      </c>
      <c r="BP36" s="542"/>
      <c r="BQ36" s="541" t="e">
        <f t="shared" si="33"/>
        <v>#DIV/0!</v>
      </c>
      <c r="BR36" s="541">
        <v>30000</v>
      </c>
      <c r="BS36" s="543">
        <v>180494.52</v>
      </c>
      <c r="BT36" s="539">
        <f>+BS36/BE36%</f>
        <v>32.905611807730587</v>
      </c>
      <c r="BU36" s="532">
        <f>SUM(BE36-BF36-BS36)</f>
        <v>187532.96</v>
      </c>
      <c r="BV36" s="533">
        <f>+BU36/BE36%</f>
        <v>34.188776384538812</v>
      </c>
      <c r="BW36" s="481">
        <v>21836</v>
      </c>
      <c r="BX36" s="481">
        <v>13840</v>
      </c>
      <c r="BY36" s="481">
        <v>12694</v>
      </c>
      <c r="BZ36" s="481">
        <v>4800</v>
      </c>
      <c r="CA36" s="482">
        <f>BW36/BE36</f>
        <v>3.9808795271657288E-2</v>
      </c>
      <c r="CB36" s="482">
        <f>BX36/BE36</f>
        <v>2.523144012455289E-2</v>
      </c>
      <c r="CC36" s="482">
        <f>BY36/BE36</f>
        <v>2.3142189374355086E-2</v>
      </c>
      <c r="CD36" s="482">
        <f>BZ36/BE36</f>
        <v>8.7507884825038917E-3</v>
      </c>
      <c r="CE36" s="480">
        <f>+BU36*20%</f>
        <v>37506.591999999997</v>
      </c>
      <c r="CF36" s="483">
        <f>BU36*90%</f>
        <v>168779.66399999999</v>
      </c>
    </row>
    <row r="37" spans="1:85" ht="18.75" customHeight="1" x14ac:dyDescent="0.45">
      <c r="A37" s="469" t="e">
        <f t="shared" si="34"/>
        <v>#REF!</v>
      </c>
      <c r="B37" s="470" t="s">
        <v>214</v>
      </c>
      <c r="C37" s="470"/>
      <c r="D37" s="471"/>
      <c r="E37" s="472">
        <v>40</v>
      </c>
      <c r="F37" s="473">
        <f t="shared" si="27"/>
        <v>0</v>
      </c>
      <c r="G37" s="471">
        <v>8664</v>
      </c>
      <c r="H37" s="475">
        <v>50</v>
      </c>
      <c r="I37" s="473">
        <f t="shared" si="1"/>
        <v>433200</v>
      </c>
      <c r="J37" s="471"/>
      <c r="K37" s="476">
        <v>60</v>
      </c>
      <c r="L37" s="473">
        <f t="shared" si="2"/>
        <v>0</v>
      </c>
      <c r="M37" s="471">
        <v>4093</v>
      </c>
      <c r="N37" s="476">
        <v>15</v>
      </c>
      <c r="O37" s="473">
        <f t="shared" si="3"/>
        <v>61395</v>
      </c>
      <c r="P37" s="471">
        <v>1880</v>
      </c>
      <c r="Q37" s="477">
        <v>12</v>
      </c>
      <c r="R37" s="473">
        <f t="shared" si="4"/>
        <v>22560</v>
      </c>
      <c r="S37" s="471">
        <v>693</v>
      </c>
      <c r="T37" s="473">
        <f t="shared" si="5"/>
        <v>5544</v>
      </c>
      <c r="U37" s="471">
        <v>647</v>
      </c>
      <c r="V37" s="476">
        <v>12</v>
      </c>
      <c r="W37" s="473">
        <f t="shared" si="6"/>
        <v>7764</v>
      </c>
      <c r="X37" s="471">
        <v>1150</v>
      </c>
      <c r="Y37" s="476">
        <v>10</v>
      </c>
      <c r="Z37" s="473">
        <f t="shared" si="7"/>
        <v>11500</v>
      </c>
      <c r="AA37" s="471">
        <v>156</v>
      </c>
      <c r="AB37" s="476">
        <v>25</v>
      </c>
      <c r="AC37" s="473">
        <f t="shared" si="8"/>
        <v>3900</v>
      </c>
      <c r="AD37" s="471"/>
      <c r="AE37" s="476">
        <v>7.5</v>
      </c>
      <c r="AF37" s="473">
        <f t="shared" si="9"/>
        <v>0</v>
      </c>
      <c r="AG37" s="471"/>
      <c r="AH37" s="475">
        <v>15</v>
      </c>
      <c r="AI37" s="473">
        <f t="shared" si="10"/>
        <v>0</v>
      </c>
      <c r="AJ37" s="471">
        <v>70</v>
      </c>
      <c r="AK37" s="476">
        <v>10</v>
      </c>
      <c r="AL37" s="473">
        <f t="shared" si="11"/>
        <v>700</v>
      </c>
      <c r="AM37" s="471">
        <f t="shared" si="12"/>
        <v>4596</v>
      </c>
      <c r="AN37" s="471"/>
      <c r="AO37" s="478"/>
      <c r="AP37" s="471"/>
      <c r="AQ37" s="471"/>
      <c r="AR37" s="473"/>
      <c r="AS37" s="471"/>
      <c r="AT37" s="471"/>
      <c r="AU37" s="479">
        <v>1785</v>
      </c>
      <c r="AV37" s="471"/>
      <c r="AW37" s="530">
        <f t="shared" si="13"/>
        <v>0.47241458910433981</v>
      </c>
      <c r="AX37" s="530">
        <f t="shared" si="14"/>
        <v>0.53047091412742386</v>
      </c>
      <c r="AY37" s="530">
        <f t="shared" si="15"/>
        <v>0.43611043244563891</v>
      </c>
      <c r="AZ37" s="531">
        <f t="shared" si="16"/>
        <v>484468</v>
      </c>
      <c r="BA37" s="531">
        <f t="shared" si="17"/>
        <v>459660</v>
      </c>
      <c r="BB37" s="531">
        <f t="shared" si="18"/>
        <v>484468</v>
      </c>
      <c r="BC37" s="531">
        <f t="shared" si="19"/>
        <v>484468</v>
      </c>
      <c r="BD37" s="546">
        <v>4</v>
      </c>
      <c r="BE37" s="532">
        <v>588401</v>
      </c>
      <c r="BF37" s="532">
        <v>376197.81</v>
      </c>
      <c r="BG37" s="533">
        <f t="shared" si="20"/>
        <v>63.935617036680767</v>
      </c>
      <c r="BH37" s="534">
        <f t="shared" si="28"/>
        <v>42654</v>
      </c>
      <c r="BI37" s="535">
        <f t="shared" si="29"/>
        <v>7.2491379178485429E-2</v>
      </c>
      <c r="BJ37" s="541">
        <v>50200</v>
      </c>
      <c r="BK37" s="541">
        <f t="shared" si="30"/>
        <v>2.9913760956175297</v>
      </c>
      <c r="BL37" s="541">
        <v>1169</v>
      </c>
      <c r="BM37" s="541">
        <f t="shared" si="31"/>
        <v>128.45772455089821</v>
      </c>
      <c r="BN37" s="542"/>
      <c r="BO37" s="541" t="e">
        <f t="shared" si="32"/>
        <v>#DIV/0!</v>
      </c>
      <c r="BP37" s="542"/>
      <c r="BQ37" s="541" t="e">
        <f t="shared" si="33"/>
        <v>#DIV/0!</v>
      </c>
      <c r="BR37" s="541">
        <v>21000</v>
      </c>
      <c r="BS37" s="543">
        <v>150167.07999999999</v>
      </c>
      <c r="BT37" s="539">
        <f>+BS37/BE37%</f>
        <v>25.521214273939027</v>
      </c>
      <c r="BU37" s="532">
        <f>SUM(BE37-BF37-BS37)</f>
        <v>62036.110000000015</v>
      </c>
      <c r="BV37" s="533">
        <f>+BU37/BE37%</f>
        <v>10.543168689380204</v>
      </c>
      <c r="BW37" s="481">
        <v>17866</v>
      </c>
      <c r="BX37" s="481">
        <v>10380</v>
      </c>
      <c r="BY37" s="481">
        <v>8328</v>
      </c>
      <c r="BZ37" s="481">
        <v>6080</v>
      </c>
      <c r="CA37" s="482">
        <f>BW37/BE37</f>
        <v>3.0363646560763832E-2</v>
      </c>
      <c r="CB37" s="482">
        <f>BX37/BE37</f>
        <v>1.7641030521702038E-2</v>
      </c>
      <c r="CC37" s="482">
        <f>BY37/BE37</f>
        <v>1.4153612927238397E-2</v>
      </c>
      <c r="CD37" s="482">
        <f>BZ37/BE37</f>
        <v>1.0333089168781154E-2</v>
      </c>
      <c r="CE37" s="480">
        <f>+BU37*20%</f>
        <v>12407.222000000003</v>
      </c>
      <c r="CF37" s="483">
        <f>BU37*90%</f>
        <v>55832.499000000018</v>
      </c>
    </row>
    <row r="38" spans="1:85" ht="18.75" customHeight="1" x14ac:dyDescent="0.45">
      <c r="A38" s="469" t="e">
        <f t="shared" si="34"/>
        <v>#REF!</v>
      </c>
      <c r="B38" s="470" t="s">
        <v>218</v>
      </c>
      <c r="C38" s="470"/>
      <c r="D38" s="471"/>
      <c r="E38" s="472">
        <v>40</v>
      </c>
      <c r="F38" s="473">
        <f t="shared" si="27"/>
        <v>0</v>
      </c>
      <c r="G38" s="471">
        <v>3144</v>
      </c>
      <c r="H38" s="475">
        <v>50</v>
      </c>
      <c r="I38" s="473">
        <f t="shared" si="1"/>
        <v>157200</v>
      </c>
      <c r="J38" s="471"/>
      <c r="K38" s="476">
        <v>60</v>
      </c>
      <c r="L38" s="473">
        <f t="shared" si="2"/>
        <v>0</v>
      </c>
      <c r="M38" s="471">
        <v>1564</v>
      </c>
      <c r="N38" s="476">
        <v>15</v>
      </c>
      <c r="O38" s="473">
        <f t="shared" si="3"/>
        <v>23460</v>
      </c>
      <c r="P38" s="471">
        <v>926</v>
      </c>
      <c r="Q38" s="477">
        <v>12</v>
      </c>
      <c r="R38" s="473">
        <f t="shared" si="4"/>
        <v>11112</v>
      </c>
      <c r="S38" s="471">
        <v>648</v>
      </c>
      <c r="T38" s="473">
        <f t="shared" si="5"/>
        <v>5184</v>
      </c>
      <c r="U38" s="471">
        <v>522</v>
      </c>
      <c r="V38" s="476">
        <v>12</v>
      </c>
      <c r="W38" s="473">
        <f t="shared" si="6"/>
        <v>6264</v>
      </c>
      <c r="X38" s="471">
        <v>540</v>
      </c>
      <c r="Y38" s="476">
        <v>10</v>
      </c>
      <c r="Z38" s="473">
        <f t="shared" si="7"/>
        <v>5400</v>
      </c>
      <c r="AA38" s="471">
        <v>260</v>
      </c>
      <c r="AB38" s="476">
        <v>25</v>
      </c>
      <c r="AC38" s="473">
        <f t="shared" si="8"/>
        <v>6500</v>
      </c>
      <c r="AD38" s="471"/>
      <c r="AE38" s="476">
        <v>7.5</v>
      </c>
      <c r="AF38" s="473">
        <f t="shared" si="9"/>
        <v>0</v>
      </c>
      <c r="AG38" s="471"/>
      <c r="AH38" s="475">
        <v>15</v>
      </c>
      <c r="AI38" s="473">
        <f t="shared" si="10"/>
        <v>0</v>
      </c>
      <c r="AJ38" s="471"/>
      <c r="AK38" s="476">
        <v>10</v>
      </c>
      <c r="AL38" s="473">
        <f t="shared" si="11"/>
        <v>0</v>
      </c>
      <c r="AM38" s="471">
        <f t="shared" si="12"/>
        <v>2896</v>
      </c>
      <c r="AN38" s="471"/>
      <c r="AO38" s="478"/>
      <c r="AP38" s="471"/>
      <c r="AQ38" s="471"/>
      <c r="AR38" s="473"/>
      <c r="AS38" s="471"/>
      <c r="AT38" s="471"/>
      <c r="AU38" s="479">
        <v>879</v>
      </c>
      <c r="AV38" s="471"/>
      <c r="AW38" s="530">
        <f t="shared" si="13"/>
        <v>0.49745547073791346</v>
      </c>
      <c r="AX38" s="530">
        <f t="shared" si="14"/>
        <v>0.92111959287531808</v>
      </c>
      <c r="AY38" s="530">
        <f t="shared" si="15"/>
        <v>0.56202046035805631</v>
      </c>
      <c r="AZ38" s="531">
        <f t="shared" si="16"/>
        <v>191660</v>
      </c>
      <c r="BA38" s="531">
        <f t="shared" si="17"/>
        <v>174812</v>
      </c>
      <c r="BB38" s="531">
        <f t="shared" si="18"/>
        <v>191660</v>
      </c>
      <c r="BC38" s="531">
        <f t="shared" si="19"/>
        <v>191660</v>
      </c>
      <c r="BD38" s="546">
        <v>2</v>
      </c>
      <c r="BE38" s="532">
        <v>235347</v>
      </c>
      <c r="BF38" s="532">
        <v>150480.22</v>
      </c>
      <c r="BG38" s="533">
        <f t="shared" si="20"/>
        <v>63.939723047245138</v>
      </c>
      <c r="BH38" s="534">
        <f t="shared" si="28"/>
        <v>17963.2</v>
      </c>
      <c r="BI38" s="535">
        <f t="shared" si="29"/>
        <v>7.6326445631344358E-2</v>
      </c>
      <c r="BJ38" s="541">
        <f>20000+1200</f>
        <v>21200</v>
      </c>
      <c r="BK38" s="541">
        <f t="shared" si="30"/>
        <v>4.3493801886792456</v>
      </c>
      <c r="BL38" s="541">
        <v>2987</v>
      </c>
      <c r="BM38" s="541">
        <f t="shared" si="31"/>
        <v>30.869387345162369</v>
      </c>
      <c r="BN38" s="542"/>
      <c r="BO38" s="541" t="e">
        <f t="shared" si="32"/>
        <v>#DIV/0!</v>
      </c>
      <c r="BP38" s="542"/>
      <c r="BQ38" s="541" t="e">
        <f t="shared" si="33"/>
        <v>#DIV/0!</v>
      </c>
      <c r="BR38" s="541">
        <v>12000</v>
      </c>
      <c r="BS38" s="543">
        <v>92206.86</v>
      </c>
      <c r="BT38" s="539">
        <f>+BS38/BE38%</f>
        <v>39.179109995028618</v>
      </c>
      <c r="BU38" s="532">
        <f>SUM(BE38-BF38-BS38)</f>
        <v>-7340.0800000000017</v>
      </c>
      <c r="BV38" s="533">
        <f>+BU38/BE38%</f>
        <v>-3.1188330422737498</v>
      </c>
      <c r="BW38" s="481">
        <v>4080</v>
      </c>
      <c r="BX38" s="481">
        <v>6364</v>
      </c>
      <c r="BY38" s="481">
        <v>5496</v>
      </c>
      <c r="BZ38" s="481">
        <f>1620+403.2</f>
        <v>2023.2</v>
      </c>
      <c r="CA38" s="482">
        <f>BW38/BE38</f>
        <v>1.7336103710691022E-2</v>
      </c>
      <c r="CB38" s="482">
        <f>BX38/BE38</f>
        <v>2.7040922552656291E-2</v>
      </c>
      <c r="CC38" s="482">
        <f>BY38/BE38</f>
        <v>2.3352751469107317E-2</v>
      </c>
      <c r="CD38" s="482">
        <f>BZ38/BE38</f>
        <v>8.5966678988897254E-3</v>
      </c>
      <c r="CE38" s="480">
        <f>+BU38*20%</f>
        <v>-1468.0160000000005</v>
      </c>
      <c r="CF38" s="483">
        <f>BU38*90%</f>
        <v>-6606.0720000000019</v>
      </c>
    </row>
    <row r="39" spans="1:85" ht="18.75" customHeight="1" x14ac:dyDescent="0.45">
      <c r="A39" s="469" t="e">
        <f t="shared" si="34"/>
        <v>#REF!</v>
      </c>
      <c r="B39" s="470" t="s">
        <v>220</v>
      </c>
      <c r="C39" s="470"/>
      <c r="D39" s="471"/>
      <c r="E39" s="472">
        <v>40</v>
      </c>
      <c r="F39" s="473">
        <f t="shared" si="27"/>
        <v>0</v>
      </c>
      <c r="G39" s="471">
        <v>3591</v>
      </c>
      <c r="H39" s="475">
        <v>50</v>
      </c>
      <c r="I39" s="473">
        <f t="shared" si="1"/>
        <v>179550</v>
      </c>
      <c r="J39" s="471"/>
      <c r="K39" s="476">
        <v>60</v>
      </c>
      <c r="L39" s="473">
        <f t="shared" si="2"/>
        <v>0</v>
      </c>
      <c r="M39" s="471">
        <v>1136</v>
      </c>
      <c r="N39" s="476">
        <v>15</v>
      </c>
      <c r="O39" s="473">
        <f t="shared" si="3"/>
        <v>17040</v>
      </c>
      <c r="P39" s="471">
        <v>3720</v>
      </c>
      <c r="Q39" s="477">
        <v>12</v>
      </c>
      <c r="R39" s="473">
        <f t="shared" si="4"/>
        <v>44640</v>
      </c>
      <c r="S39" s="471">
        <v>332</v>
      </c>
      <c r="T39" s="473">
        <f t="shared" si="5"/>
        <v>2656</v>
      </c>
      <c r="U39" s="471">
        <v>170</v>
      </c>
      <c r="V39" s="476">
        <v>12</v>
      </c>
      <c r="W39" s="473">
        <f t="shared" si="6"/>
        <v>2040</v>
      </c>
      <c r="X39" s="471">
        <v>463</v>
      </c>
      <c r="Y39" s="476">
        <v>10</v>
      </c>
      <c r="Z39" s="473">
        <f t="shared" si="7"/>
        <v>4630</v>
      </c>
      <c r="AA39" s="471">
        <v>163</v>
      </c>
      <c r="AB39" s="476">
        <v>25</v>
      </c>
      <c r="AC39" s="473">
        <f t="shared" si="8"/>
        <v>4075</v>
      </c>
      <c r="AD39" s="471"/>
      <c r="AE39" s="476">
        <v>7.5</v>
      </c>
      <c r="AF39" s="473">
        <f t="shared" si="9"/>
        <v>0</v>
      </c>
      <c r="AG39" s="471"/>
      <c r="AH39" s="475">
        <v>15</v>
      </c>
      <c r="AI39" s="473">
        <f t="shared" si="10"/>
        <v>0</v>
      </c>
      <c r="AJ39" s="471"/>
      <c r="AK39" s="476">
        <v>10</v>
      </c>
      <c r="AL39" s="473">
        <f t="shared" si="11"/>
        <v>0</v>
      </c>
      <c r="AM39" s="471">
        <f t="shared" si="12"/>
        <v>4848</v>
      </c>
      <c r="AN39" s="471"/>
      <c r="AO39" s="478"/>
      <c r="AP39" s="471"/>
      <c r="AQ39" s="471"/>
      <c r="AR39" s="473"/>
      <c r="AS39" s="471"/>
      <c r="AT39" s="471"/>
      <c r="AU39" s="479">
        <v>313</v>
      </c>
      <c r="AV39" s="471"/>
      <c r="AW39" s="530">
        <f t="shared" si="13"/>
        <v>0.31634642160957949</v>
      </c>
      <c r="AX39" s="530">
        <f t="shared" si="14"/>
        <v>1.3500417710944026</v>
      </c>
      <c r="AY39" s="530">
        <f t="shared" si="15"/>
        <v>0.2755281690140845</v>
      </c>
      <c r="AZ39" s="531">
        <f t="shared" si="16"/>
        <v>237591</v>
      </c>
      <c r="BA39" s="531">
        <f t="shared" si="17"/>
        <v>228265</v>
      </c>
      <c r="BB39" s="531">
        <f t="shared" si="18"/>
        <v>237591</v>
      </c>
      <c r="BC39" s="531">
        <f t="shared" si="19"/>
        <v>237591</v>
      </c>
      <c r="BD39" s="546">
        <v>2</v>
      </c>
      <c r="BE39" s="532">
        <v>260245</v>
      </c>
      <c r="BF39" s="532">
        <v>169988.19</v>
      </c>
      <c r="BG39" s="533">
        <f t="shared" si="20"/>
        <v>65.318522930315666</v>
      </c>
      <c r="BH39" s="534">
        <f t="shared" si="28"/>
        <v>19907</v>
      </c>
      <c r="BI39" s="535">
        <f t="shared" si="29"/>
        <v>7.6493304386251418E-2</v>
      </c>
      <c r="BJ39" s="541">
        <f>22050+1100</f>
        <v>23150</v>
      </c>
      <c r="BK39" s="541">
        <f t="shared" si="30"/>
        <v>3.2226993520518361</v>
      </c>
      <c r="BL39" s="541">
        <v>3000</v>
      </c>
      <c r="BM39" s="541">
        <f t="shared" si="31"/>
        <v>24.868496666666669</v>
      </c>
      <c r="BN39" s="542"/>
      <c r="BO39" s="541" t="e">
        <f t="shared" si="32"/>
        <v>#DIV/0!</v>
      </c>
      <c r="BP39" s="542"/>
      <c r="BQ39" s="541" t="e">
        <f t="shared" si="33"/>
        <v>#DIV/0!</v>
      </c>
      <c r="BR39" s="541">
        <v>10000</v>
      </c>
      <c r="BS39" s="543">
        <v>74605.490000000005</v>
      </c>
      <c r="BT39" s="539">
        <f>+BS39/BE39%</f>
        <v>28.667405713846573</v>
      </c>
      <c r="BU39" s="532">
        <f>SUM(BE39-BF39-BS39)</f>
        <v>15651.319999999992</v>
      </c>
      <c r="BV39" s="533">
        <f>+BU39/BE39%</f>
        <v>6.0140713558377659</v>
      </c>
      <c r="BW39" s="481">
        <v>8288</v>
      </c>
      <c r="BX39" s="481">
        <v>4773</v>
      </c>
      <c r="BY39" s="481">
        <v>5496</v>
      </c>
      <c r="BZ39" s="481">
        <v>1350</v>
      </c>
      <c r="CA39" s="482">
        <f>BW39/BE39</f>
        <v>3.1846913485369555E-2</v>
      </c>
      <c r="CB39" s="482">
        <f>BX39/BE39</f>
        <v>1.834040999827086E-2</v>
      </c>
      <c r="CC39" s="482">
        <f>BY39/BE39</f>
        <v>2.1118561355645642E-2</v>
      </c>
      <c r="CD39" s="482">
        <f>BZ39/BE39</f>
        <v>5.1874195469653597E-3</v>
      </c>
      <c r="CE39" s="480">
        <f>+BU39*20%</f>
        <v>3130.2639999999988</v>
      </c>
      <c r="CF39" s="483">
        <f>BU39*90%</f>
        <v>14086.187999999993</v>
      </c>
    </row>
    <row r="40" spans="1:85" ht="19.5" customHeight="1" x14ac:dyDescent="0.45">
      <c r="A40" s="469" t="e">
        <f t="shared" si="34"/>
        <v>#REF!</v>
      </c>
      <c r="B40" s="470" t="s">
        <v>209</v>
      </c>
      <c r="C40" s="470"/>
      <c r="D40" s="471"/>
      <c r="E40" s="472">
        <v>40</v>
      </c>
      <c r="F40" s="473">
        <f t="shared" si="27"/>
        <v>0</v>
      </c>
      <c r="G40" s="471">
        <v>8455</v>
      </c>
      <c r="H40" s="475">
        <v>50</v>
      </c>
      <c r="I40" s="473">
        <f t="shared" si="1"/>
        <v>422750</v>
      </c>
      <c r="J40" s="471"/>
      <c r="K40" s="476">
        <v>60</v>
      </c>
      <c r="L40" s="473">
        <f t="shared" si="2"/>
        <v>0</v>
      </c>
      <c r="M40" s="471">
        <v>7032</v>
      </c>
      <c r="N40" s="476">
        <v>15</v>
      </c>
      <c r="O40" s="473">
        <f t="shared" si="3"/>
        <v>105480</v>
      </c>
      <c r="P40" s="471">
        <v>6910</v>
      </c>
      <c r="Q40" s="477">
        <v>12</v>
      </c>
      <c r="R40" s="473">
        <f t="shared" si="4"/>
        <v>82920</v>
      </c>
      <c r="S40" s="471">
        <v>682</v>
      </c>
      <c r="T40" s="473">
        <f t="shared" si="5"/>
        <v>5456</v>
      </c>
      <c r="U40" s="471">
        <v>308</v>
      </c>
      <c r="V40" s="476">
        <v>12</v>
      </c>
      <c r="W40" s="473">
        <f t="shared" si="6"/>
        <v>3696</v>
      </c>
      <c r="X40" s="471">
        <v>784</v>
      </c>
      <c r="Y40" s="476">
        <v>10</v>
      </c>
      <c r="Z40" s="473">
        <f t="shared" si="7"/>
        <v>7840</v>
      </c>
      <c r="AA40" s="471">
        <v>274</v>
      </c>
      <c r="AB40" s="476">
        <v>25</v>
      </c>
      <c r="AC40" s="473">
        <f t="shared" si="8"/>
        <v>6850</v>
      </c>
      <c r="AD40" s="471"/>
      <c r="AE40" s="476">
        <v>7.5</v>
      </c>
      <c r="AF40" s="473">
        <f t="shared" si="9"/>
        <v>0</v>
      </c>
      <c r="AG40" s="471"/>
      <c r="AH40" s="475">
        <v>15</v>
      </c>
      <c r="AI40" s="473">
        <f t="shared" si="10"/>
        <v>0</v>
      </c>
      <c r="AJ40" s="471">
        <v>392</v>
      </c>
      <c r="AK40" s="476">
        <v>10</v>
      </c>
      <c r="AL40" s="473">
        <f t="shared" si="11"/>
        <v>3920</v>
      </c>
      <c r="AM40" s="471">
        <f t="shared" si="12"/>
        <v>9350</v>
      </c>
      <c r="AN40" s="471"/>
      <c r="AO40" s="478"/>
      <c r="AP40" s="471"/>
      <c r="AQ40" s="471"/>
      <c r="AR40" s="473"/>
      <c r="AS40" s="471"/>
      <c r="AT40" s="471"/>
      <c r="AU40" s="479">
        <v>2829</v>
      </c>
      <c r="AV40" s="471"/>
      <c r="AW40" s="530">
        <f t="shared" si="13"/>
        <v>0.83169722057953877</v>
      </c>
      <c r="AX40" s="530">
        <f t="shared" si="14"/>
        <v>1.1058545239503252</v>
      </c>
      <c r="AY40" s="530">
        <f t="shared" si="15"/>
        <v>0.40230375426621162</v>
      </c>
      <c r="AZ40" s="531">
        <f t="shared" si="16"/>
        <v>529512</v>
      </c>
      <c r="BA40" s="531">
        <f t="shared" si="17"/>
        <v>512520</v>
      </c>
      <c r="BB40" s="531">
        <f t="shared" si="18"/>
        <v>529512</v>
      </c>
      <c r="BC40" s="531">
        <f t="shared" si="19"/>
        <v>529512</v>
      </c>
      <c r="BD40" s="546">
        <v>5</v>
      </c>
      <c r="BE40" s="532">
        <v>704447</v>
      </c>
      <c r="BF40" s="532">
        <v>455659.63</v>
      </c>
      <c r="BG40" s="533">
        <f t="shared" si="20"/>
        <v>64.683309035314224</v>
      </c>
      <c r="BH40" s="534">
        <f t="shared" si="28"/>
        <v>55102.5</v>
      </c>
      <c r="BI40" s="535">
        <f t="shared" si="29"/>
        <v>7.8220930744257566E-2</v>
      </c>
      <c r="BJ40" s="541">
        <f>53337.5</f>
        <v>53337.5</v>
      </c>
      <c r="BK40" s="541">
        <f t="shared" si="30"/>
        <v>3.7142376376845556</v>
      </c>
      <c r="BL40" s="541">
        <v>1000</v>
      </c>
      <c r="BM40" s="541">
        <f t="shared" si="31"/>
        <v>198.10814999999999</v>
      </c>
      <c r="BN40" s="542"/>
      <c r="BO40" s="541" t="e">
        <f t="shared" si="32"/>
        <v>#DIV/0!</v>
      </c>
      <c r="BP40" s="542"/>
      <c r="BQ40" s="541" t="e">
        <f t="shared" si="33"/>
        <v>#DIV/0!</v>
      </c>
      <c r="BR40" s="541">
        <v>44000</v>
      </c>
      <c r="BS40" s="543">
        <v>198108.15</v>
      </c>
      <c r="BT40" s="539">
        <f>+BS40/BE40%</f>
        <v>28.122506022454491</v>
      </c>
      <c r="BU40" s="532">
        <f>SUM(BE40-BF40-BS40)</f>
        <v>50679.22</v>
      </c>
      <c r="BV40" s="533">
        <f>+BU40/BE40%</f>
        <v>7.1941849422312822</v>
      </c>
      <c r="BW40" s="481">
        <v>21056</v>
      </c>
      <c r="BX40" s="481">
        <v>14319</v>
      </c>
      <c r="BY40" s="481">
        <v>15114</v>
      </c>
      <c r="BZ40" s="481">
        <f>3510+1103.5</f>
        <v>4613.5</v>
      </c>
      <c r="CA40" s="482">
        <f>BW40/BE40</f>
        <v>2.9890112386027623E-2</v>
      </c>
      <c r="CB40" s="482">
        <f>BX40/BE40</f>
        <v>2.032658241145182E-2</v>
      </c>
      <c r="CC40" s="482">
        <f>BY40/BE40</f>
        <v>2.1455127213260899E-2</v>
      </c>
      <c r="CD40" s="482">
        <f>BZ40/BE40</f>
        <v>6.5491087335172128E-3</v>
      </c>
      <c r="CE40" s="480">
        <f>+BU40*20%</f>
        <v>10135.844000000001</v>
      </c>
      <c r="CF40" s="483">
        <f>BU40*90%</f>
        <v>45611.298000000003</v>
      </c>
    </row>
    <row r="41" spans="1:85" ht="18.75" customHeight="1" x14ac:dyDescent="0.45">
      <c r="A41" s="469" t="e">
        <f t="shared" si="34"/>
        <v>#REF!</v>
      </c>
      <c r="B41" s="470" t="s">
        <v>107</v>
      </c>
      <c r="C41" s="470"/>
      <c r="D41" s="471"/>
      <c r="E41" s="472">
        <v>40</v>
      </c>
      <c r="F41" s="473">
        <f t="shared" si="27"/>
        <v>0</v>
      </c>
      <c r="G41" s="471">
        <v>25708</v>
      </c>
      <c r="H41" s="475">
        <v>50</v>
      </c>
      <c r="I41" s="473">
        <f t="shared" si="1"/>
        <v>1285400</v>
      </c>
      <c r="J41" s="471"/>
      <c r="K41" s="476">
        <v>60</v>
      </c>
      <c r="L41" s="473">
        <f t="shared" si="2"/>
        <v>0</v>
      </c>
      <c r="M41" s="471">
        <v>12934</v>
      </c>
      <c r="N41" s="476">
        <v>15</v>
      </c>
      <c r="O41" s="473">
        <f t="shared" si="3"/>
        <v>194010</v>
      </c>
      <c r="P41" s="471">
        <v>220</v>
      </c>
      <c r="Q41" s="477">
        <v>12</v>
      </c>
      <c r="R41" s="473">
        <f t="shared" si="4"/>
        <v>2640</v>
      </c>
      <c r="S41" s="471">
        <v>1167</v>
      </c>
      <c r="T41" s="473">
        <f t="shared" si="5"/>
        <v>9336</v>
      </c>
      <c r="U41" s="471">
        <v>537</v>
      </c>
      <c r="V41" s="476">
        <v>12</v>
      </c>
      <c r="W41" s="473">
        <f t="shared" si="6"/>
        <v>6444</v>
      </c>
      <c r="X41" s="471">
        <v>1220</v>
      </c>
      <c r="Y41" s="476">
        <v>10</v>
      </c>
      <c r="Z41" s="473">
        <f t="shared" si="7"/>
        <v>12200</v>
      </c>
      <c r="AA41" s="471">
        <v>494</v>
      </c>
      <c r="AB41" s="476">
        <v>25</v>
      </c>
      <c r="AC41" s="473">
        <f t="shared" si="8"/>
        <v>12350</v>
      </c>
      <c r="AD41" s="471"/>
      <c r="AE41" s="476">
        <v>7.5</v>
      </c>
      <c r="AF41" s="473">
        <f t="shared" si="9"/>
        <v>0</v>
      </c>
      <c r="AG41" s="471"/>
      <c r="AH41" s="475">
        <v>15</v>
      </c>
      <c r="AI41" s="473">
        <f t="shared" si="10"/>
        <v>0</v>
      </c>
      <c r="AJ41" s="471">
        <v>476</v>
      </c>
      <c r="AK41" s="476">
        <v>10</v>
      </c>
      <c r="AL41" s="473">
        <f t="shared" si="11"/>
        <v>4760</v>
      </c>
      <c r="AM41" s="471">
        <f t="shared" si="12"/>
        <v>4114</v>
      </c>
      <c r="AN41" s="471"/>
      <c r="AO41" s="478"/>
      <c r="AP41" s="471"/>
      <c r="AQ41" s="471"/>
      <c r="AR41" s="473"/>
      <c r="AS41" s="471"/>
      <c r="AT41" s="471"/>
      <c r="AU41" s="479">
        <v>3505</v>
      </c>
      <c r="AV41" s="471"/>
      <c r="AW41" s="530">
        <f t="shared" si="13"/>
        <v>0.50311187179088224</v>
      </c>
      <c r="AX41" s="530">
        <f t="shared" si="14"/>
        <v>0.16002800684611793</v>
      </c>
      <c r="AY41" s="530">
        <f t="shared" si="15"/>
        <v>0.27099118602133909</v>
      </c>
      <c r="AZ41" s="531">
        <f t="shared" si="16"/>
        <v>1328370</v>
      </c>
      <c r="BA41" s="531">
        <f t="shared" si="17"/>
        <v>1300390</v>
      </c>
      <c r="BB41" s="531">
        <f t="shared" si="18"/>
        <v>1328370</v>
      </c>
      <c r="BC41" s="531">
        <f t="shared" si="19"/>
        <v>1328370</v>
      </c>
      <c r="BD41" s="546" t="s">
        <v>106</v>
      </c>
      <c r="BE41" s="532">
        <v>1608707</v>
      </c>
      <c r="BF41" s="532">
        <v>1082024.49</v>
      </c>
      <c r="BG41" s="533">
        <f t="shared" si="20"/>
        <v>67.260507351556257</v>
      </c>
      <c r="BH41" s="534">
        <f t="shared" si="28"/>
        <v>123389</v>
      </c>
      <c r="BI41" s="535">
        <f t="shared" si="29"/>
        <v>7.6700729219180364E-2</v>
      </c>
      <c r="BJ41" s="541">
        <v>103787.5</v>
      </c>
      <c r="BK41" s="541">
        <f t="shared" si="30"/>
        <v>3.1821006383234978</v>
      </c>
      <c r="BL41" s="541">
        <v>500</v>
      </c>
      <c r="BM41" s="541">
        <f t="shared" si="31"/>
        <v>660.52454</v>
      </c>
      <c r="BN41" s="542"/>
      <c r="BO41" s="541" t="e">
        <f t="shared" si="32"/>
        <v>#DIV/0!</v>
      </c>
      <c r="BP41" s="542"/>
      <c r="BQ41" s="541" t="e">
        <f t="shared" si="33"/>
        <v>#DIV/0!</v>
      </c>
      <c r="BR41" s="541">
        <v>30500</v>
      </c>
      <c r="BS41" s="543">
        <v>330262.27</v>
      </c>
      <c r="BT41" s="539">
        <f>+BS41/BE41%</f>
        <v>20.529671966368024</v>
      </c>
      <c r="BU41" s="532">
        <f>SUM(BE41-BF41-BS41)</f>
        <v>196420.24</v>
      </c>
      <c r="BV41" s="533">
        <f>+BU41/BE41%</f>
        <v>12.209820682075728</v>
      </c>
      <c r="BW41" s="481">
        <v>43455</v>
      </c>
      <c r="BX41" s="481">
        <v>28638</v>
      </c>
      <c r="BY41" s="481">
        <v>42656</v>
      </c>
      <c r="BZ41" s="481">
        <v>8640</v>
      </c>
      <c r="CA41" s="482">
        <f>BW41/BE41</f>
        <v>2.7012377020799935E-2</v>
      </c>
      <c r="CB41" s="482">
        <f>BX41/BE41</f>
        <v>1.7801874424615546E-2</v>
      </c>
      <c r="CC41" s="482">
        <f>BY41/BE41</f>
        <v>2.6515704848676609E-2</v>
      </c>
      <c r="CD41" s="482">
        <f>BZ41/BE41</f>
        <v>5.3707729250882848E-3</v>
      </c>
      <c r="CE41" s="480">
        <f>+BU41*20%</f>
        <v>39284.048000000003</v>
      </c>
      <c r="CF41" s="483">
        <f>BU41*90%</f>
        <v>176778.21599999999</v>
      </c>
    </row>
    <row r="42" spans="1:85" ht="18.75" customHeight="1" x14ac:dyDescent="0.45">
      <c r="A42" s="469" t="e">
        <f t="shared" si="34"/>
        <v>#REF!</v>
      </c>
      <c r="B42" s="470" t="s">
        <v>222</v>
      </c>
      <c r="C42" s="470"/>
      <c r="D42" s="471"/>
      <c r="E42" s="472">
        <v>40</v>
      </c>
      <c r="F42" s="473">
        <f t="shared" si="27"/>
        <v>0</v>
      </c>
      <c r="G42" s="471">
        <v>3455</v>
      </c>
      <c r="H42" s="475">
        <v>50</v>
      </c>
      <c r="I42" s="473">
        <f t="shared" si="1"/>
        <v>172750</v>
      </c>
      <c r="J42" s="471"/>
      <c r="K42" s="476">
        <v>60</v>
      </c>
      <c r="L42" s="473">
        <f t="shared" si="2"/>
        <v>0</v>
      </c>
      <c r="M42" s="471">
        <v>2020</v>
      </c>
      <c r="N42" s="476">
        <v>15</v>
      </c>
      <c r="O42" s="473">
        <f t="shared" si="3"/>
        <v>30300</v>
      </c>
      <c r="P42" s="471">
        <v>610</v>
      </c>
      <c r="Q42" s="477">
        <v>12</v>
      </c>
      <c r="R42" s="473">
        <f t="shared" si="4"/>
        <v>7320</v>
      </c>
      <c r="S42" s="471">
        <v>282</v>
      </c>
      <c r="T42" s="473">
        <f t="shared" si="5"/>
        <v>2256</v>
      </c>
      <c r="U42" s="471">
        <v>127</v>
      </c>
      <c r="V42" s="476">
        <v>12</v>
      </c>
      <c r="W42" s="473">
        <f t="shared" si="6"/>
        <v>1524</v>
      </c>
      <c r="X42" s="471">
        <v>336</v>
      </c>
      <c r="Y42" s="476">
        <v>10</v>
      </c>
      <c r="Z42" s="473">
        <f t="shared" si="7"/>
        <v>3360</v>
      </c>
      <c r="AA42" s="471">
        <v>61</v>
      </c>
      <c r="AB42" s="476">
        <v>25</v>
      </c>
      <c r="AC42" s="473">
        <f t="shared" si="8"/>
        <v>1525</v>
      </c>
      <c r="AD42" s="471"/>
      <c r="AE42" s="476">
        <v>7.5</v>
      </c>
      <c r="AF42" s="473">
        <f t="shared" si="9"/>
        <v>0</v>
      </c>
      <c r="AG42" s="471"/>
      <c r="AH42" s="475">
        <v>15</v>
      </c>
      <c r="AI42" s="473">
        <f t="shared" si="10"/>
        <v>0</v>
      </c>
      <c r="AJ42" s="471">
        <v>118</v>
      </c>
      <c r="AK42" s="476">
        <v>10</v>
      </c>
      <c r="AL42" s="473">
        <f t="shared" si="11"/>
        <v>1180</v>
      </c>
      <c r="AM42" s="471">
        <f t="shared" si="12"/>
        <v>1534</v>
      </c>
      <c r="AN42" s="471"/>
      <c r="AO42" s="478"/>
      <c r="AP42" s="471"/>
      <c r="AQ42" s="471"/>
      <c r="AR42" s="473"/>
      <c r="AS42" s="471"/>
      <c r="AT42" s="471"/>
      <c r="AU42" s="479">
        <v>978</v>
      </c>
      <c r="AV42" s="471"/>
      <c r="AW42" s="530">
        <f t="shared" si="13"/>
        <v>0.58465991316931987</v>
      </c>
      <c r="AX42" s="530">
        <f t="shared" si="14"/>
        <v>0.44399421128798844</v>
      </c>
      <c r="AY42" s="530">
        <f t="shared" si="15"/>
        <v>0.48415841584158414</v>
      </c>
      <c r="AZ42" s="531">
        <f t="shared" si="16"/>
        <v>188735</v>
      </c>
      <c r="BA42" s="531">
        <f t="shared" si="17"/>
        <v>181595</v>
      </c>
      <c r="BB42" s="531">
        <f t="shared" si="18"/>
        <v>188735</v>
      </c>
      <c r="BC42" s="531">
        <f t="shared" si="19"/>
        <v>188735</v>
      </c>
      <c r="BD42" s="546" t="s">
        <v>221</v>
      </c>
      <c r="BE42" s="532">
        <v>243481</v>
      </c>
      <c r="BF42" s="532">
        <v>161431.57999999999</v>
      </c>
      <c r="BG42" s="533">
        <f t="shared" si="20"/>
        <v>66.301510179439049</v>
      </c>
      <c r="BH42" s="534">
        <f t="shared" si="28"/>
        <v>20177</v>
      </c>
      <c r="BI42" s="535">
        <f t="shared" si="29"/>
        <v>8.2868889153568465E-2</v>
      </c>
      <c r="BJ42" s="541">
        <v>12100</v>
      </c>
      <c r="BK42" s="541">
        <f t="shared" si="30"/>
        <v>6.1040735537190081</v>
      </c>
      <c r="BL42" s="541">
        <v>11250</v>
      </c>
      <c r="BM42" s="541">
        <f t="shared" si="31"/>
        <v>6.5652702222222219</v>
      </c>
      <c r="BN42" s="542"/>
      <c r="BO42" s="541" t="e">
        <f t="shared" si="32"/>
        <v>#DIV/0!</v>
      </c>
      <c r="BP42" s="542"/>
      <c r="BQ42" s="541" t="e">
        <f t="shared" si="33"/>
        <v>#DIV/0!</v>
      </c>
      <c r="BR42" s="541">
        <v>15000</v>
      </c>
      <c r="BS42" s="543">
        <v>73859.289999999994</v>
      </c>
      <c r="BT42" s="539">
        <f>+BS42/BE42%</f>
        <v>30.334724270066246</v>
      </c>
      <c r="BU42" s="532">
        <f>SUM(BE42-BF42-BS42)</f>
        <v>8190.1300000000192</v>
      </c>
      <c r="BV42" s="533">
        <f>+BU42/BE42%</f>
        <v>3.3637655504947079</v>
      </c>
      <c r="BW42" s="481">
        <v>8288</v>
      </c>
      <c r="BX42" s="481">
        <v>4773</v>
      </c>
      <c r="BY42" s="481">
        <v>5496</v>
      </c>
      <c r="BZ42" s="481">
        <v>1620</v>
      </c>
      <c r="CA42" s="482">
        <f>BW42/BE42</f>
        <v>3.4039617054308142E-2</v>
      </c>
      <c r="CB42" s="482">
        <f>BX42/BE42</f>
        <v>1.960317232145424E-2</v>
      </c>
      <c r="CC42" s="482">
        <f>BY42/BE42</f>
        <v>2.2572603201071132E-2</v>
      </c>
      <c r="CD42" s="482">
        <f>BZ42/BE42</f>
        <v>6.6534965767349403E-3</v>
      </c>
      <c r="CE42" s="480">
        <f>+BU42*20%</f>
        <v>1638.0260000000039</v>
      </c>
      <c r="CF42" s="483">
        <f>BU42*90%</f>
        <v>7371.1170000000175</v>
      </c>
    </row>
    <row r="43" spans="1:85" ht="18.75" customHeight="1" x14ac:dyDescent="0.45">
      <c r="A43" s="469" t="e">
        <f t="shared" si="34"/>
        <v>#REF!</v>
      </c>
      <c r="B43" s="470" t="s">
        <v>212</v>
      </c>
      <c r="C43" s="470"/>
      <c r="D43" s="471"/>
      <c r="E43" s="472">
        <v>40</v>
      </c>
      <c r="F43" s="473">
        <f t="shared" si="27"/>
        <v>0</v>
      </c>
      <c r="G43" s="471">
        <v>10501</v>
      </c>
      <c r="H43" s="475">
        <v>50</v>
      </c>
      <c r="I43" s="473">
        <f t="shared" si="1"/>
        <v>525050</v>
      </c>
      <c r="J43" s="471"/>
      <c r="K43" s="476">
        <v>60</v>
      </c>
      <c r="L43" s="473">
        <f t="shared" si="2"/>
        <v>0</v>
      </c>
      <c r="M43" s="471">
        <v>2883</v>
      </c>
      <c r="N43" s="476">
        <v>15</v>
      </c>
      <c r="O43" s="473">
        <f t="shared" si="3"/>
        <v>43245</v>
      </c>
      <c r="P43" s="471">
        <v>2580</v>
      </c>
      <c r="Q43" s="477">
        <v>12</v>
      </c>
      <c r="R43" s="473">
        <f t="shared" si="4"/>
        <v>30960</v>
      </c>
      <c r="S43" s="471">
        <v>857</v>
      </c>
      <c r="T43" s="473">
        <f t="shared" si="5"/>
        <v>6856</v>
      </c>
      <c r="U43" s="471">
        <v>458</v>
      </c>
      <c r="V43" s="476">
        <v>12</v>
      </c>
      <c r="W43" s="473">
        <f t="shared" si="6"/>
        <v>5496</v>
      </c>
      <c r="X43" s="471">
        <v>1075</v>
      </c>
      <c r="Y43" s="476">
        <v>10</v>
      </c>
      <c r="Z43" s="473">
        <f t="shared" si="7"/>
        <v>10750</v>
      </c>
      <c r="AA43" s="471">
        <v>405</v>
      </c>
      <c r="AB43" s="476">
        <v>25</v>
      </c>
      <c r="AC43" s="473">
        <f t="shared" si="8"/>
        <v>10125</v>
      </c>
      <c r="AD43" s="471"/>
      <c r="AE43" s="476">
        <v>7.5</v>
      </c>
      <c r="AF43" s="473">
        <f t="shared" si="9"/>
        <v>0</v>
      </c>
      <c r="AG43" s="471"/>
      <c r="AH43" s="475">
        <v>15</v>
      </c>
      <c r="AI43" s="473">
        <f t="shared" si="10"/>
        <v>0</v>
      </c>
      <c r="AJ43" s="471">
        <v>244</v>
      </c>
      <c r="AK43" s="476">
        <v>10</v>
      </c>
      <c r="AL43" s="473">
        <f t="shared" si="11"/>
        <v>2440</v>
      </c>
      <c r="AM43" s="471">
        <f t="shared" si="12"/>
        <v>5619</v>
      </c>
      <c r="AN43" s="471"/>
      <c r="AO43" s="478"/>
      <c r="AP43" s="471"/>
      <c r="AQ43" s="471"/>
      <c r="AR43" s="473"/>
      <c r="AS43" s="471"/>
      <c r="AT43" s="471"/>
      <c r="AU43" s="479">
        <v>1230</v>
      </c>
      <c r="AV43" s="471"/>
      <c r="AW43" s="530">
        <f t="shared" si="13"/>
        <v>0.27454528140177126</v>
      </c>
      <c r="AX43" s="530">
        <f t="shared" si="14"/>
        <v>0.53509189600990381</v>
      </c>
      <c r="AY43" s="530">
        <f t="shared" si="15"/>
        <v>0.42663891779396462</v>
      </c>
      <c r="AZ43" s="531">
        <f t="shared" si="16"/>
        <v>589237</v>
      </c>
      <c r="BA43" s="531">
        <f t="shared" si="17"/>
        <v>566135</v>
      </c>
      <c r="BB43" s="531">
        <f t="shared" si="18"/>
        <v>589237</v>
      </c>
      <c r="BC43" s="531">
        <f t="shared" si="19"/>
        <v>589237</v>
      </c>
      <c r="BD43" s="546">
        <v>3</v>
      </c>
      <c r="BE43" s="532">
        <v>665187</v>
      </c>
      <c r="BF43" s="532">
        <v>437699.23</v>
      </c>
      <c r="BG43" s="533">
        <f t="shared" si="20"/>
        <v>65.80092966338789</v>
      </c>
      <c r="BH43" s="534">
        <f t="shared" si="28"/>
        <v>46050</v>
      </c>
      <c r="BI43" s="535">
        <f t="shared" si="29"/>
        <v>6.9228652995323117E-2</v>
      </c>
      <c r="BJ43" s="541">
        <v>45787</v>
      </c>
      <c r="BK43" s="541">
        <f t="shared" si="30"/>
        <v>3.0698180706314022</v>
      </c>
      <c r="BL43" s="541">
        <v>375</v>
      </c>
      <c r="BM43" s="541">
        <f t="shared" si="31"/>
        <v>374.82069333333334</v>
      </c>
      <c r="BN43" s="542"/>
      <c r="BO43" s="541" t="e">
        <f t="shared" si="32"/>
        <v>#DIV/0!</v>
      </c>
      <c r="BP43" s="542"/>
      <c r="BQ43" s="541" t="e">
        <f t="shared" si="33"/>
        <v>#DIV/0!</v>
      </c>
      <c r="BR43" s="541">
        <v>16500</v>
      </c>
      <c r="BS43" s="543">
        <v>140557.76000000001</v>
      </c>
      <c r="BT43" s="539">
        <f>+BS43/BE43%</f>
        <v>21.130563285211529</v>
      </c>
      <c r="BU43" s="532">
        <f>SUM(BE43-BF43-BS43)</f>
        <v>86930.010000000009</v>
      </c>
      <c r="BV43" s="533">
        <f>+BU43/BE43%</f>
        <v>13.068507051400585</v>
      </c>
      <c r="BW43" s="481">
        <v>16260</v>
      </c>
      <c r="BX43" s="481">
        <v>9546</v>
      </c>
      <c r="BY43" s="481">
        <v>15114</v>
      </c>
      <c r="BZ43" s="481">
        <v>5130</v>
      </c>
      <c r="CA43" s="482">
        <f>BW43/BE43</f>
        <v>2.4444254021801389E-2</v>
      </c>
      <c r="CB43" s="482">
        <f>BX43/BE43</f>
        <v>1.4350851715382291E-2</v>
      </c>
      <c r="CC43" s="482">
        <f>BY43/BE43</f>
        <v>2.2721430214360773E-2</v>
      </c>
      <c r="CD43" s="482">
        <f>BZ43/BE43</f>
        <v>7.7121170437786666E-3</v>
      </c>
      <c r="CE43" s="480">
        <f>+BU43*20%</f>
        <v>17386.002000000004</v>
      </c>
      <c r="CF43" s="483">
        <f>BU43*90%</f>
        <v>78237.009000000005</v>
      </c>
    </row>
    <row r="44" spans="1:85" ht="18.75" customHeight="1" x14ac:dyDescent="0.45">
      <c r="A44" s="469" t="e">
        <f t="shared" si="34"/>
        <v>#REF!</v>
      </c>
      <c r="B44" s="470" t="s">
        <v>223</v>
      </c>
      <c r="C44" s="470"/>
      <c r="D44" s="471"/>
      <c r="E44" s="472">
        <v>40</v>
      </c>
      <c r="F44" s="473">
        <f t="shared" si="27"/>
        <v>0</v>
      </c>
      <c r="G44" s="471">
        <v>3407</v>
      </c>
      <c r="H44" s="475">
        <v>50</v>
      </c>
      <c r="I44" s="473">
        <f t="shared" si="1"/>
        <v>170350</v>
      </c>
      <c r="J44" s="471"/>
      <c r="K44" s="476">
        <v>60</v>
      </c>
      <c r="L44" s="473">
        <f t="shared" si="2"/>
        <v>0</v>
      </c>
      <c r="M44" s="471">
        <v>2828</v>
      </c>
      <c r="N44" s="476">
        <v>15</v>
      </c>
      <c r="O44" s="473">
        <f t="shared" si="3"/>
        <v>42420</v>
      </c>
      <c r="P44" s="471">
        <v>1650</v>
      </c>
      <c r="Q44" s="477">
        <v>12</v>
      </c>
      <c r="R44" s="473">
        <f t="shared" si="4"/>
        <v>19800</v>
      </c>
      <c r="S44" s="471">
        <v>311</v>
      </c>
      <c r="T44" s="473">
        <f t="shared" si="5"/>
        <v>2488</v>
      </c>
      <c r="U44" s="471">
        <v>145</v>
      </c>
      <c r="V44" s="476">
        <v>12</v>
      </c>
      <c r="W44" s="473">
        <f t="shared" si="6"/>
        <v>1740</v>
      </c>
      <c r="X44" s="471">
        <v>344</v>
      </c>
      <c r="Y44" s="476">
        <v>10</v>
      </c>
      <c r="Z44" s="473">
        <f t="shared" si="7"/>
        <v>3440</v>
      </c>
      <c r="AA44" s="471">
        <v>95</v>
      </c>
      <c r="AB44" s="476">
        <v>25</v>
      </c>
      <c r="AC44" s="473">
        <f t="shared" si="8"/>
        <v>2375</v>
      </c>
      <c r="AD44" s="471"/>
      <c r="AE44" s="476">
        <v>7.5</v>
      </c>
      <c r="AF44" s="473">
        <f t="shared" si="9"/>
        <v>0</v>
      </c>
      <c r="AG44" s="471"/>
      <c r="AH44" s="475">
        <v>15</v>
      </c>
      <c r="AI44" s="473">
        <f t="shared" si="10"/>
        <v>0</v>
      </c>
      <c r="AJ44" s="471">
        <v>70</v>
      </c>
      <c r="AK44" s="476">
        <v>10</v>
      </c>
      <c r="AL44" s="473">
        <f t="shared" si="11"/>
        <v>700</v>
      </c>
      <c r="AM44" s="471">
        <f t="shared" si="12"/>
        <v>2615</v>
      </c>
      <c r="AN44" s="471"/>
      <c r="AO44" s="478"/>
      <c r="AP44" s="471"/>
      <c r="AQ44" s="471"/>
      <c r="AR44" s="473"/>
      <c r="AS44" s="471"/>
      <c r="AT44" s="471"/>
      <c r="AU44" s="479">
        <v>622</v>
      </c>
      <c r="AV44" s="471"/>
      <c r="AW44" s="530">
        <f t="shared" si="13"/>
        <v>0.83005576753742294</v>
      </c>
      <c r="AX44" s="530">
        <f t="shared" si="14"/>
        <v>0.7675374229527443</v>
      </c>
      <c r="AY44" s="530">
        <f t="shared" si="15"/>
        <v>0.21994342291371993</v>
      </c>
      <c r="AZ44" s="531">
        <f t="shared" si="16"/>
        <v>200193</v>
      </c>
      <c r="BA44" s="531">
        <f t="shared" si="17"/>
        <v>192525</v>
      </c>
      <c r="BB44" s="531">
        <f t="shared" si="18"/>
        <v>200193</v>
      </c>
      <c r="BC44" s="531">
        <f t="shared" si="19"/>
        <v>200193</v>
      </c>
      <c r="BD44" s="546">
        <v>2</v>
      </c>
      <c r="BE44" s="532">
        <v>257915</v>
      </c>
      <c r="BF44" s="532">
        <v>168832.13</v>
      </c>
      <c r="BG44" s="533">
        <f t="shared" si="20"/>
        <v>65.460376480623466</v>
      </c>
      <c r="BH44" s="534">
        <f t="shared" si="28"/>
        <v>24917.5</v>
      </c>
      <c r="BI44" s="535">
        <f t="shared" si="29"/>
        <v>9.6611286664211066E-2</v>
      </c>
      <c r="BJ44" s="541">
        <f>23050</f>
        <v>23050</v>
      </c>
      <c r="BK44" s="541">
        <f t="shared" si="30"/>
        <v>3.6696737527114967</v>
      </c>
      <c r="BL44" s="541">
        <v>3060.5</v>
      </c>
      <c r="BM44" s="541">
        <f t="shared" si="31"/>
        <v>27.637961117464464</v>
      </c>
      <c r="BN44" s="542"/>
      <c r="BO44" s="541" t="e">
        <f t="shared" si="32"/>
        <v>#DIV/0!</v>
      </c>
      <c r="BP44" s="542"/>
      <c r="BQ44" s="541" t="e">
        <f t="shared" si="33"/>
        <v>#DIV/0!</v>
      </c>
      <c r="BR44" s="541">
        <v>20000</v>
      </c>
      <c r="BS44" s="543">
        <v>84585.98</v>
      </c>
      <c r="BT44" s="539">
        <f>+BS44/BE44%</f>
        <v>32.796068472171065</v>
      </c>
      <c r="BU44" s="532">
        <f>SUM(BE44-BF44-BS44)</f>
        <v>4496.8899999999994</v>
      </c>
      <c r="BV44" s="533">
        <f>+BU44/BE44%</f>
        <v>1.7435550472054744</v>
      </c>
      <c r="BW44" s="481">
        <v>9673.5</v>
      </c>
      <c r="BX44" s="481">
        <v>6364</v>
      </c>
      <c r="BY44" s="481">
        <v>6870</v>
      </c>
      <c r="BZ44" s="481">
        <f>1890+120</f>
        <v>2010</v>
      </c>
      <c r="CA44" s="482">
        <f>BW44/BE44</f>
        <v>3.7506542853265608E-2</v>
      </c>
      <c r="CB44" s="482">
        <f>BX44/BE44</f>
        <v>2.4674795959909273E-2</v>
      </c>
      <c r="CC44" s="482">
        <f>BY44/BE44</f>
        <v>2.6636682627997597E-2</v>
      </c>
      <c r="CD44" s="482">
        <f>BZ44/BE44</f>
        <v>7.7932652230385977E-3</v>
      </c>
      <c r="CE44" s="480">
        <f>+BU44*20%</f>
        <v>899.37799999999993</v>
      </c>
      <c r="CF44" s="483">
        <f>BU44*90%</f>
        <v>4047.2009999999996</v>
      </c>
    </row>
    <row r="45" spans="1:85" ht="18.75" customHeight="1" x14ac:dyDescent="0.45">
      <c r="A45" s="469" t="e">
        <f t="shared" si="34"/>
        <v>#REF!</v>
      </c>
      <c r="B45" s="553" t="s">
        <v>115</v>
      </c>
      <c r="C45" s="553"/>
      <c r="D45" s="491"/>
      <c r="E45" s="554">
        <v>40</v>
      </c>
      <c r="F45" s="490">
        <f t="shared" si="27"/>
        <v>0</v>
      </c>
      <c r="G45" s="491">
        <v>15563</v>
      </c>
      <c r="H45" s="555">
        <v>50</v>
      </c>
      <c r="I45" s="490">
        <f t="shared" si="1"/>
        <v>778150</v>
      </c>
      <c r="J45" s="491"/>
      <c r="K45" s="556">
        <v>60</v>
      </c>
      <c r="L45" s="490">
        <f t="shared" si="2"/>
        <v>0</v>
      </c>
      <c r="M45" s="491">
        <v>5506</v>
      </c>
      <c r="N45" s="556">
        <v>15</v>
      </c>
      <c r="O45" s="490">
        <f t="shared" si="3"/>
        <v>82590</v>
      </c>
      <c r="P45" s="491">
        <v>1781</v>
      </c>
      <c r="Q45" s="489">
        <v>12</v>
      </c>
      <c r="R45" s="490">
        <f t="shared" si="4"/>
        <v>21372</v>
      </c>
      <c r="S45" s="491">
        <v>737</v>
      </c>
      <c r="T45" s="490">
        <f t="shared" si="5"/>
        <v>5896</v>
      </c>
      <c r="U45" s="491">
        <v>264</v>
      </c>
      <c r="V45" s="556">
        <v>12</v>
      </c>
      <c r="W45" s="490">
        <f t="shared" si="6"/>
        <v>3168</v>
      </c>
      <c r="X45" s="491">
        <v>991</v>
      </c>
      <c r="Y45" s="556">
        <v>10</v>
      </c>
      <c r="Z45" s="490">
        <f t="shared" si="7"/>
        <v>9910</v>
      </c>
      <c r="AA45" s="491">
        <v>383</v>
      </c>
      <c r="AB45" s="556">
        <v>25</v>
      </c>
      <c r="AC45" s="490">
        <f t="shared" si="8"/>
        <v>9575</v>
      </c>
      <c r="AD45" s="491"/>
      <c r="AE45" s="556">
        <v>7.5</v>
      </c>
      <c r="AF45" s="490">
        <f t="shared" si="9"/>
        <v>0</v>
      </c>
      <c r="AG45" s="491"/>
      <c r="AH45" s="555">
        <v>15</v>
      </c>
      <c r="AI45" s="490">
        <f t="shared" si="10"/>
        <v>0</v>
      </c>
      <c r="AJ45" s="491">
        <v>192</v>
      </c>
      <c r="AK45" s="556">
        <v>10</v>
      </c>
      <c r="AL45" s="490">
        <f t="shared" si="11"/>
        <v>1920</v>
      </c>
      <c r="AM45" s="491">
        <f t="shared" si="12"/>
        <v>4348</v>
      </c>
      <c r="AN45" s="491"/>
      <c r="AO45" s="557"/>
      <c r="AP45" s="491"/>
      <c r="AQ45" s="491"/>
      <c r="AR45" s="490"/>
      <c r="AS45" s="491"/>
      <c r="AT45" s="491"/>
      <c r="AU45" s="558">
        <v>1937</v>
      </c>
      <c r="AV45" s="491"/>
      <c r="AW45" s="559">
        <f t="shared" si="13"/>
        <v>0.35378783010987597</v>
      </c>
      <c r="AX45" s="559">
        <f t="shared" si="14"/>
        <v>0.27938058214997108</v>
      </c>
      <c r="AY45" s="559">
        <f t="shared" si="15"/>
        <v>0.35179803850345076</v>
      </c>
      <c r="AZ45" s="560">
        <f t="shared" si="16"/>
        <v>828071</v>
      </c>
      <c r="BA45" s="560">
        <f t="shared" si="17"/>
        <v>809097</v>
      </c>
      <c r="BB45" s="560">
        <f t="shared" si="18"/>
        <v>828071</v>
      </c>
      <c r="BC45" s="560">
        <f t="shared" si="19"/>
        <v>828071</v>
      </c>
      <c r="BD45" s="561">
        <v>6</v>
      </c>
      <c r="BE45" s="562">
        <v>955536</v>
      </c>
      <c r="BF45" s="562">
        <v>627839.93999999994</v>
      </c>
      <c r="BG45" s="563">
        <f t="shared" si="20"/>
        <v>65.705524438639671</v>
      </c>
      <c r="BH45" s="564">
        <f t="shared" si="28"/>
        <v>75837</v>
      </c>
      <c r="BI45" s="565">
        <f t="shared" si="29"/>
        <v>7.9365926558497016E-2</v>
      </c>
      <c r="BJ45" s="566">
        <f>69100+1200</f>
        <v>70300</v>
      </c>
      <c r="BK45" s="566">
        <f t="shared" si="30"/>
        <v>2.9621004267425319</v>
      </c>
      <c r="BL45" s="566">
        <v>62.5</v>
      </c>
      <c r="BM45" s="566">
        <f t="shared" si="31"/>
        <v>3331.7705599999999</v>
      </c>
      <c r="BN45" s="567"/>
      <c r="BO45" s="566" t="e">
        <f t="shared" si="32"/>
        <v>#DIV/0!</v>
      </c>
      <c r="BP45" s="567"/>
      <c r="BQ45" s="566" t="e">
        <f t="shared" si="33"/>
        <v>#DIV/0!</v>
      </c>
      <c r="BR45" s="566">
        <v>10000</v>
      </c>
      <c r="BS45" s="568">
        <v>208235.66</v>
      </c>
      <c r="BT45" s="569">
        <f>+BS45/BE45%</f>
        <v>21.792549940556921</v>
      </c>
      <c r="BU45" s="562">
        <f>SUM(BE45-BF45-BS45)</f>
        <v>119460.40000000005</v>
      </c>
      <c r="BV45" s="563">
        <f>+BU45/BE45%</f>
        <v>12.501925620803407</v>
      </c>
      <c r="BW45" s="570">
        <v>25284</v>
      </c>
      <c r="BX45" s="570">
        <v>20683</v>
      </c>
      <c r="BY45" s="570">
        <v>23358</v>
      </c>
      <c r="BZ45" s="570">
        <f>4590+1922</f>
        <v>6512</v>
      </c>
      <c r="CA45" s="571">
        <f>BW45/BE45</f>
        <v>2.6460541518058975E-2</v>
      </c>
      <c r="CB45" s="571">
        <f>BX45/BE45</f>
        <v>2.1645442976507428E-2</v>
      </c>
      <c r="CC45" s="571">
        <f>BY45/BE45</f>
        <v>2.4444918872758327E-2</v>
      </c>
      <c r="CD45" s="571">
        <f>BZ45/BE45</f>
        <v>6.8150231911722845E-3</v>
      </c>
      <c r="CE45" s="576">
        <f>+BU45*20%</f>
        <v>23892.080000000013</v>
      </c>
      <c r="CF45" s="577">
        <f>BU45*90%</f>
        <v>107514.36000000004</v>
      </c>
    </row>
    <row r="46" spans="1:85" ht="18.5" x14ac:dyDescent="0.45">
      <c r="A46" s="492"/>
      <c r="B46" s="572"/>
      <c r="C46" s="572"/>
      <c r="D46" s="572"/>
      <c r="E46" s="572"/>
      <c r="F46" s="572"/>
      <c r="G46" s="572"/>
      <c r="H46" s="572"/>
      <c r="I46" s="572"/>
      <c r="J46" s="572"/>
      <c r="K46" s="572"/>
      <c r="L46" s="572"/>
      <c r="M46" s="572"/>
      <c r="N46" s="572"/>
      <c r="O46" s="572"/>
      <c r="P46" s="572"/>
      <c r="Q46" s="572"/>
      <c r="R46" s="573"/>
      <c r="S46" s="572"/>
      <c r="T46" s="572"/>
      <c r="U46" s="572"/>
      <c r="V46" s="572"/>
      <c r="W46" s="572"/>
      <c r="X46" s="572"/>
      <c r="Y46" s="572"/>
      <c r="Z46" s="572"/>
      <c r="AA46" s="572"/>
      <c r="AB46" s="572"/>
      <c r="AC46" s="572"/>
      <c r="AD46" s="572"/>
      <c r="AE46" s="572"/>
      <c r="AF46" s="572"/>
      <c r="AG46" s="572"/>
      <c r="AH46" s="572"/>
      <c r="AI46" s="572"/>
      <c r="AJ46" s="572"/>
      <c r="AK46" s="572"/>
      <c r="AL46" s="572"/>
      <c r="AM46" s="572"/>
      <c r="AN46" s="572"/>
      <c r="AO46" s="572"/>
      <c r="AP46" s="572"/>
      <c r="AQ46" s="572"/>
      <c r="AR46" s="572"/>
      <c r="AS46" s="572"/>
      <c r="AT46" s="572"/>
      <c r="AU46" s="572"/>
      <c r="AV46" s="572"/>
      <c r="AW46" s="574"/>
      <c r="AX46" s="572"/>
      <c r="AY46" s="572"/>
      <c r="AZ46" s="572"/>
      <c r="BA46" s="572"/>
      <c r="BB46" s="572"/>
      <c r="BC46" s="572"/>
      <c r="BD46" s="572">
        <v>159</v>
      </c>
      <c r="BE46" s="573">
        <f t="shared" ref="BE46:BF46" si="35">SUM(BE7:BE45)</f>
        <v>26217299</v>
      </c>
      <c r="BF46" s="573">
        <f t="shared" si="35"/>
        <v>17043669.59</v>
      </c>
      <c r="BG46" s="575">
        <f>AVERAGE(BG7:BG45)</f>
        <v>64.63227012060824</v>
      </c>
      <c r="BH46" s="573">
        <f t="shared" ref="BH46:BS46" si="36">SUM(BH7:BH45)</f>
        <v>1879422.36</v>
      </c>
      <c r="BI46" s="580">
        <f>AVERAGE(BI7:BI45)</f>
        <v>7.704653917838758E-2</v>
      </c>
      <c r="BJ46" s="573">
        <f t="shared" si="36"/>
        <v>1876615.75</v>
      </c>
      <c r="BK46" s="575">
        <f t="shared" si="36"/>
        <v>99.593744458725624</v>
      </c>
      <c r="BL46" s="573">
        <f t="shared" si="36"/>
        <v>57301.5</v>
      </c>
      <c r="BM46" s="573" t="e">
        <f t="shared" si="36"/>
        <v>#DIV/0!</v>
      </c>
      <c r="BN46" s="573" t="e">
        <f t="shared" si="36"/>
        <v>#REF!</v>
      </c>
      <c r="BO46" s="573" t="e">
        <f t="shared" si="36"/>
        <v>#DIV/0!</v>
      </c>
      <c r="BP46" s="573" t="e">
        <f t="shared" si="36"/>
        <v>#REF!</v>
      </c>
      <c r="BQ46" s="573" t="e">
        <f t="shared" si="36"/>
        <v>#DIV/0!</v>
      </c>
      <c r="BR46" s="573">
        <f t="shared" si="36"/>
        <v>837683.5</v>
      </c>
      <c r="BS46" s="573">
        <f t="shared" si="36"/>
        <v>6374098.4100000011</v>
      </c>
      <c r="BT46" s="578">
        <f>AVERAGE(BT7:BT45)</f>
        <v>26.267217493733796</v>
      </c>
      <c r="BU46" s="573">
        <f>SUM(BU7:BU45)</f>
        <v>2799531</v>
      </c>
      <c r="BV46" s="563">
        <f>+BU46/BE46%</f>
        <v>10.678182371113058</v>
      </c>
      <c r="BW46" s="572"/>
      <c r="BX46" s="572"/>
      <c r="BY46" s="572"/>
      <c r="BZ46" s="572"/>
      <c r="CA46" s="572"/>
      <c r="CB46" s="572"/>
      <c r="CC46" s="572"/>
      <c r="CD46" s="572"/>
      <c r="CE46" s="573">
        <f t="shared" ref="CE46:CF46" si="37">SUM(CE7:CE45)</f>
        <v>479680.75200000004</v>
      </c>
      <c r="CF46" s="573">
        <f t="shared" si="37"/>
        <v>2519577.9000000004</v>
      </c>
      <c r="CG46" s="492"/>
    </row>
    <row r="47" spans="1:85" ht="31" customHeight="1" x14ac:dyDescent="0.45">
      <c r="BE47" s="579">
        <f>BE46/39</f>
        <v>672238.43589743588</v>
      </c>
      <c r="BS47" s="579">
        <f>BH46+BJ46+BL46+BR46</f>
        <v>4651023.1100000003</v>
      </c>
      <c r="BT47" s="493"/>
      <c r="BU47" s="579">
        <f>BU46/39</f>
        <v>71782.846153846156</v>
      </c>
      <c r="BV47" s="454">
        <f>+BU47/BE47%</f>
        <v>10.678182371113058</v>
      </c>
      <c r="BW47" s="464"/>
      <c r="BX47" s="464"/>
      <c r="BY47" s="464"/>
      <c r="BZ47" s="464"/>
      <c r="CA47" s="464"/>
      <c r="CB47" s="464"/>
      <c r="CC47" s="464"/>
      <c r="CD47" s="464"/>
      <c r="CE47" s="464"/>
      <c r="CF47" s="464"/>
    </row>
    <row r="48" spans="1:85" ht="28.5" customHeight="1" x14ac:dyDescent="0.45">
      <c r="BE48" s="579">
        <f>BE47/30</f>
        <v>22407.947863247864</v>
      </c>
      <c r="BS48" s="579"/>
      <c r="BT48" s="493"/>
      <c r="BU48" s="579">
        <f>BU47/30</f>
        <v>2392.7615384615387</v>
      </c>
      <c r="BW48" s="464"/>
      <c r="BX48" s="464"/>
      <c r="BY48" s="464"/>
      <c r="BZ48" s="464"/>
      <c r="CA48" s="464"/>
      <c r="CB48" s="464"/>
      <c r="CC48" s="464"/>
      <c r="CD48" s="464"/>
      <c r="CE48" s="464"/>
      <c r="CF48" s="464"/>
    </row>
    <row r="49" spans="72:84" ht="15" customHeight="1" x14ac:dyDescent="0.45">
      <c r="BT49" s="493"/>
      <c r="BW49" s="464"/>
      <c r="BX49" s="464"/>
      <c r="BY49" s="464"/>
      <c r="BZ49" s="464"/>
      <c r="CA49" s="464"/>
      <c r="CB49" s="464"/>
      <c r="CC49" s="464"/>
      <c r="CD49" s="464"/>
      <c r="CE49" s="464"/>
      <c r="CF49" s="464"/>
    </row>
    <row r="50" spans="72:84" ht="15" customHeight="1" x14ac:dyDescent="0.45">
      <c r="BT50" s="493"/>
      <c r="BW50" s="464"/>
      <c r="BX50" s="464"/>
      <c r="BY50" s="464"/>
      <c r="BZ50" s="464"/>
      <c r="CA50" s="464"/>
      <c r="CB50" s="464"/>
      <c r="CC50" s="464"/>
      <c r="CD50" s="464"/>
      <c r="CE50" s="464"/>
      <c r="CF50" s="464"/>
    </row>
    <row r="51" spans="72:84" ht="15" customHeight="1" x14ac:dyDescent="0.45">
      <c r="BT51" s="493"/>
      <c r="BW51" s="464"/>
      <c r="BX51" s="464"/>
      <c r="BY51" s="464"/>
      <c r="BZ51" s="464"/>
      <c r="CA51" s="464"/>
      <c r="CB51" s="464"/>
      <c r="CC51" s="464"/>
      <c r="CD51" s="464"/>
      <c r="CE51" s="464"/>
      <c r="CF51" s="464"/>
    </row>
    <row r="52" spans="72:84" ht="15" customHeight="1" x14ac:dyDescent="0.45">
      <c r="BT52" s="493"/>
      <c r="BW52" s="464"/>
      <c r="BX52" s="464"/>
      <c r="BY52" s="464"/>
      <c r="BZ52" s="464"/>
      <c r="CA52" s="464"/>
      <c r="CB52" s="464"/>
      <c r="CC52" s="464"/>
      <c r="CD52" s="464"/>
      <c r="CE52" s="464"/>
      <c r="CF52" s="464"/>
    </row>
    <row r="53" spans="72:84" ht="15" customHeight="1" x14ac:dyDescent="0.45">
      <c r="BT53" s="493"/>
      <c r="BW53" s="464"/>
      <c r="BX53" s="464"/>
      <c r="BY53" s="464"/>
      <c r="BZ53" s="464"/>
      <c r="CA53" s="464"/>
      <c r="CB53" s="464"/>
      <c r="CC53" s="464"/>
      <c r="CD53" s="464"/>
      <c r="CE53" s="464"/>
      <c r="CF53" s="464"/>
    </row>
    <row r="54" spans="72:84" ht="15" customHeight="1" x14ac:dyDescent="0.45">
      <c r="BT54" s="493"/>
      <c r="BW54" s="464"/>
      <c r="BX54" s="464"/>
      <c r="BY54" s="464"/>
      <c r="BZ54" s="464"/>
      <c r="CA54" s="464"/>
      <c r="CB54" s="464"/>
      <c r="CC54" s="464"/>
      <c r="CD54" s="464"/>
      <c r="CE54" s="464"/>
      <c r="CF54" s="464"/>
    </row>
    <row r="55" spans="72:84" ht="15" customHeight="1" x14ac:dyDescent="0.45">
      <c r="BT55" s="493"/>
      <c r="BW55" s="464"/>
      <c r="BX55" s="464"/>
      <c r="BY55" s="464"/>
      <c r="BZ55" s="464"/>
      <c r="CA55" s="464"/>
      <c r="CB55" s="464"/>
      <c r="CC55" s="464"/>
      <c r="CD55" s="464"/>
      <c r="CE55" s="464"/>
      <c r="CF55" s="464"/>
    </row>
    <row r="56" spans="72:84" ht="15" customHeight="1" x14ac:dyDescent="0.45">
      <c r="BT56" s="493"/>
      <c r="BW56" s="464"/>
      <c r="BX56" s="464"/>
      <c r="BY56" s="464"/>
      <c r="BZ56" s="464"/>
      <c r="CA56" s="464"/>
      <c r="CB56" s="464"/>
      <c r="CC56" s="464"/>
      <c r="CD56" s="464"/>
      <c r="CE56" s="464"/>
      <c r="CF56" s="464"/>
    </row>
    <row r="57" spans="72:84" ht="15" customHeight="1" x14ac:dyDescent="0.45">
      <c r="BT57" s="493"/>
      <c r="BW57" s="464"/>
      <c r="BX57" s="464"/>
      <c r="BY57" s="464"/>
      <c r="BZ57" s="464"/>
      <c r="CA57" s="464"/>
      <c r="CB57" s="464"/>
      <c r="CC57" s="464"/>
      <c r="CD57" s="464"/>
      <c r="CE57" s="464"/>
      <c r="CF57" s="464"/>
    </row>
    <row r="58" spans="72:84" ht="15" customHeight="1" x14ac:dyDescent="0.45">
      <c r="BT58" s="493"/>
      <c r="BW58" s="464"/>
      <c r="BX58" s="464"/>
      <c r="BY58" s="464"/>
      <c r="BZ58" s="464"/>
      <c r="CA58" s="464"/>
      <c r="CB58" s="464"/>
      <c r="CC58" s="464"/>
      <c r="CD58" s="464"/>
      <c r="CE58" s="464"/>
      <c r="CF58" s="464"/>
    </row>
    <row r="59" spans="72:84" ht="15" customHeight="1" x14ac:dyDescent="0.45">
      <c r="BT59" s="493"/>
      <c r="BW59" s="464"/>
      <c r="BX59" s="464"/>
      <c r="BY59" s="464"/>
      <c r="BZ59" s="464"/>
      <c r="CA59" s="464"/>
      <c r="CB59" s="464"/>
      <c r="CC59" s="464"/>
      <c r="CD59" s="464"/>
      <c r="CE59" s="464"/>
      <c r="CF59" s="464"/>
    </row>
    <row r="60" spans="72:84" ht="15" customHeight="1" x14ac:dyDescent="0.45">
      <c r="BT60" s="493"/>
      <c r="BW60" s="464"/>
      <c r="BX60" s="464"/>
      <c r="BY60" s="464"/>
      <c r="BZ60" s="464"/>
      <c r="CA60" s="464"/>
      <c r="CB60" s="464"/>
      <c r="CC60" s="464"/>
      <c r="CD60" s="464"/>
      <c r="CE60" s="464"/>
      <c r="CF60" s="464"/>
    </row>
    <row r="61" spans="72:84" ht="15" customHeight="1" x14ac:dyDescent="0.45">
      <c r="BT61" s="493"/>
      <c r="BW61" s="464"/>
      <c r="BX61" s="464"/>
      <c r="BY61" s="464"/>
      <c r="BZ61" s="464"/>
      <c r="CA61" s="464"/>
      <c r="CB61" s="464"/>
      <c r="CC61" s="464"/>
      <c r="CD61" s="464"/>
      <c r="CE61" s="464"/>
      <c r="CF61" s="464"/>
    </row>
    <row r="62" spans="72:84" ht="15" customHeight="1" x14ac:dyDescent="0.45">
      <c r="BT62" s="493"/>
      <c r="BW62" s="464"/>
      <c r="BX62" s="464"/>
      <c r="BY62" s="464"/>
      <c r="BZ62" s="464"/>
      <c r="CA62" s="464"/>
      <c r="CB62" s="464"/>
      <c r="CC62" s="464"/>
      <c r="CD62" s="464"/>
      <c r="CE62" s="464"/>
      <c r="CF62" s="464"/>
    </row>
    <row r="63" spans="72:84" ht="15" customHeight="1" x14ac:dyDescent="0.45">
      <c r="BT63" s="493"/>
      <c r="BW63" s="464"/>
      <c r="BX63" s="464"/>
      <c r="BY63" s="464"/>
      <c r="BZ63" s="464"/>
      <c r="CA63" s="464"/>
      <c r="CB63" s="464"/>
      <c r="CC63" s="464"/>
      <c r="CD63" s="464"/>
      <c r="CE63" s="464"/>
      <c r="CF63" s="464"/>
    </row>
    <row r="64" spans="72:84" ht="15" customHeight="1" x14ac:dyDescent="0.45">
      <c r="BT64" s="493"/>
      <c r="BW64" s="464"/>
      <c r="BX64" s="464"/>
      <c r="BY64" s="464"/>
      <c r="BZ64" s="464"/>
      <c r="CA64" s="464"/>
      <c r="CB64" s="464"/>
      <c r="CC64" s="464"/>
      <c r="CD64" s="464"/>
      <c r="CE64" s="464"/>
      <c r="CF64" s="464"/>
    </row>
    <row r="65" spans="72:84" ht="15" customHeight="1" x14ac:dyDescent="0.45">
      <c r="BT65" s="493"/>
      <c r="BW65" s="464"/>
      <c r="BX65" s="464"/>
      <c r="BY65" s="464"/>
      <c r="BZ65" s="464"/>
      <c r="CA65" s="464"/>
      <c r="CB65" s="464"/>
      <c r="CC65" s="464"/>
      <c r="CD65" s="464"/>
      <c r="CE65" s="464"/>
      <c r="CF65" s="464"/>
    </row>
    <row r="66" spans="72:84" ht="15" customHeight="1" x14ac:dyDescent="0.45">
      <c r="BT66" s="493"/>
      <c r="BW66" s="464"/>
      <c r="BX66" s="464"/>
      <c r="BY66" s="464"/>
      <c r="BZ66" s="464"/>
      <c r="CA66" s="464"/>
      <c r="CB66" s="464"/>
      <c r="CC66" s="464"/>
      <c r="CD66" s="464"/>
      <c r="CE66" s="464"/>
      <c r="CF66" s="464"/>
    </row>
    <row r="67" spans="72:84" ht="15" customHeight="1" x14ac:dyDescent="0.45">
      <c r="BT67" s="493"/>
      <c r="BW67" s="464"/>
      <c r="BX67" s="464"/>
      <c r="BY67" s="464"/>
      <c r="BZ67" s="464"/>
      <c r="CA67" s="464"/>
      <c r="CB67" s="464"/>
      <c r="CC67" s="464"/>
      <c r="CD67" s="464"/>
      <c r="CE67" s="464"/>
      <c r="CF67" s="464"/>
    </row>
    <row r="68" spans="72:84" ht="15" customHeight="1" x14ac:dyDescent="0.45">
      <c r="BT68" s="493"/>
      <c r="BW68" s="464"/>
      <c r="BX68" s="464"/>
      <c r="BY68" s="464"/>
      <c r="BZ68" s="464"/>
      <c r="CA68" s="464"/>
      <c r="CB68" s="464"/>
      <c r="CC68" s="464"/>
      <c r="CD68" s="464"/>
      <c r="CE68" s="464"/>
      <c r="CF68" s="464"/>
    </row>
    <row r="69" spans="72:84" ht="15" customHeight="1" x14ac:dyDescent="0.45">
      <c r="BT69" s="493"/>
      <c r="BW69" s="464"/>
      <c r="BX69" s="464"/>
      <c r="BY69" s="464"/>
      <c r="BZ69" s="464"/>
      <c r="CA69" s="464"/>
      <c r="CB69" s="464"/>
      <c r="CC69" s="464"/>
      <c r="CD69" s="464"/>
      <c r="CE69" s="464"/>
      <c r="CF69" s="464"/>
    </row>
    <row r="70" spans="72:84" ht="15" customHeight="1" x14ac:dyDescent="0.45">
      <c r="BT70" s="493"/>
      <c r="BW70" s="464"/>
      <c r="BX70" s="464"/>
      <c r="BY70" s="464"/>
      <c r="BZ70" s="464"/>
      <c r="CA70" s="464"/>
      <c r="CB70" s="464"/>
      <c r="CC70" s="464"/>
      <c r="CD70" s="464"/>
      <c r="CE70" s="464"/>
      <c r="CF70" s="464"/>
    </row>
    <row r="71" spans="72:84" ht="15" customHeight="1" x14ac:dyDescent="0.45">
      <c r="BT71" s="493"/>
      <c r="BW71" s="464"/>
      <c r="BX71" s="464"/>
      <c r="BY71" s="464"/>
      <c r="BZ71" s="464"/>
      <c r="CA71" s="464"/>
      <c r="CB71" s="464"/>
      <c r="CC71" s="464"/>
      <c r="CD71" s="464"/>
      <c r="CE71" s="464"/>
      <c r="CF71" s="464"/>
    </row>
    <row r="72" spans="72:84" ht="15" customHeight="1" x14ac:dyDescent="0.45">
      <c r="BT72" s="493"/>
      <c r="BW72" s="464"/>
      <c r="BX72" s="464"/>
      <c r="BY72" s="464"/>
      <c r="BZ72" s="464"/>
      <c r="CA72" s="464"/>
      <c r="CB72" s="464"/>
      <c r="CC72" s="464"/>
      <c r="CD72" s="464"/>
      <c r="CE72" s="464"/>
      <c r="CF72" s="464"/>
    </row>
    <row r="73" spans="72:84" ht="15" customHeight="1" x14ac:dyDescent="0.45">
      <c r="BT73" s="493"/>
      <c r="BW73" s="464"/>
      <c r="BX73" s="464"/>
      <c r="BY73" s="464"/>
      <c r="BZ73" s="464"/>
      <c r="CA73" s="464"/>
      <c r="CB73" s="464"/>
      <c r="CC73" s="464"/>
      <c r="CD73" s="464"/>
      <c r="CE73" s="464"/>
      <c r="CF73" s="464"/>
    </row>
    <row r="74" spans="72:84" ht="15" customHeight="1" x14ac:dyDescent="0.45">
      <c r="BT74" s="493"/>
      <c r="BW74" s="464"/>
      <c r="BX74" s="464"/>
      <c r="BY74" s="464"/>
      <c r="BZ74" s="464"/>
      <c r="CA74" s="464"/>
      <c r="CB74" s="464"/>
      <c r="CC74" s="464"/>
      <c r="CD74" s="464"/>
      <c r="CE74" s="464"/>
      <c r="CF74" s="464"/>
    </row>
    <row r="75" spans="72:84" ht="15" customHeight="1" x14ac:dyDescent="0.45">
      <c r="BT75" s="493"/>
      <c r="BW75" s="464"/>
      <c r="BX75" s="464"/>
      <c r="BY75" s="464"/>
      <c r="BZ75" s="464"/>
      <c r="CA75" s="464"/>
      <c r="CB75" s="464"/>
      <c r="CC75" s="464"/>
      <c r="CD75" s="464"/>
      <c r="CE75" s="464"/>
      <c r="CF75" s="464"/>
    </row>
    <row r="76" spans="72:84" ht="15" customHeight="1" x14ac:dyDescent="0.45">
      <c r="BT76" s="493"/>
      <c r="BW76" s="464"/>
      <c r="BX76" s="464"/>
      <c r="BY76" s="464"/>
      <c r="BZ76" s="464"/>
      <c r="CA76" s="464"/>
      <c r="CB76" s="464"/>
      <c r="CC76" s="464"/>
      <c r="CD76" s="464"/>
      <c r="CE76" s="464"/>
      <c r="CF76" s="464"/>
    </row>
    <row r="77" spans="72:84" ht="15" customHeight="1" x14ac:dyDescent="0.45">
      <c r="BT77" s="493"/>
      <c r="BW77" s="464"/>
      <c r="BX77" s="464"/>
      <c r="BY77" s="464"/>
      <c r="BZ77" s="464"/>
      <c r="CA77" s="464"/>
      <c r="CB77" s="464"/>
      <c r="CC77" s="464"/>
      <c r="CD77" s="464"/>
      <c r="CE77" s="464"/>
      <c r="CF77" s="464"/>
    </row>
    <row r="78" spans="72:84" ht="15" customHeight="1" x14ac:dyDescent="0.45">
      <c r="BT78" s="493"/>
      <c r="BW78" s="464"/>
      <c r="BX78" s="464"/>
      <c r="BY78" s="464"/>
      <c r="BZ78" s="464"/>
      <c r="CA78" s="464"/>
      <c r="CB78" s="464"/>
      <c r="CC78" s="464"/>
      <c r="CD78" s="464"/>
      <c r="CE78" s="464"/>
      <c r="CF78" s="464"/>
    </row>
    <row r="79" spans="72:84" ht="15" customHeight="1" x14ac:dyDescent="0.45">
      <c r="BT79" s="493"/>
      <c r="BW79" s="464"/>
      <c r="BX79" s="464"/>
      <c r="BY79" s="464"/>
      <c r="BZ79" s="464"/>
      <c r="CA79" s="464"/>
      <c r="CB79" s="464"/>
      <c r="CC79" s="464"/>
      <c r="CD79" s="464"/>
      <c r="CE79" s="464"/>
      <c r="CF79" s="464"/>
    </row>
    <row r="80" spans="72:84" ht="15" customHeight="1" x14ac:dyDescent="0.45">
      <c r="BT80" s="493"/>
      <c r="BW80" s="464"/>
      <c r="BX80" s="464"/>
      <c r="BY80" s="464"/>
      <c r="BZ80" s="464"/>
      <c r="CA80" s="464"/>
      <c r="CB80" s="464"/>
      <c r="CC80" s="464"/>
      <c r="CD80" s="464"/>
      <c r="CE80" s="464"/>
      <c r="CF80" s="464"/>
    </row>
    <row r="81" spans="72:84" ht="15" customHeight="1" x14ac:dyDescent="0.45">
      <c r="BT81" s="493"/>
      <c r="BW81" s="464"/>
      <c r="BX81" s="464"/>
      <c r="BY81" s="464"/>
      <c r="BZ81" s="464"/>
      <c r="CA81" s="464"/>
      <c r="CB81" s="464"/>
      <c r="CC81" s="464"/>
      <c r="CD81" s="464"/>
      <c r="CE81" s="464"/>
      <c r="CF81" s="464"/>
    </row>
    <row r="82" spans="72:84" ht="15" customHeight="1" x14ac:dyDescent="0.45">
      <c r="BT82" s="493"/>
      <c r="BW82" s="464"/>
      <c r="BX82" s="464"/>
      <c r="BY82" s="464"/>
      <c r="BZ82" s="464"/>
      <c r="CA82" s="464"/>
      <c r="CB82" s="464"/>
      <c r="CC82" s="464"/>
      <c r="CD82" s="464"/>
      <c r="CE82" s="464"/>
      <c r="CF82" s="464"/>
    </row>
    <row r="83" spans="72:84" ht="15" customHeight="1" x14ac:dyDescent="0.45">
      <c r="BT83" s="493"/>
      <c r="BW83" s="464"/>
      <c r="BX83" s="464"/>
      <c r="BY83" s="464"/>
      <c r="BZ83" s="464"/>
      <c r="CA83" s="464"/>
      <c r="CB83" s="464"/>
      <c r="CC83" s="464"/>
      <c r="CD83" s="464"/>
      <c r="CE83" s="464"/>
      <c r="CF83" s="464"/>
    </row>
    <row r="84" spans="72:84" ht="15" customHeight="1" x14ac:dyDescent="0.45">
      <c r="BT84" s="493"/>
      <c r="BW84" s="464"/>
      <c r="BX84" s="464"/>
      <c r="BY84" s="464"/>
      <c r="BZ84" s="464"/>
      <c r="CA84" s="464"/>
      <c r="CB84" s="464"/>
      <c r="CC84" s="464"/>
      <c r="CD84" s="464"/>
      <c r="CE84" s="464"/>
      <c r="CF84" s="464"/>
    </row>
    <row r="85" spans="72:84" ht="15" customHeight="1" x14ac:dyDescent="0.45">
      <c r="BT85" s="493"/>
      <c r="BW85" s="464"/>
      <c r="BX85" s="464"/>
      <c r="BY85" s="464"/>
      <c r="BZ85" s="464"/>
      <c r="CA85" s="464"/>
      <c r="CB85" s="464"/>
      <c r="CC85" s="464"/>
      <c r="CD85" s="464"/>
      <c r="CE85" s="464"/>
      <c r="CF85" s="464"/>
    </row>
    <row r="86" spans="72:84" ht="15" customHeight="1" x14ac:dyDescent="0.45">
      <c r="BT86" s="493"/>
      <c r="BW86" s="464"/>
      <c r="BX86" s="464"/>
      <c r="BY86" s="464"/>
      <c r="BZ86" s="464"/>
      <c r="CA86" s="464"/>
      <c r="CB86" s="464"/>
      <c r="CC86" s="464"/>
      <c r="CD86" s="464"/>
      <c r="CE86" s="464"/>
      <c r="CF86" s="464"/>
    </row>
    <row r="87" spans="72:84" ht="15" customHeight="1" x14ac:dyDescent="0.45">
      <c r="BT87" s="493"/>
      <c r="BW87" s="464"/>
      <c r="BX87" s="464"/>
      <c r="BY87" s="464"/>
      <c r="BZ87" s="464"/>
      <c r="CA87" s="464"/>
      <c r="CB87" s="464"/>
      <c r="CC87" s="464"/>
      <c r="CD87" s="464"/>
      <c r="CE87" s="464"/>
      <c r="CF87" s="464"/>
    </row>
    <row r="88" spans="72:84" ht="15" customHeight="1" x14ac:dyDescent="0.45">
      <c r="BT88" s="493"/>
      <c r="BW88" s="464"/>
      <c r="BX88" s="464"/>
      <c r="BY88" s="464"/>
      <c r="BZ88" s="464"/>
      <c r="CA88" s="464"/>
      <c r="CB88" s="464"/>
      <c r="CC88" s="464"/>
      <c r="CD88" s="464"/>
      <c r="CE88" s="464"/>
      <c r="CF88" s="464"/>
    </row>
    <row r="89" spans="72:84" ht="15" customHeight="1" x14ac:dyDescent="0.45">
      <c r="BT89" s="493"/>
      <c r="BW89" s="464"/>
      <c r="BX89" s="464"/>
      <c r="BY89" s="464"/>
      <c r="BZ89" s="464"/>
      <c r="CA89" s="464"/>
      <c r="CB89" s="464"/>
      <c r="CC89" s="464"/>
      <c r="CD89" s="464"/>
      <c r="CE89" s="464"/>
      <c r="CF89" s="464"/>
    </row>
    <row r="90" spans="72:84" ht="15" customHeight="1" x14ac:dyDescent="0.45">
      <c r="BT90" s="493"/>
      <c r="BW90" s="464"/>
      <c r="BX90" s="464"/>
      <c r="BY90" s="464"/>
      <c r="BZ90" s="464"/>
      <c r="CA90" s="464"/>
      <c r="CB90" s="464"/>
      <c r="CC90" s="464"/>
      <c r="CD90" s="464"/>
      <c r="CE90" s="464"/>
      <c r="CF90" s="464"/>
    </row>
    <row r="91" spans="72:84" ht="15" customHeight="1" x14ac:dyDescent="0.45">
      <c r="BT91" s="493"/>
      <c r="BW91" s="464"/>
      <c r="BX91" s="464"/>
      <c r="BY91" s="464"/>
      <c r="BZ91" s="464"/>
      <c r="CA91" s="464"/>
      <c r="CB91" s="464"/>
      <c r="CC91" s="464"/>
      <c r="CD91" s="464"/>
      <c r="CE91" s="464"/>
      <c r="CF91" s="464"/>
    </row>
    <row r="92" spans="72:84" ht="15" customHeight="1" x14ac:dyDescent="0.45">
      <c r="BT92" s="493"/>
      <c r="BW92" s="464"/>
      <c r="BX92" s="464"/>
      <c r="BY92" s="464"/>
      <c r="BZ92" s="464"/>
      <c r="CA92" s="464"/>
      <c r="CB92" s="464"/>
      <c r="CC92" s="464"/>
      <c r="CD92" s="464"/>
      <c r="CE92" s="464"/>
      <c r="CF92" s="464"/>
    </row>
    <row r="93" spans="72:84" ht="15" customHeight="1" x14ac:dyDescent="0.45">
      <c r="BT93" s="493"/>
      <c r="BW93" s="464"/>
      <c r="BX93" s="464"/>
      <c r="BY93" s="464"/>
      <c r="BZ93" s="464"/>
      <c r="CA93" s="464"/>
      <c r="CB93" s="464"/>
      <c r="CC93" s="464"/>
      <c r="CD93" s="464"/>
      <c r="CE93" s="464"/>
      <c r="CF93" s="464"/>
    </row>
    <row r="94" spans="72:84" ht="15" customHeight="1" x14ac:dyDescent="0.45">
      <c r="BT94" s="493"/>
      <c r="BW94" s="464"/>
      <c r="BX94" s="464"/>
      <c r="BY94" s="464"/>
      <c r="BZ94" s="464"/>
      <c r="CA94" s="464"/>
      <c r="CB94" s="464"/>
      <c r="CC94" s="464"/>
      <c r="CD94" s="464"/>
      <c r="CE94" s="464"/>
      <c r="CF94" s="464"/>
    </row>
    <row r="95" spans="72:84" ht="15" customHeight="1" x14ac:dyDescent="0.45">
      <c r="BT95" s="493"/>
      <c r="BW95" s="464"/>
      <c r="BX95" s="464"/>
      <c r="BY95" s="464"/>
      <c r="BZ95" s="464"/>
      <c r="CA95" s="464"/>
      <c r="CB95" s="464"/>
      <c r="CC95" s="464"/>
      <c r="CD95" s="464"/>
      <c r="CE95" s="464"/>
      <c r="CF95" s="464"/>
    </row>
    <row r="96" spans="72:84" ht="15" customHeight="1" x14ac:dyDescent="0.45">
      <c r="BT96" s="493"/>
      <c r="BW96" s="464"/>
      <c r="BX96" s="464"/>
      <c r="BY96" s="464"/>
      <c r="BZ96" s="464"/>
      <c r="CA96" s="464"/>
      <c r="CB96" s="464"/>
      <c r="CC96" s="464"/>
      <c r="CD96" s="464"/>
      <c r="CE96" s="464"/>
      <c r="CF96" s="464"/>
    </row>
    <row r="97" spans="72:84" ht="15" customHeight="1" x14ac:dyDescent="0.45">
      <c r="BT97" s="493"/>
      <c r="BW97" s="464"/>
      <c r="BX97" s="464"/>
      <c r="BY97" s="464"/>
      <c r="BZ97" s="464"/>
      <c r="CA97" s="464"/>
      <c r="CB97" s="464"/>
      <c r="CC97" s="464"/>
      <c r="CD97" s="464"/>
      <c r="CE97" s="464"/>
      <c r="CF97" s="464"/>
    </row>
    <row r="98" spans="72:84" ht="15" customHeight="1" x14ac:dyDescent="0.45">
      <c r="BT98" s="493"/>
      <c r="BW98" s="464"/>
      <c r="BX98" s="464"/>
      <c r="BY98" s="464"/>
      <c r="BZ98" s="464"/>
      <c r="CA98" s="464"/>
      <c r="CB98" s="464"/>
      <c r="CC98" s="464"/>
      <c r="CD98" s="464"/>
      <c r="CE98" s="464"/>
      <c r="CF98" s="464"/>
    </row>
    <row r="99" spans="72:84" ht="15" customHeight="1" x14ac:dyDescent="0.45">
      <c r="BT99" s="493"/>
      <c r="BW99" s="464"/>
      <c r="BX99" s="464"/>
      <c r="BY99" s="464"/>
      <c r="BZ99" s="464"/>
      <c r="CA99" s="464"/>
      <c r="CB99" s="464"/>
      <c r="CC99" s="464"/>
      <c r="CD99" s="464"/>
      <c r="CE99" s="464"/>
      <c r="CF99" s="464"/>
    </row>
    <row r="100" spans="72:84" ht="15" customHeight="1" x14ac:dyDescent="0.45">
      <c r="BT100" s="493"/>
      <c r="BW100" s="464"/>
      <c r="BX100" s="464"/>
      <c r="BY100" s="464"/>
      <c r="BZ100" s="464"/>
      <c r="CA100" s="464"/>
      <c r="CB100" s="464"/>
      <c r="CC100" s="464"/>
      <c r="CD100" s="464"/>
      <c r="CE100" s="464"/>
      <c r="CF100" s="464"/>
    </row>
    <row r="101" spans="72:84" ht="15" customHeight="1" x14ac:dyDescent="0.45">
      <c r="BT101" s="493"/>
      <c r="BW101" s="464"/>
      <c r="BX101" s="464"/>
      <c r="BY101" s="464"/>
      <c r="BZ101" s="464"/>
      <c r="CA101" s="464"/>
      <c r="CB101" s="464"/>
      <c r="CC101" s="464"/>
      <c r="CD101" s="464"/>
      <c r="CE101" s="464"/>
      <c r="CF101" s="464"/>
    </row>
    <row r="102" spans="72:84" ht="15" customHeight="1" x14ac:dyDescent="0.45">
      <c r="BT102" s="493"/>
      <c r="BW102" s="464"/>
      <c r="BX102" s="464"/>
      <c r="BY102" s="464"/>
      <c r="BZ102" s="464"/>
      <c r="CA102" s="464"/>
      <c r="CB102" s="464"/>
      <c r="CC102" s="464"/>
      <c r="CD102" s="464"/>
      <c r="CE102" s="464"/>
      <c r="CF102" s="464"/>
    </row>
    <row r="103" spans="72:84" ht="15" customHeight="1" x14ac:dyDescent="0.45">
      <c r="BT103" s="493"/>
      <c r="BW103" s="464"/>
      <c r="BX103" s="464"/>
      <c r="BY103" s="464"/>
      <c r="BZ103" s="464"/>
      <c r="CA103" s="464"/>
      <c r="CB103" s="464"/>
      <c r="CC103" s="464"/>
      <c r="CD103" s="464"/>
      <c r="CE103" s="464"/>
      <c r="CF103" s="464"/>
    </row>
    <row r="104" spans="72:84" ht="15" customHeight="1" x14ac:dyDescent="0.45">
      <c r="BT104" s="493"/>
      <c r="BW104" s="464"/>
      <c r="BX104" s="464"/>
      <c r="BY104" s="464"/>
      <c r="BZ104" s="464"/>
      <c r="CA104" s="464"/>
      <c r="CB104" s="464"/>
      <c r="CC104" s="464"/>
      <c r="CD104" s="464"/>
      <c r="CE104" s="464"/>
      <c r="CF104" s="464"/>
    </row>
    <row r="105" spans="72:84" ht="15" customHeight="1" x14ac:dyDescent="0.45">
      <c r="BT105" s="493"/>
      <c r="BW105" s="464"/>
      <c r="BX105" s="464"/>
      <c r="BY105" s="464"/>
      <c r="BZ105" s="464"/>
      <c r="CA105" s="464"/>
      <c r="CB105" s="464"/>
      <c r="CC105" s="464"/>
      <c r="CD105" s="464"/>
      <c r="CE105" s="464"/>
      <c r="CF105" s="464"/>
    </row>
    <row r="106" spans="72:84" ht="15" customHeight="1" x14ac:dyDescent="0.45">
      <c r="BT106" s="493"/>
      <c r="BW106" s="464"/>
      <c r="BX106" s="464"/>
      <c r="BY106" s="464"/>
      <c r="BZ106" s="464"/>
      <c r="CA106" s="464"/>
      <c r="CB106" s="464"/>
      <c r="CC106" s="464"/>
      <c r="CD106" s="464"/>
      <c r="CE106" s="464"/>
      <c r="CF106" s="464"/>
    </row>
    <row r="107" spans="72:84" ht="15" customHeight="1" x14ac:dyDescent="0.45">
      <c r="BT107" s="493"/>
      <c r="BW107" s="464"/>
      <c r="BX107" s="464"/>
      <c r="BY107" s="464"/>
      <c r="BZ107" s="464"/>
      <c r="CA107" s="464"/>
      <c r="CB107" s="464"/>
      <c r="CC107" s="464"/>
      <c r="CD107" s="464"/>
      <c r="CE107" s="464"/>
      <c r="CF107" s="464"/>
    </row>
    <row r="108" spans="72:84" ht="15" customHeight="1" x14ac:dyDescent="0.45">
      <c r="BT108" s="493"/>
      <c r="BW108" s="464"/>
      <c r="BX108" s="464"/>
      <c r="BY108" s="464"/>
      <c r="BZ108" s="464"/>
      <c r="CA108" s="464"/>
      <c r="CB108" s="464"/>
      <c r="CC108" s="464"/>
      <c r="CD108" s="464"/>
      <c r="CE108" s="464"/>
      <c r="CF108" s="464"/>
    </row>
    <row r="109" spans="72:84" ht="15" customHeight="1" x14ac:dyDescent="0.45">
      <c r="BT109" s="493"/>
      <c r="BW109" s="464"/>
      <c r="BX109" s="464"/>
      <c r="BY109" s="464"/>
      <c r="BZ109" s="464"/>
      <c r="CA109" s="464"/>
      <c r="CB109" s="464"/>
      <c r="CC109" s="464"/>
      <c r="CD109" s="464"/>
      <c r="CE109" s="464"/>
      <c r="CF109" s="464"/>
    </row>
    <row r="110" spans="72:84" ht="15" customHeight="1" x14ac:dyDescent="0.45">
      <c r="BT110" s="493"/>
      <c r="BW110" s="464"/>
      <c r="BX110" s="464"/>
      <c r="BY110" s="464"/>
      <c r="BZ110" s="464"/>
      <c r="CA110" s="464"/>
      <c r="CB110" s="464"/>
      <c r="CC110" s="464"/>
      <c r="CD110" s="464"/>
      <c r="CE110" s="464"/>
      <c r="CF110" s="464"/>
    </row>
    <row r="111" spans="72:84" ht="15" customHeight="1" x14ac:dyDescent="0.45">
      <c r="BT111" s="493"/>
      <c r="BW111" s="464"/>
      <c r="BX111" s="464"/>
      <c r="BY111" s="464"/>
      <c r="BZ111" s="464"/>
      <c r="CA111" s="464"/>
      <c r="CB111" s="464"/>
      <c r="CC111" s="464"/>
      <c r="CD111" s="464"/>
      <c r="CE111" s="464"/>
      <c r="CF111" s="464"/>
    </row>
    <row r="112" spans="72:84" ht="15" customHeight="1" x14ac:dyDescent="0.45">
      <c r="BT112" s="493"/>
      <c r="BW112" s="464"/>
      <c r="BX112" s="464"/>
      <c r="BY112" s="464"/>
      <c r="BZ112" s="464"/>
      <c r="CA112" s="464"/>
      <c r="CB112" s="464"/>
      <c r="CC112" s="464"/>
      <c r="CD112" s="464"/>
      <c r="CE112" s="464"/>
      <c r="CF112" s="464"/>
    </row>
    <row r="113" spans="72:84" ht="15" customHeight="1" x14ac:dyDescent="0.45">
      <c r="BT113" s="493"/>
      <c r="BW113" s="464"/>
      <c r="BX113" s="464"/>
      <c r="BY113" s="464"/>
      <c r="BZ113" s="464"/>
      <c r="CA113" s="464"/>
      <c r="CB113" s="464"/>
      <c r="CC113" s="464"/>
      <c r="CD113" s="464"/>
      <c r="CE113" s="464"/>
      <c r="CF113" s="464"/>
    </row>
    <row r="114" spans="72:84" ht="15" customHeight="1" x14ac:dyDescent="0.45">
      <c r="BT114" s="493"/>
      <c r="BW114" s="464"/>
      <c r="BX114" s="464"/>
      <c r="BY114" s="464"/>
      <c r="BZ114" s="464"/>
      <c r="CA114" s="464"/>
      <c r="CB114" s="464"/>
      <c r="CC114" s="464"/>
      <c r="CD114" s="464"/>
      <c r="CE114" s="464"/>
      <c r="CF114" s="464"/>
    </row>
    <row r="115" spans="72:84" ht="15" customHeight="1" x14ac:dyDescent="0.45">
      <c r="BT115" s="493"/>
      <c r="BW115" s="464"/>
      <c r="BX115" s="464"/>
      <c r="BY115" s="464"/>
      <c r="BZ115" s="464"/>
      <c r="CA115" s="464"/>
      <c r="CB115" s="464"/>
      <c r="CC115" s="464"/>
      <c r="CD115" s="464"/>
      <c r="CE115" s="464"/>
      <c r="CF115" s="464"/>
    </row>
    <row r="116" spans="72:84" ht="15" customHeight="1" x14ac:dyDescent="0.45">
      <c r="BT116" s="493"/>
      <c r="BW116" s="464"/>
      <c r="BX116" s="464"/>
      <c r="BY116" s="464"/>
      <c r="BZ116" s="464"/>
      <c r="CA116" s="464"/>
      <c r="CB116" s="464"/>
      <c r="CC116" s="464"/>
      <c r="CD116" s="464"/>
      <c r="CE116" s="464"/>
      <c r="CF116" s="464"/>
    </row>
    <row r="117" spans="72:84" ht="15" customHeight="1" x14ac:dyDescent="0.45">
      <c r="BT117" s="493"/>
      <c r="BW117" s="464"/>
      <c r="BX117" s="464"/>
      <c r="BY117" s="464"/>
      <c r="BZ117" s="464"/>
      <c r="CA117" s="464"/>
      <c r="CB117" s="464"/>
      <c r="CC117" s="464"/>
      <c r="CD117" s="464"/>
      <c r="CE117" s="464"/>
      <c r="CF117" s="464"/>
    </row>
    <row r="118" spans="72:84" ht="15" customHeight="1" x14ac:dyDescent="0.45">
      <c r="BT118" s="493"/>
      <c r="BW118" s="464"/>
      <c r="BX118" s="464"/>
      <c r="BY118" s="464"/>
      <c r="BZ118" s="464"/>
      <c r="CA118" s="464"/>
      <c r="CB118" s="464"/>
      <c r="CC118" s="464"/>
      <c r="CD118" s="464"/>
      <c r="CE118" s="464"/>
      <c r="CF118" s="464"/>
    </row>
    <row r="119" spans="72:84" ht="15" customHeight="1" x14ac:dyDescent="0.45">
      <c r="BT119" s="493"/>
      <c r="BW119" s="464"/>
      <c r="BX119" s="464"/>
      <c r="BY119" s="464"/>
      <c r="BZ119" s="464"/>
      <c r="CA119" s="464"/>
      <c r="CB119" s="464"/>
      <c r="CC119" s="464"/>
      <c r="CD119" s="464"/>
      <c r="CE119" s="464"/>
      <c r="CF119" s="464"/>
    </row>
    <row r="120" spans="72:84" ht="15" customHeight="1" x14ac:dyDescent="0.45">
      <c r="BT120" s="493"/>
      <c r="BW120" s="464"/>
      <c r="BX120" s="464"/>
      <c r="BY120" s="464"/>
      <c r="BZ120" s="464"/>
      <c r="CA120" s="464"/>
      <c r="CB120" s="464"/>
      <c r="CC120" s="464"/>
      <c r="CD120" s="464"/>
      <c r="CE120" s="464"/>
      <c r="CF120" s="464"/>
    </row>
    <row r="121" spans="72:84" ht="15" customHeight="1" x14ac:dyDescent="0.45">
      <c r="BT121" s="493"/>
      <c r="BW121" s="464"/>
      <c r="BX121" s="464"/>
      <c r="BY121" s="464"/>
      <c r="BZ121" s="464"/>
      <c r="CA121" s="464"/>
      <c r="CB121" s="464"/>
      <c r="CC121" s="464"/>
      <c r="CD121" s="464"/>
      <c r="CE121" s="464"/>
      <c r="CF121" s="464"/>
    </row>
    <row r="122" spans="72:84" ht="15" customHeight="1" x14ac:dyDescent="0.45">
      <c r="BT122" s="493"/>
      <c r="BW122" s="464"/>
      <c r="BX122" s="464"/>
      <c r="BY122" s="464"/>
      <c r="BZ122" s="464"/>
      <c r="CA122" s="464"/>
      <c r="CB122" s="464"/>
      <c r="CC122" s="464"/>
      <c r="CD122" s="464"/>
      <c r="CE122" s="464"/>
      <c r="CF122" s="464"/>
    </row>
    <row r="123" spans="72:84" ht="15" customHeight="1" x14ac:dyDescent="0.45">
      <c r="BT123" s="493"/>
      <c r="BW123" s="464"/>
      <c r="BX123" s="464"/>
      <c r="BY123" s="464"/>
      <c r="BZ123" s="464"/>
      <c r="CA123" s="464"/>
      <c r="CB123" s="464"/>
      <c r="CC123" s="464"/>
      <c r="CD123" s="464"/>
      <c r="CE123" s="464"/>
      <c r="CF123" s="464"/>
    </row>
    <row r="124" spans="72:84" ht="15" customHeight="1" x14ac:dyDescent="0.45">
      <c r="BT124" s="493"/>
      <c r="BW124" s="464"/>
      <c r="BX124" s="464"/>
      <c r="BY124" s="464"/>
      <c r="BZ124" s="464"/>
      <c r="CA124" s="464"/>
      <c r="CB124" s="464"/>
      <c r="CC124" s="464"/>
      <c r="CD124" s="464"/>
      <c r="CE124" s="464"/>
      <c r="CF124" s="464"/>
    </row>
    <row r="125" spans="72:84" ht="15" customHeight="1" x14ac:dyDescent="0.45">
      <c r="BT125" s="493"/>
      <c r="BW125" s="464"/>
      <c r="BX125" s="464"/>
      <c r="BY125" s="464"/>
      <c r="BZ125" s="464"/>
      <c r="CA125" s="464"/>
      <c r="CB125" s="464"/>
      <c r="CC125" s="464"/>
      <c r="CD125" s="464"/>
      <c r="CE125" s="464"/>
      <c r="CF125" s="464"/>
    </row>
    <row r="126" spans="72:84" ht="15" customHeight="1" x14ac:dyDescent="0.45">
      <c r="BT126" s="493"/>
      <c r="BW126" s="464"/>
      <c r="BX126" s="464"/>
      <c r="BY126" s="464"/>
      <c r="BZ126" s="464"/>
      <c r="CA126" s="464"/>
      <c r="CB126" s="464"/>
      <c r="CC126" s="464"/>
      <c r="CD126" s="464"/>
      <c r="CE126" s="464"/>
      <c r="CF126" s="464"/>
    </row>
    <row r="127" spans="72:84" ht="15" customHeight="1" x14ac:dyDescent="0.45">
      <c r="BT127" s="493"/>
      <c r="BW127" s="464"/>
      <c r="BX127" s="464"/>
      <c r="BY127" s="464"/>
      <c r="BZ127" s="464"/>
      <c r="CA127" s="464"/>
      <c r="CB127" s="464"/>
      <c r="CC127" s="464"/>
      <c r="CD127" s="464"/>
      <c r="CE127" s="464"/>
      <c r="CF127" s="464"/>
    </row>
    <row r="128" spans="72:84" ht="15" customHeight="1" x14ac:dyDescent="0.45">
      <c r="BT128" s="493"/>
      <c r="BW128" s="464"/>
      <c r="BX128" s="464"/>
      <c r="BY128" s="464"/>
      <c r="BZ128" s="464"/>
      <c r="CA128" s="464"/>
      <c r="CB128" s="464"/>
      <c r="CC128" s="464"/>
      <c r="CD128" s="464"/>
      <c r="CE128" s="464"/>
      <c r="CF128" s="464"/>
    </row>
    <row r="129" spans="72:84" ht="15" customHeight="1" x14ac:dyDescent="0.45">
      <c r="BT129" s="493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</row>
    <row r="130" spans="72:84" ht="15" customHeight="1" x14ac:dyDescent="0.45">
      <c r="BT130" s="493"/>
      <c r="BW130" s="464"/>
      <c r="BX130" s="464"/>
      <c r="BY130" s="464"/>
      <c r="BZ130" s="464"/>
      <c r="CA130" s="464"/>
      <c r="CB130" s="464"/>
      <c r="CC130" s="464"/>
      <c r="CD130" s="464"/>
      <c r="CE130" s="464"/>
      <c r="CF130" s="464"/>
    </row>
    <row r="131" spans="72:84" ht="15" customHeight="1" x14ac:dyDescent="0.45">
      <c r="BT131" s="493"/>
      <c r="BW131" s="464"/>
      <c r="BX131" s="464"/>
      <c r="BY131" s="464"/>
      <c r="BZ131" s="464"/>
      <c r="CA131" s="464"/>
      <c r="CB131" s="464"/>
      <c r="CC131" s="464"/>
      <c r="CD131" s="464"/>
      <c r="CE131" s="464"/>
      <c r="CF131" s="464"/>
    </row>
    <row r="132" spans="72:84" ht="15" customHeight="1" x14ac:dyDescent="0.45">
      <c r="BT132" s="493"/>
      <c r="BW132" s="464"/>
      <c r="BX132" s="464"/>
      <c r="BY132" s="464"/>
      <c r="BZ132" s="464"/>
      <c r="CA132" s="464"/>
      <c r="CB132" s="464"/>
      <c r="CC132" s="464"/>
      <c r="CD132" s="464"/>
      <c r="CE132" s="464"/>
      <c r="CF132" s="464"/>
    </row>
    <row r="133" spans="72:84" ht="15" customHeight="1" x14ac:dyDescent="0.45">
      <c r="BT133" s="493"/>
      <c r="BW133" s="464"/>
      <c r="BX133" s="464"/>
      <c r="BY133" s="464"/>
      <c r="BZ133" s="464"/>
      <c r="CA133" s="464"/>
      <c r="CB133" s="464"/>
      <c r="CC133" s="464"/>
      <c r="CD133" s="464"/>
      <c r="CE133" s="464"/>
      <c r="CF133" s="464"/>
    </row>
    <row r="134" spans="72:84" ht="15" customHeight="1" x14ac:dyDescent="0.45">
      <c r="BT134" s="493"/>
      <c r="BW134" s="464"/>
      <c r="BX134" s="464"/>
      <c r="BY134" s="464"/>
      <c r="BZ134" s="464"/>
      <c r="CA134" s="464"/>
      <c r="CB134" s="464"/>
      <c r="CC134" s="464"/>
      <c r="CD134" s="464"/>
      <c r="CE134" s="464"/>
      <c r="CF134" s="464"/>
    </row>
    <row r="135" spans="72:84" ht="15" customHeight="1" x14ac:dyDescent="0.45">
      <c r="BT135" s="493"/>
      <c r="BW135" s="464"/>
      <c r="BX135" s="464"/>
      <c r="BY135" s="464"/>
      <c r="BZ135" s="464"/>
      <c r="CA135" s="464"/>
      <c r="CB135" s="464"/>
      <c r="CC135" s="464"/>
      <c r="CD135" s="464"/>
      <c r="CE135" s="464"/>
      <c r="CF135" s="464"/>
    </row>
    <row r="136" spans="72:84" ht="15" customHeight="1" x14ac:dyDescent="0.45">
      <c r="BT136" s="493"/>
      <c r="BW136" s="464"/>
      <c r="BX136" s="464"/>
      <c r="BY136" s="464"/>
      <c r="BZ136" s="464"/>
      <c r="CA136" s="464"/>
      <c r="CB136" s="464"/>
      <c r="CC136" s="464"/>
      <c r="CD136" s="464"/>
      <c r="CE136" s="464"/>
      <c r="CF136" s="464"/>
    </row>
    <row r="137" spans="72:84" ht="15" customHeight="1" x14ac:dyDescent="0.45">
      <c r="BT137" s="493"/>
      <c r="BW137" s="464"/>
      <c r="BX137" s="464"/>
      <c r="BY137" s="464"/>
      <c r="BZ137" s="464"/>
      <c r="CA137" s="464"/>
      <c r="CB137" s="464"/>
      <c r="CC137" s="464"/>
      <c r="CD137" s="464"/>
      <c r="CE137" s="464"/>
      <c r="CF137" s="464"/>
    </row>
    <row r="138" spans="72:84" ht="15" customHeight="1" x14ac:dyDescent="0.45">
      <c r="BT138" s="493"/>
      <c r="BW138" s="464"/>
      <c r="BX138" s="464"/>
      <c r="BY138" s="464"/>
      <c r="BZ138" s="464"/>
      <c r="CA138" s="464"/>
      <c r="CB138" s="464"/>
      <c r="CC138" s="464"/>
      <c r="CD138" s="464"/>
      <c r="CE138" s="464"/>
      <c r="CF138" s="464"/>
    </row>
    <row r="139" spans="72:84" ht="15" customHeight="1" x14ac:dyDescent="0.45">
      <c r="BT139" s="493"/>
      <c r="BW139" s="464"/>
      <c r="BX139" s="464"/>
      <c r="BY139" s="464"/>
      <c r="BZ139" s="464"/>
      <c r="CA139" s="464"/>
      <c r="CB139" s="464"/>
      <c r="CC139" s="464"/>
      <c r="CD139" s="464"/>
      <c r="CE139" s="464"/>
      <c r="CF139" s="464"/>
    </row>
    <row r="140" spans="72:84" ht="15" customHeight="1" x14ac:dyDescent="0.45">
      <c r="BT140" s="493"/>
      <c r="BW140" s="464"/>
      <c r="BX140" s="464"/>
      <c r="BY140" s="464"/>
      <c r="BZ140" s="464"/>
      <c r="CA140" s="464"/>
      <c r="CB140" s="464"/>
      <c r="CC140" s="464"/>
      <c r="CD140" s="464"/>
      <c r="CE140" s="464"/>
      <c r="CF140" s="464"/>
    </row>
    <row r="141" spans="72:84" ht="15" customHeight="1" x14ac:dyDescent="0.45">
      <c r="BT141" s="493"/>
      <c r="BW141" s="464"/>
      <c r="BX141" s="464"/>
      <c r="BY141" s="464"/>
      <c r="BZ141" s="464"/>
      <c r="CA141" s="464"/>
      <c r="CB141" s="464"/>
      <c r="CC141" s="464"/>
      <c r="CD141" s="464"/>
      <c r="CE141" s="464"/>
      <c r="CF141" s="464"/>
    </row>
    <row r="142" spans="72:84" ht="15" customHeight="1" x14ac:dyDescent="0.45">
      <c r="BT142" s="493"/>
      <c r="BW142" s="464"/>
      <c r="BX142" s="464"/>
      <c r="BY142" s="464"/>
      <c r="BZ142" s="464"/>
      <c r="CA142" s="464"/>
      <c r="CB142" s="464"/>
      <c r="CC142" s="464"/>
      <c r="CD142" s="464"/>
      <c r="CE142" s="464"/>
      <c r="CF142" s="464"/>
    </row>
    <row r="143" spans="72:84" ht="15" customHeight="1" x14ac:dyDescent="0.45">
      <c r="BT143" s="493"/>
      <c r="BW143" s="464"/>
      <c r="BX143" s="464"/>
      <c r="BY143" s="464"/>
      <c r="BZ143" s="464"/>
      <c r="CA143" s="464"/>
      <c r="CB143" s="464"/>
      <c r="CC143" s="464"/>
      <c r="CD143" s="464"/>
      <c r="CE143" s="464"/>
      <c r="CF143" s="464"/>
    </row>
    <row r="144" spans="72:84" ht="15" customHeight="1" x14ac:dyDescent="0.45">
      <c r="BT144" s="493"/>
      <c r="BW144" s="464"/>
      <c r="BX144" s="464"/>
      <c r="BY144" s="464"/>
      <c r="BZ144" s="464"/>
      <c r="CA144" s="464"/>
      <c r="CB144" s="464"/>
      <c r="CC144" s="464"/>
      <c r="CD144" s="464"/>
      <c r="CE144" s="464"/>
      <c r="CF144" s="464"/>
    </row>
    <row r="145" spans="72:84" ht="15" customHeight="1" x14ac:dyDescent="0.45">
      <c r="BT145" s="493"/>
      <c r="BW145" s="464"/>
      <c r="BX145" s="464"/>
      <c r="BY145" s="464"/>
      <c r="BZ145" s="464"/>
      <c r="CA145" s="464"/>
      <c r="CB145" s="464"/>
      <c r="CC145" s="464"/>
      <c r="CD145" s="464"/>
      <c r="CE145" s="464"/>
      <c r="CF145" s="464"/>
    </row>
    <row r="146" spans="72:84" ht="15" customHeight="1" x14ac:dyDescent="0.45">
      <c r="BT146" s="493"/>
      <c r="BW146" s="464"/>
      <c r="BX146" s="464"/>
      <c r="BY146" s="464"/>
      <c r="BZ146" s="464"/>
      <c r="CA146" s="464"/>
      <c r="CB146" s="464"/>
      <c r="CC146" s="464"/>
      <c r="CD146" s="464"/>
      <c r="CE146" s="464"/>
      <c r="CF146" s="464"/>
    </row>
    <row r="147" spans="72:84" ht="15" customHeight="1" x14ac:dyDescent="0.45">
      <c r="BT147" s="493"/>
      <c r="BW147" s="464"/>
      <c r="BX147" s="464"/>
      <c r="BY147" s="464"/>
      <c r="BZ147" s="464"/>
      <c r="CA147" s="464"/>
      <c r="CB147" s="464"/>
      <c r="CC147" s="464"/>
      <c r="CD147" s="464"/>
      <c r="CE147" s="464"/>
      <c r="CF147" s="464"/>
    </row>
    <row r="148" spans="72:84" ht="15" customHeight="1" x14ac:dyDescent="0.45">
      <c r="BT148" s="493"/>
      <c r="BW148" s="464"/>
      <c r="BX148" s="464"/>
      <c r="BY148" s="464"/>
      <c r="BZ148" s="464"/>
      <c r="CA148" s="464"/>
      <c r="CB148" s="464"/>
      <c r="CC148" s="464"/>
      <c r="CD148" s="464"/>
      <c r="CE148" s="464"/>
      <c r="CF148" s="464"/>
    </row>
    <row r="149" spans="72:84" ht="15" customHeight="1" x14ac:dyDescent="0.45">
      <c r="BT149" s="493"/>
      <c r="BW149" s="464"/>
      <c r="BX149" s="464"/>
      <c r="BY149" s="464"/>
      <c r="BZ149" s="464"/>
      <c r="CA149" s="464"/>
      <c r="CB149" s="464"/>
      <c r="CC149" s="464"/>
      <c r="CD149" s="464"/>
      <c r="CE149" s="464"/>
      <c r="CF149" s="464"/>
    </row>
    <row r="150" spans="72:84" ht="15" customHeight="1" x14ac:dyDescent="0.45">
      <c r="BT150" s="493"/>
      <c r="BW150" s="464"/>
      <c r="BX150" s="464"/>
      <c r="BY150" s="464"/>
      <c r="BZ150" s="464"/>
      <c r="CA150" s="464"/>
      <c r="CB150" s="464"/>
      <c r="CC150" s="464"/>
      <c r="CD150" s="464"/>
      <c r="CE150" s="464"/>
      <c r="CF150" s="464"/>
    </row>
    <row r="151" spans="72:84" ht="15" customHeight="1" x14ac:dyDescent="0.45">
      <c r="BT151" s="493"/>
      <c r="BW151" s="464"/>
      <c r="BX151" s="464"/>
      <c r="BY151" s="464"/>
      <c r="BZ151" s="464"/>
      <c r="CA151" s="464"/>
      <c r="CB151" s="464"/>
      <c r="CC151" s="464"/>
      <c r="CD151" s="464"/>
      <c r="CE151" s="464"/>
      <c r="CF151" s="464"/>
    </row>
    <row r="152" spans="72:84" ht="15" customHeight="1" x14ac:dyDescent="0.45">
      <c r="BT152" s="493"/>
      <c r="BW152" s="464"/>
      <c r="BX152" s="464"/>
      <c r="BY152" s="464"/>
      <c r="BZ152" s="464"/>
      <c r="CA152" s="464"/>
      <c r="CB152" s="464"/>
      <c r="CC152" s="464"/>
      <c r="CD152" s="464"/>
      <c r="CE152" s="464"/>
      <c r="CF152" s="464"/>
    </row>
    <row r="153" spans="72:84" ht="15" customHeight="1" x14ac:dyDescent="0.45">
      <c r="BT153" s="493"/>
      <c r="BW153" s="464"/>
      <c r="BX153" s="464"/>
      <c r="BY153" s="464"/>
      <c r="BZ153" s="464"/>
      <c r="CA153" s="464"/>
      <c r="CB153" s="464"/>
      <c r="CC153" s="464"/>
      <c r="CD153" s="464"/>
      <c r="CE153" s="464"/>
      <c r="CF153" s="464"/>
    </row>
    <row r="154" spans="72:84" ht="15" customHeight="1" x14ac:dyDescent="0.45">
      <c r="BT154" s="493"/>
      <c r="BW154" s="464"/>
      <c r="BX154" s="464"/>
      <c r="BY154" s="464"/>
      <c r="BZ154" s="464"/>
      <c r="CA154" s="464"/>
      <c r="CB154" s="464"/>
      <c r="CC154" s="464"/>
      <c r="CD154" s="464"/>
      <c r="CE154" s="464"/>
      <c r="CF154" s="464"/>
    </row>
    <row r="155" spans="72:84" ht="15" customHeight="1" x14ac:dyDescent="0.45">
      <c r="BT155" s="493"/>
      <c r="BW155" s="464"/>
      <c r="BX155" s="464"/>
      <c r="BY155" s="464"/>
      <c r="BZ155" s="464"/>
      <c r="CA155" s="464"/>
      <c r="CB155" s="464"/>
      <c r="CC155" s="464"/>
      <c r="CD155" s="464"/>
      <c r="CE155" s="464"/>
      <c r="CF155" s="464"/>
    </row>
    <row r="156" spans="72:84" ht="15" customHeight="1" x14ac:dyDescent="0.45">
      <c r="BT156" s="493"/>
      <c r="BW156" s="464"/>
      <c r="BX156" s="464"/>
      <c r="BY156" s="464"/>
      <c r="BZ156" s="464"/>
      <c r="CA156" s="464"/>
      <c r="CB156" s="464"/>
      <c r="CC156" s="464"/>
      <c r="CD156" s="464"/>
      <c r="CE156" s="464"/>
      <c r="CF156" s="464"/>
    </row>
    <row r="157" spans="72:84" ht="15" customHeight="1" x14ac:dyDescent="0.45">
      <c r="BT157" s="493"/>
      <c r="BW157" s="464"/>
      <c r="BX157" s="464"/>
      <c r="BY157" s="464"/>
      <c r="BZ157" s="464"/>
      <c r="CA157" s="464"/>
      <c r="CB157" s="464"/>
      <c r="CC157" s="464"/>
      <c r="CD157" s="464"/>
      <c r="CE157" s="464"/>
      <c r="CF157" s="464"/>
    </row>
    <row r="158" spans="72:84" ht="15" customHeight="1" x14ac:dyDescent="0.45">
      <c r="BT158" s="493"/>
      <c r="BW158" s="464"/>
      <c r="BX158" s="464"/>
      <c r="BY158" s="464"/>
      <c r="BZ158" s="464"/>
      <c r="CA158" s="464"/>
      <c r="CB158" s="464"/>
      <c r="CC158" s="464"/>
      <c r="CD158" s="464"/>
      <c r="CE158" s="464"/>
      <c r="CF158" s="464"/>
    </row>
    <row r="159" spans="72:84" ht="15" customHeight="1" x14ac:dyDescent="0.45">
      <c r="BT159" s="493"/>
      <c r="BW159" s="464"/>
      <c r="BX159" s="464"/>
      <c r="BY159" s="464"/>
      <c r="BZ159" s="464"/>
      <c r="CA159" s="464"/>
      <c r="CB159" s="464"/>
      <c r="CC159" s="464"/>
      <c r="CD159" s="464"/>
      <c r="CE159" s="464"/>
      <c r="CF159" s="464"/>
    </row>
    <row r="160" spans="72:84" ht="15" customHeight="1" x14ac:dyDescent="0.45">
      <c r="BT160" s="493"/>
      <c r="BW160" s="464"/>
      <c r="BX160" s="464"/>
      <c r="BY160" s="464"/>
      <c r="BZ160" s="464"/>
      <c r="CA160" s="464"/>
      <c r="CB160" s="464"/>
      <c r="CC160" s="464"/>
      <c r="CD160" s="464"/>
      <c r="CE160" s="464"/>
      <c r="CF160" s="464"/>
    </row>
    <row r="161" spans="72:84" ht="15" customHeight="1" x14ac:dyDescent="0.45">
      <c r="BT161" s="493"/>
      <c r="BW161" s="464"/>
      <c r="BX161" s="464"/>
      <c r="BY161" s="464"/>
      <c r="BZ161" s="464"/>
      <c r="CA161" s="464"/>
      <c r="CB161" s="464"/>
      <c r="CC161" s="464"/>
      <c r="CD161" s="464"/>
      <c r="CE161" s="464"/>
      <c r="CF161" s="464"/>
    </row>
    <row r="162" spans="72:84" ht="15" customHeight="1" x14ac:dyDescent="0.45">
      <c r="BT162" s="493"/>
      <c r="BW162" s="464"/>
      <c r="BX162" s="464"/>
      <c r="BY162" s="464"/>
      <c r="BZ162" s="464"/>
      <c r="CA162" s="464"/>
      <c r="CB162" s="464"/>
      <c r="CC162" s="464"/>
      <c r="CD162" s="464"/>
      <c r="CE162" s="464"/>
      <c r="CF162" s="464"/>
    </row>
    <row r="163" spans="72:84" ht="15" customHeight="1" x14ac:dyDescent="0.45">
      <c r="BT163" s="493"/>
      <c r="BW163" s="464"/>
      <c r="BX163" s="464"/>
      <c r="BY163" s="464"/>
      <c r="BZ163" s="464"/>
      <c r="CA163" s="464"/>
      <c r="CB163" s="464"/>
      <c r="CC163" s="464"/>
      <c r="CD163" s="464"/>
      <c r="CE163" s="464"/>
      <c r="CF163" s="464"/>
    </row>
    <row r="164" spans="72:84" ht="15" customHeight="1" x14ac:dyDescent="0.45">
      <c r="BT164" s="493"/>
      <c r="BW164" s="464"/>
      <c r="BX164" s="464"/>
      <c r="BY164" s="464"/>
      <c r="BZ164" s="464"/>
      <c r="CA164" s="464"/>
      <c r="CB164" s="464"/>
      <c r="CC164" s="464"/>
      <c r="CD164" s="464"/>
      <c r="CE164" s="464"/>
      <c r="CF164" s="464"/>
    </row>
    <row r="165" spans="72:84" ht="15" customHeight="1" x14ac:dyDescent="0.45">
      <c r="BT165" s="493"/>
      <c r="BW165" s="464"/>
      <c r="BX165" s="464"/>
      <c r="BY165" s="464"/>
      <c r="BZ165" s="464"/>
      <c r="CA165" s="464"/>
      <c r="CB165" s="464"/>
      <c r="CC165" s="464"/>
      <c r="CD165" s="464"/>
      <c r="CE165" s="464"/>
      <c r="CF165" s="464"/>
    </row>
    <row r="166" spans="72:84" ht="15" customHeight="1" x14ac:dyDescent="0.45">
      <c r="BT166" s="493"/>
      <c r="BW166" s="464"/>
      <c r="BX166" s="464"/>
      <c r="BY166" s="464"/>
      <c r="BZ166" s="464"/>
      <c r="CA166" s="464"/>
      <c r="CB166" s="464"/>
      <c r="CC166" s="464"/>
      <c r="CD166" s="464"/>
      <c r="CE166" s="464"/>
      <c r="CF166" s="464"/>
    </row>
    <row r="167" spans="72:84" ht="15" customHeight="1" x14ac:dyDescent="0.45">
      <c r="BT167" s="493"/>
      <c r="BW167" s="464"/>
      <c r="BX167" s="464"/>
      <c r="BY167" s="464"/>
      <c r="BZ167" s="464"/>
      <c r="CA167" s="464"/>
      <c r="CB167" s="464"/>
      <c r="CC167" s="464"/>
      <c r="CD167" s="464"/>
      <c r="CE167" s="464"/>
      <c r="CF167" s="464"/>
    </row>
    <row r="168" spans="72:84" ht="15" customHeight="1" x14ac:dyDescent="0.45">
      <c r="BT168" s="493"/>
      <c r="BW168" s="464"/>
      <c r="BX168" s="464"/>
      <c r="BY168" s="464"/>
      <c r="BZ168" s="464"/>
      <c r="CA168" s="464"/>
      <c r="CB168" s="464"/>
      <c r="CC168" s="464"/>
      <c r="CD168" s="464"/>
      <c r="CE168" s="464"/>
      <c r="CF168" s="464"/>
    </row>
    <row r="169" spans="72:84" ht="15" customHeight="1" x14ac:dyDescent="0.45">
      <c r="BT169" s="493"/>
      <c r="BW169" s="464"/>
      <c r="BX169" s="464"/>
      <c r="BY169" s="464"/>
      <c r="BZ169" s="464"/>
      <c r="CA169" s="464"/>
      <c r="CB169" s="464"/>
      <c r="CC169" s="464"/>
      <c r="CD169" s="464"/>
      <c r="CE169" s="464"/>
      <c r="CF169" s="464"/>
    </row>
    <row r="170" spans="72:84" ht="15" customHeight="1" x14ac:dyDescent="0.45">
      <c r="BT170" s="493"/>
      <c r="BW170" s="464"/>
      <c r="BX170" s="464"/>
      <c r="BY170" s="464"/>
      <c r="BZ170" s="464"/>
      <c r="CA170" s="464"/>
      <c r="CB170" s="464"/>
      <c r="CC170" s="464"/>
      <c r="CD170" s="464"/>
      <c r="CE170" s="464"/>
      <c r="CF170" s="464"/>
    </row>
    <row r="171" spans="72:84" ht="15" customHeight="1" x14ac:dyDescent="0.45">
      <c r="BT171" s="493"/>
      <c r="BW171" s="464"/>
      <c r="BX171" s="464"/>
      <c r="BY171" s="464"/>
      <c r="BZ171" s="464"/>
      <c r="CA171" s="464"/>
      <c r="CB171" s="464"/>
      <c r="CC171" s="464"/>
      <c r="CD171" s="464"/>
      <c r="CE171" s="464"/>
      <c r="CF171" s="464"/>
    </row>
    <row r="172" spans="72:84" ht="15" customHeight="1" x14ac:dyDescent="0.45">
      <c r="BT172" s="493"/>
      <c r="BW172" s="464"/>
      <c r="BX172" s="464"/>
      <c r="BY172" s="464"/>
      <c r="BZ172" s="464"/>
      <c r="CA172" s="464"/>
      <c r="CB172" s="464"/>
      <c r="CC172" s="464"/>
      <c r="CD172" s="464"/>
      <c r="CE172" s="464"/>
      <c r="CF172" s="464"/>
    </row>
    <row r="173" spans="72:84" ht="15" customHeight="1" x14ac:dyDescent="0.45">
      <c r="BT173" s="493"/>
      <c r="BW173" s="464"/>
      <c r="BX173" s="464"/>
      <c r="BY173" s="464"/>
      <c r="BZ173" s="464"/>
      <c r="CA173" s="464"/>
      <c r="CB173" s="464"/>
      <c r="CC173" s="464"/>
      <c r="CD173" s="464"/>
      <c r="CE173" s="464"/>
      <c r="CF173" s="464"/>
    </row>
    <row r="174" spans="72:84" ht="15" customHeight="1" x14ac:dyDescent="0.45">
      <c r="BT174" s="493"/>
      <c r="BW174" s="464"/>
      <c r="BX174" s="464"/>
      <c r="BY174" s="464"/>
      <c r="BZ174" s="464"/>
      <c r="CA174" s="464"/>
      <c r="CB174" s="464"/>
      <c r="CC174" s="464"/>
      <c r="CD174" s="464"/>
      <c r="CE174" s="464"/>
      <c r="CF174" s="464"/>
    </row>
    <row r="175" spans="72:84" ht="15" customHeight="1" x14ac:dyDescent="0.45">
      <c r="BT175" s="493"/>
      <c r="BW175" s="464"/>
      <c r="BX175" s="464"/>
      <c r="BY175" s="464"/>
      <c r="BZ175" s="464"/>
      <c r="CA175" s="464"/>
      <c r="CB175" s="464"/>
      <c r="CC175" s="464"/>
      <c r="CD175" s="464"/>
      <c r="CE175" s="464"/>
      <c r="CF175" s="464"/>
    </row>
    <row r="176" spans="72:84" ht="15" customHeight="1" x14ac:dyDescent="0.45">
      <c r="BT176" s="493"/>
      <c r="BW176" s="464"/>
      <c r="BX176" s="464"/>
      <c r="BY176" s="464"/>
      <c r="BZ176" s="464"/>
      <c r="CA176" s="464"/>
      <c r="CB176" s="464"/>
      <c r="CC176" s="464"/>
      <c r="CD176" s="464"/>
      <c r="CE176" s="464"/>
      <c r="CF176" s="464"/>
    </row>
    <row r="177" spans="72:84" ht="15" customHeight="1" x14ac:dyDescent="0.45">
      <c r="BT177" s="493"/>
      <c r="BW177" s="464"/>
      <c r="BX177" s="464"/>
      <c r="BY177" s="464"/>
      <c r="BZ177" s="464"/>
      <c r="CA177" s="464"/>
      <c r="CB177" s="464"/>
      <c r="CC177" s="464"/>
      <c r="CD177" s="464"/>
      <c r="CE177" s="464"/>
      <c r="CF177" s="464"/>
    </row>
    <row r="178" spans="72:84" ht="15" customHeight="1" x14ac:dyDescent="0.45">
      <c r="BT178" s="493"/>
      <c r="BW178" s="464"/>
      <c r="BX178" s="464"/>
      <c r="BY178" s="464"/>
      <c r="BZ178" s="464"/>
      <c r="CA178" s="464"/>
      <c r="CB178" s="464"/>
      <c r="CC178" s="464"/>
      <c r="CD178" s="464"/>
      <c r="CE178" s="464"/>
      <c r="CF178" s="464"/>
    </row>
    <row r="179" spans="72:84" ht="15" customHeight="1" x14ac:dyDescent="0.45">
      <c r="BT179" s="493"/>
      <c r="BW179" s="464"/>
      <c r="BX179" s="464"/>
      <c r="BY179" s="464"/>
      <c r="BZ179" s="464"/>
      <c r="CA179" s="464"/>
      <c r="CB179" s="464"/>
      <c r="CC179" s="464"/>
      <c r="CD179" s="464"/>
      <c r="CE179" s="464"/>
      <c r="CF179" s="464"/>
    </row>
    <row r="180" spans="72:84" ht="15" customHeight="1" x14ac:dyDescent="0.45">
      <c r="BT180" s="493"/>
      <c r="BW180" s="464"/>
      <c r="BX180" s="464"/>
      <c r="BY180" s="464"/>
      <c r="BZ180" s="464"/>
      <c r="CA180" s="464"/>
      <c r="CB180" s="464"/>
      <c r="CC180" s="464"/>
      <c r="CD180" s="464"/>
      <c r="CE180" s="464"/>
      <c r="CF180" s="464"/>
    </row>
    <row r="181" spans="72:84" ht="15" customHeight="1" x14ac:dyDescent="0.45">
      <c r="BT181" s="493"/>
      <c r="BW181" s="464"/>
      <c r="BX181" s="464"/>
      <c r="BY181" s="464"/>
      <c r="BZ181" s="464"/>
      <c r="CA181" s="464"/>
      <c r="CB181" s="464"/>
      <c r="CC181" s="464"/>
      <c r="CD181" s="464"/>
      <c r="CE181" s="464"/>
      <c r="CF181" s="464"/>
    </row>
    <row r="182" spans="72:84" ht="15" customHeight="1" x14ac:dyDescent="0.45">
      <c r="BT182" s="493"/>
      <c r="BW182" s="464"/>
      <c r="BX182" s="464"/>
      <c r="BY182" s="464"/>
      <c r="BZ182" s="464"/>
      <c r="CA182" s="464"/>
      <c r="CB182" s="464"/>
      <c r="CC182" s="464"/>
      <c r="CD182" s="464"/>
      <c r="CE182" s="464"/>
      <c r="CF182" s="464"/>
    </row>
    <row r="183" spans="72:84" ht="15" customHeight="1" x14ac:dyDescent="0.45">
      <c r="BT183" s="493"/>
      <c r="BW183" s="464"/>
      <c r="BX183" s="464"/>
      <c r="BY183" s="464"/>
      <c r="BZ183" s="464"/>
      <c r="CA183" s="464"/>
      <c r="CB183" s="464"/>
      <c r="CC183" s="464"/>
      <c r="CD183" s="464"/>
      <c r="CE183" s="464"/>
      <c r="CF183" s="464"/>
    </row>
    <row r="184" spans="72:84" ht="15" customHeight="1" x14ac:dyDescent="0.45">
      <c r="BT184" s="493"/>
      <c r="BW184" s="464"/>
      <c r="BX184" s="464"/>
      <c r="BY184" s="464"/>
      <c r="BZ184" s="464"/>
      <c r="CA184" s="464"/>
      <c r="CB184" s="464"/>
      <c r="CC184" s="464"/>
      <c r="CD184" s="464"/>
      <c r="CE184" s="464"/>
      <c r="CF184" s="464"/>
    </row>
    <row r="185" spans="72:84" ht="15" customHeight="1" x14ac:dyDescent="0.45">
      <c r="BT185" s="493"/>
      <c r="BW185" s="464"/>
      <c r="BX185" s="464"/>
      <c r="BY185" s="464"/>
      <c r="BZ185" s="464"/>
      <c r="CA185" s="464"/>
      <c r="CB185" s="464"/>
      <c r="CC185" s="464"/>
      <c r="CD185" s="464"/>
      <c r="CE185" s="464"/>
      <c r="CF185" s="464"/>
    </row>
    <row r="186" spans="72:84" ht="15" customHeight="1" x14ac:dyDescent="0.45">
      <c r="BT186" s="493"/>
      <c r="BW186" s="464"/>
      <c r="BX186" s="464"/>
      <c r="BY186" s="464"/>
      <c r="BZ186" s="464"/>
      <c r="CA186" s="464"/>
      <c r="CB186" s="464"/>
      <c r="CC186" s="464"/>
      <c r="CD186" s="464"/>
      <c r="CE186" s="464"/>
      <c r="CF186" s="464"/>
    </row>
    <row r="187" spans="72:84" ht="15" customHeight="1" x14ac:dyDescent="0.45">
      <c r="BT187" s="493"/>
      <c r="BW187" s="464"/>
      <c r="BX187" s="464"/>
      <c r="BY187" s="464"/>
      <c r="BZ187" s="464"/>
      <c r="CA187" s="464"/>
      <c r="CB187" s="464"/>
      <c r="CC187" s="464"/>
      <c r="CD187" s="464"/>
      <c r="CE187" s="464"/>
      <c r="CF187" s="464"/>
    </row>
    <row r="188" spans="72:84" ht="15" customHeight="1" x14ac:dyDescent="0.45">
      <c r="BT188" s="493"/>
      <c r="BW188" s="464"/>
      <c r="BX188" s="464"/>
      <c r="BY188" s="464"/>
      <c r="BZ188" s="464"/>
      <c r="CA188" s="464"/>
      <c r="CB188" s="464"/>
      <c r="CC188" s="464"/>
      <c r="CD188" s="464"/>
      <c r="CE188" s="464"/>
      <c r="CF188" s="464"/>
    </row>
    <row r="189" spans="72:84" ht="15" customHeight="1" x14ac:dyDescent="0.45">
      <c r="BT189" s="493"/>
      <c r="BW189" s="464"/>
      <c r="BX189" s="464"/>
      <c r="BY189" s="464"/>
      <c r="BZ189" s="464"/>
      <c r="CA189" s="464"/>
      <c r="CB189" s="464"/>
      <c r="CC189" s="464"/>
      <c r="CD189" s="464"/>
      <c r="CE189" s="464"/>
      <c r="CF189" s="464"/>
    </row>
    <row r="190" spans="72:84" ht="15" customHeight="1" x14ac:dyDescent="0.45">
      <c r="BT190" s="493"/>
      <c r="BW190" s="464"/>
      <c r="BX190" s="464"/>
      <c r="BY190" s="464"/>
      <c r="BZ190" s="464"/>
      <c r="CA190" s="464"/>
      <c r="CB190" s="464"/>
      <c r="CC190" s="464"/>
      <c r="CD190" s="464"/>
      <c r="CE190" s="464"/>
      <c r="CF190" s="464"/>
    </row>
    <row r="191" spans="72:84" ht="15" customHeight="1" x14ac:dyDescent="0.45">
      <c r="BT191" s="493"/>
      <c r="BW191" s="464"/>
      <c r="BX191" s="464"/>
      <c r="BY191" s="464"/>
      <c r="BZ191" s="464"/>
      <c r="CA191" s="464"/>
      <c r="CB191" s="464"/>
      <c r="CC191" s="464"/>
      <c r="CD191" s="464"/>
      <c r="CE191" s="464"/>
      <c r="CF191" s="464"/>
    </row>
    <row r="192" spans="72:84" ht="15" customHeight="1" x14ac:dyDescent="0.45">
      <c r="BT192" s="493"/>
      <c r="BW192" s="464"/>
      <c r="BX192" s="464"/>
      <c r="BY192" s="464"/>
      <c r="BZ192" s="464"/>
      <c r="CA192" s="464"/>
      <c r="CB192" s="464"/>
      <c r="CC192" s="464"/>
      <c r="CD192" s="464"/>
      <c r="CE192" s="464"/>
      <c r="CF192" s="464"/>
    </row>
    <row r="193" spans="72:84" ht="15" customHeight="1" x14ac:dyDescent="0.45">
      <c r="BT193" s="493"/>
      <c r="BW193" s="464"/>
      <c r="BX193" s="464"/>
      <c r="BY193" s="464"/>
      <c r="BZ193" s="464"/>
      <c r="CA193" s="464"/>
      <c r="CB193" s="464"/>
      <c r="CC193" s="464"/>
      <c r="CD193" s="464"/>
      <c r="CE193" s="464"/>
      <c r="CF193" s="464"/>
    </row>
    <row r="194" spans="72:84" ht="15" customHeight="1" x14ac:dyDescent="0.45">
      <c r="BT194" s="493"/>
      <c r="BW194" s="464"/>
      <c r="BX194" s="464"/>
      <c r="BY194" s="464"/>
      <c r="BZ194" s="464"/>
      <c r="CA194" s="464"/>
      <c r="CB194" s="464"/>
      <c r="CC194" s="464"/>
      <c r="CD194" s="464"/>
      <c r="CE194" s="464"/>
      <c r="CF194" s="464"/>
    </row>
    <row r="195" spans="72:84" ht="15" customHeight="1" x14ac:dyDescent="0.45">
      <c r="BT195" s="493"/>
      <c r="BW195" s="464"/>
      <c r="BX195" s="464"/>
      <c r="BY195" s="464"/>
      <c r="BZ195" s="464"/>
      <c r="CA195" s="464"/>
      <c r="CB195" s="464"/>
      <c r="CC195" s="464"/>
      <c r="CD195" s="464"/>
      <c r="CE195" s="464"/>
      <c r="CF195" s="464"/>
    </row>
    <row r="196" spans="72:84" ht="15" customHeight="1" x14ac:dyDescent="0.45">
      <c r="BT196" s="493"/>
      <c r="BW196" s="464"/>
      <c r="BX196" s="464"/>
      <c r="BY196" s="464"/>
      <c r="BZ196" s="464"/>
      <c r="CA196" s="464"/>
      <c r="CB196" s="464"/>
      <c r="CC196" s="464"/>
      <c r="CD196" s="464"/>
      <c r="CE196" s="464"/>
      <c r="CF196" s="464"/>
    </row>
    <row r="197" spans="72:84" ht="15" customHeight="1" x14ac:dyDescent="0.45">
      <c r="BT197" s="493"/>
      <c r="BW197" s="464"/>
      <c r="BX197" s="464"/>
      <c r="BY197" s="464"/>
      <c r="BZ197" s="464"/>
      <c r="CA197" s="464"/>
      <c r="CB197" s="464"/>
      <c r="CC197" s="464"/>
      <c r="CD197" s="464"/>
      <c r="CE197" s="464"/>
      <c r="CF197" s="464"/>
    </row>
    <row r="198" spans="72:84" ht="15" customHeight="1" x14ac:dyDescent="0.45">
      <c r="BT198" s="493"/>
      <c r="BW198" s="464"/>
      <c r="BX198" s="464"/>
      <c r="BY198" s="464"/>
      <c r="BZ198" s="464"/>
      <c r="CA198" s="464"/>
      <c r="CB198" s="464"/>
      <c r="CC198" s="464"/>
      <c r="CD198" s="464"/>
      <c r="CE198" s="464"/>
      <c r="CF198" s="464"/>
    </row>
    <row r="199" spans="72:84" ht="15" customHeight="1" x14ac:dyDescent="0.45">
      <c r="BT199" s="493"/>
      <c r="BW199" s="464"/>
      <c r="BX199" s="464"/>
      <c r="BY199" s="464"/>
      <c r="BZ199" s="464"/>
      <c r="CA199" s="464"/>
      <c r="CB199" s="464"/>
      <c r="CC199" s="464"/>
      <c r="CD199" s="464"/>
      <c r="CE199" s="464"/>
      <c r="CF199" s="464"/>
    </row>
    <row r="200" spans="72:84" ht="15" customHeight="1" x14ac:dyDescent="0.45">
      <c r="BT200" s="493"/>
      <c r="BW200" s="464"/>
      <c r="BX200" s="464"/>
      <c r="BY200" s="464"/>
      <c r="BZ200" s="464"/>
      <c r="CA200" s="464"/>
      <c r="CB200" s="464"/>
      <c r="CC200" s="464"/>
      <c r="CD200" s="464"/>
      <c r="CE200" s="464"/>
      <c r="CF200" s="464"/>
    </row>
    <row r="201" spans="72:84" ht="15" customHeight="1" x14ac:dyDescent="0.45">
      <c r="BT201" s="493"/>
      <c r="BW201" s="464"/>
      <c r="BX201" s="464"/>
      <c r="BY201" s="464"/>
      <c r="BZ201" s="464"/>
      <c r="CA201" s="464"/>
      <c r="CB201" s="464"/>
      <c r="CC201" s="464"/>
      <c r="CD201" s="464"/>
      <c r="CE201" s="464"/>
      <c r="CF201" s="464"/>
    </row>
    <row r="202" spans="72:84" ht="15" customHeight="1" x14ac:dyDescent="0.45">
      <c r="BT202" s="493"/>
      <c r="BW202" s="464"/>
      <c r="BX202" s="464"/>
      <c r="BY202" s="464"/>
      <c r="BZ202" s="464"/>
      <c r="CA202" s="464"/>
      <c r="CB202" s="464"/>
      <c r="CC202" s="464"/>
      <c r="CD202" s="464"/>
      <c r="CE202" s="464"/>
      <c r="CF202" s="464"/>
    </row>
    <row r="203" spans="72:84" ht="15" customHeight="1" x14ac:dyDescent="0.45">
      <c r="BT203" s="493"/>
      <c r="BW203" s="464"/>
      <c r="BX203" s="464"/>
      <c r="BY203" s="464"/>
      <c r="BZ203" s="464"/>
      <c r="CA203" s="464"/>
      <c r="CB203" s="464"/>
      <c r="CC203" s="464"/>
      <c r="CD203" s="464"/>
      <c r="CE203" s="464"/>
      <c r="CF203" s="464"/>
    </row>
    <row r="204" spans="72:84" ht="15" customHeight="1" x14ac:dyDescent="0.45">
      <c r="BT204" s="493"/>
      <c r="BW204" s="464"/>
      <c r="BX204" s="464"/>
      <c r="BY204" s="464"/>
      <c r="BZ204" s="464"/>
      <c r="CA204" s="464"/>
      <c r="CB204" s="464"/>
      <c r="CC204" s="464"/>
      <c r="CD204" s="464"/>
      <c r="CE204" s="464"/>
      <c r="CF204" s="464"/>
    </row>
    <row r="205" spans="72:84" ht="15" customHeight="1" x14ac:dyDescent="0.45">
      <c r="BT205" s="493"/>
      <c r="BW205" s="464"/>
      <c r="BX205" s="464"/>
      <c r="BY205" s="464"/>
      <c r="BZ205" s="464"/>
      <c r="CA205" s="464"/>
      <c r="CB205" s="464"/>
      <c r="CC205" s="464"/>
      <c r="CD205" s="464"/>
      <c r="CE205" s="464"/>
      <c r="CF205" s="464"/>
    </row>
    <row r="206" spans="72:84" ht="15" customHeight="1" x14ac:dyDescent="0.45">
      <c r="BT206" s="493"/>
      <c r="BW206" s="464"/>
      <c r="BX206" s="464"/>
      <c r="BY206" s="464"/>
      <c r="BZ206" s="464"/>
      <c r="CA206" s="464"/>
      <c r="CB206" s="464"/>
      <c r="CC206" s="464"/>
      <c r="CD206" s="464"/>
      <c r="CE206" s="464"/>
      <c r="CF206" s="464"/>
    </row>
    <row r="207" spans="72:84" ht="15" customHeight="1" x14ac:dyDescent="0.45">
      <c r="BT207" s="493"/>
      <c r="BW207" s="464"/>
      <c r="BX207" s="464"/>
      <c r="BY207" s="464"/>
      <c r="BZ207" s="464"/>
      <c r="CA207" s="464"/>
      <c r="CB207" s="464"/>
      <c r="CC207" s="464"/>
      <c r="CD207" s="464"/>
      <c r="CE207" s="464"/>
      <c r="CF207" s="464"/>
    </row>
    <row r="208" spans="72:84" ht="15" customHeight="1" x14ac:dyDescent="0.45">
      <c r="BT208" s="493"/>
      <c r="BW208" s="464"/>
      <c r="BX208" s="464"/>
      <c r="BY208" s="464"/>
      <c r="BZ208" s="464"/>
      <c r="CA208" s="464"/>
      <c r="CB208" s="464"/>
      <c r="CC208" s="464"/>
      <c r="CD208" s="464"/>
      <c r="CE208" s="464"/>
      <c r="CF208" s="464"/>
    </row>
    <row r="209" spans="72:84" ht="15" customHeight="1" x14ac:dyDescent="0.45">
      <c r="BT209" s="493"/>
      <c r="BW209" s="464"/>
      <c r="BX209" s="464"/>
      <c r="BY209" s="464"/>
      <c r="BZ209" s="464"/>
      <c r="CA209" s="464"/>
      <c r="CB209" s="464"/>
      <c r="CC209" s="464"/>
      <c r="CD209" s="464"/>
      <c r="CE209" s="464"/>
      <c r="CF209" s="464"/>
    </row>
    <row r="210" spans="72:84" ht="15" customHeight="1" x14ac:dyDescent="0.45">
      <c r="BT210" s="493"/>
      <c r="BW210" s="464"/>
      <c r="BX210" s="464"/>
      <c r="BY210" s="464"/>
      <c r="BZ210" s="464"/>
      <c r="CA210" s="464"/>
      <c r="CB210" s="464"/>
      <c r="CC210" s="464"/>
      <c r="CD210" s="464"/>
      <c r="CE210" s="464"/>
      <c r="CF210" s="464"/>
    </row>
    <row r="211" spans="72:84" ht="15" customHeight="1" x14ac:dyDescent="0.45">
      <c r="BT211" s="493"/>
      <c r="BW211" s="464"/>
      <c r="BX211" s="464"/>
      <c r="BY211" s="464"/>
      <c r="BZ211" s="464"/>
      <c r="CA211" s="464"/>
      <c r="CB211" s="464"/>
      <c r="CC211" s="464"/>
      <c r="CD211" s="464"/>
      <c r="CE211" s="464"/>
      <c r="CF211" s="464"/>
    </row>
    <row r="212" spans="72:84" ht="15" customHeight="1" x14ac:dyDescent="0.45">
      <c r="BT212" s="493"/>
      <c r="BW212" s="464"/>
      <c r="BX212" s="464"/>
      <c r="BY212" s="464"/>
      <c r="BZ212" s="464"/>
      <c r="CA212" s="464"/>
      <c r="CB212" s="464"/>
      <c r="CC212" s="464"/>
      <c r="CD212" s="464"/>
      <c r="CE212" s="464"/>
      <c r="CF212" s="464"/>
    </row>
    <row r="213" spans="72:84" ht="15" customHeight="1" x14ac:dyDescent="0.45">
      <c r="BT213" s="493"/>
      <c r="BW213" s="464"/>
      <c r="BX213" s="464"/>
      <c r="BY213" s="464"/>
      <c r="BZ213" s="464"/>
      <c r="CA213" s="464"/>
      <c r="CB213" s="464"/>
      <c r="CC213" s="464"/>
      <c r="CD213" s="464"/>
      <c r="CE213" s="464"/>
      <c r="CF213" s="464"/>
    </row>
    <row r="214" spans="72:84" ht="15" customHeight="1" x14ac:dyDescent="0.45">
      <c r="BT214" s="493"/>
      <c r="BW214" s="464"/>
      <c r="BX214" s="464"/>
      <c r="BY214" s="464"/>
      <c r="BZ214" s="464"/>
      <c r="CA214" s="464"/>
      <c r="CB214" s="464"/>
      <c r="CC214" s="464"/>
      <c r="CD214" s="464"/>
      <c r="CE214" s="464"/>
      <c r="CF214" s="464"/>
    </row>
    <row r="215" spans="72:84" ht="15" customHeight="1" x14ac:dyDescent="0.45">
      <c r="BT215" s="493"/>
      <c r="BW215" s="464"/>
      <c r="BX215" s="464"/>
      <c r="BY215" s="464"/>
      <c r="BZ215" s="464"/>
      <c r="CA215" s="464"/>
      <c r="CB215" s="464"/>
      <c r="CC215" s="464"/>
      <c r="CD215" s="464"/>
      <c r="CE215" s="464"/>
      <c r="CF215" s="464"/>
    </row>
    <row r="216" spans="72:84" ht="15" customHeight="1" x14ac:dyDescent="0.45">
      <c r="BT216" s="493"/>
      <c r="BW216" s="464"/>
      <c r="BX216" s="464"/>
      <c r="BY216" s="464"/>
      <c r="BZ216" s="464"/>
      <c r="CA216" s="464"/>
      <c r="CB216" s="464"/>
      <c r="CC216" s="464"/>
      <c r="CD216" s="464"/>
      <c r="CE216" s="464"/>
      <c r="CF216" s="464"/>
    </row>
    <row r="217" spans="72:84" ht="15" customHeight="1" x14ac:dyDescent="0.45">
      <c r="BT217" s="493"/>
      <c r="BW217" s="464"/>
      <c r="BX217" s="464"/>
      <c r="BY217" s="464"/>
      <c r="BZ217" s="464"/>
      <c r="CA217" s="464"/>
      <c r="CB217" s="464"/>
      <c r="CC217" s="464"/>
      <c r="CD217" s="464"/>
      <c r="CE217" s="464"/>
      <c r="CF217" s="464"/>
    </row>
    <row r="218" spans="72:84" ht="15" customHeight="1" x14ac:dyDescent="0.45">
      <c r="BT218" s="493"/>
      <c r="BW218" s="464"/>
      <c r="BX218" s="464"/>
      <c r="BY218" s="464"/>
      <c r="BZ218" s="464"/>
      <c r="CA218" s="464"/>
      <c r="CB218" s="464"/>
      <c r="CC218" s="464"/>
      <c r="CD218" s="464"/>
      <c r="CE218" s="464"/>
      <c r="CF218" s="464"/>
    </row>
    <row r="219" spans="72:84" ht="15" customHeight="1" x14ac:dyDescent="0.45">
      <c r="BT219" s="493"/>
      <c r="BW219" s="464"/>
      <c r="BX219" s="464"/>
      <c r="BY219" s="464"/>
      <c r="BZ219" s="464"/>
      <c r="CA219" s="464"/>
      <c r="CB219" s="464"/>
      <c r="CC219" s="464"/>
      <c r="CD219" s="464"/>
      <c r="CE219" s="464"/>
      <c r="CF219" s="464"/>
    </row>
    <row r="220" spans="72:84" ht="15" customHeight="1" x14ac:dyDescent="0.45">
      <c r="BT220" s="493"/>
      <c r="BW220" s="464"/>
      <c r="BX220" s="464"/>
      <c r="BY220" s="464"/>
      <c r="BZ220" s="464"/>
      <c r="CA220" s="464"/>
      <c r="CB220" s="464"/>
      <c r="CC220" s="464"/>
      <c r="CD220" s="464"/>
      <c r="CE220" s="464"/>
      <c r="CF220" s="464"/>
    </row>
    <row r="221" spans="72:84" ht="15" customHeight="1" x14ac:dyDescent="0.45">
      <c r="BT221" s="493"/>
      <c r="BW221" s="464"/>
      <c r="BX221" s="464"/>
      <c r="BY221" s="464"/>
      <c r="BZ221" s="464"/>
      <c r="CA221" s="464"/>
      <c r="CB221" s="464"/>
      <c r="CC221" s="464"/>
      <c r="CD221" s="464"/>
      <c r="CE221" s="464"/>
      <c r="CF221" s="464"/>
    </row>
    <row r="222" spans="72:84" ht="15" customHeight="1" x14ac:dyDescent="0.45">
      <c r="BT222" s="493"/>
      <c r="BW222" s="464"/>
      <c r="BX222" s="464"/>
      <c r="BY222" s="464"/>
      <c r="BZ222" s="464"/>
      <c r="CA222" s="464"/>
      <c r="CB222" s="464"/>
      <c r="CC222" s="464"/>
      <c r="CD222" s="464"/>
      <c r="CE222" s="464"/>
      <c r="CF222" s="464"/>
    </row>
    <row r="223" spans="72:84" ht="15" customHeight="1" x14ac:dyDescent="0.45">
      <c r="BT223" s="493"/>
      <c r="BW223" s="464"/>
      <c r="BX223" s="464"/>
      <c r="BY223" s="464"/>
      <c r="BZ223" s="464"/>
      <c r="CA223" s="464"/>
      <c r="CB223" s="464"/>
      <c r="CC223" s="464"/>
      <c r="CD223" s="464"/>
      <c r="CE223" s="464"/>
      <c r="CF223" s="464"/>
    </row>
    <row r="224" spans="72:84" ht="15" customHeight="1" x14ac:dyDescent="0.45">
      <c r="BT224" s="493"/>
      <c r="BW224" s="464"/>
      <c r="BX224" s="464"/>
      <c r="BY224" s="464"/>
      <c r="BZ224" s="464"/>
      <c r="CA224" s="464"/>
      <c r="CB224" s="464"/>
      <c r="CC224" s="464"/>
      <c r="CD224" s="464"/>
      <c r="CE224" s="464"/>
      <c r="CF224" s="464"/>
    </row>
    <row r="225" spans="72:84" ht="15" customHeight="1" x14ac:dyDescent="0.45">
      <c r="BT225" s="493"/>
      <c r="BW225" s="464"/>
      <c r="BX225" s="464"/>
      <c r="BY225" s="464"/>
      <c r="BZ225" s="464"/>
      <c r="CA225" s="464"/>
      <c r="CB225" s="464"/>
      <c r="CC225" s="464"/>
      <c r="CD225" s="464"/>
      <c r="CE225" s="464"/>
      <c r="CF225" s="464"/>
    </row>
    <row r="226" spans="72:84" ht="15" customHeight="1" x14ac:dyDescent="0.45">
      <c r="BT226" s="493"/>
      <c r="BW226" s="464"/>
      <c r="BX226" s="464"/>
      <c r="BY226" s="464"/>
      <c r="BZ226" s="464"/>
      <c r="CA226" s="464"/>
      <c r="CB226" s="464"/>
      <c r="CC226" s="464"/>
      <c r="CD226" s="464"/>
      <c r="CE226" s="464"/>
      <c r="CF226" s="464"/>
    </row>
    <row r="227" spans="72:84" ht="15" customHeight="1" x14ac:dyDescent="0.45">
      <c r="BT227" s="493"/>
      <c r="BW227" s="464"/>
      <c r="BX227" s="464"/>
      <c r="BY227" s="464"/>
      <c r="BZ227" s="464"/>
      <c r="CA227" s="464"/>
      <c r="CB227" s="464"/>
      <c r="CC227" s="464"/>
      <c r="CD227" s="464"/>
      <c r="CE227" s="464"/>
      <c r="CF227" s="464"/>
    </row>
    <row r="228" spans="72:84" ht="15" customHeight="1" x14ac:dyDescent="0.45">
      <c r="BT228" s="493"/>
      <c r="BW228" s="464"/>
      <c r="BX228" s="464"/>
      <c r="BY228" s="464"/>
      <c r="BZ228" s="464"/>
      <c r="CA228" s="464"/>
      <c r="CB228" s="464"/>
      <c r="CC228" s="464"/>
      <c r="CD228" s="464"/>
      <c r="CE228" s="464"/>
      <c r="CF228" s="464"/>
    </row>
    <row r="229" spans="72:84" ht="15" customHeight="1" x14ac:dyDescent="0.45">
      <c r="BT229" s="493"/>
      <c r="BW229" s="464"/>
      <c r="BX229" s="464"/>
      <c r="BY229" s="464"/>
      <c r="BZ229" s="464"/>
      <c r="CA229" s="464"/>
      <c r="CB229" s="464"/>
      <c r="CC229" s="464"/>
      <c r="CD229" s="464"/>
      <c r="CE229" s="464"/>
      <c r="CF229" s="464"/>
    </row>
    <row r="230" spans="72:84" ht="15" customHeight="1" x14ac:dyDescent="0.45">
      <c r="BT230" s="493"/>
      <c r="BW230" s="464"/>
      <c r="BX230" s="464"/>
      <c r="BY230" s="464"/>
      <c r="BZ230" s="464"/>
      <c r="CA230" s="464"/>
      <c r="CB230" s="464"/>
      <c r="CC230" s="464"/>
      <c r="CD230" s="464"/>
      <c r="CE230" s="464"/>
      <c r="CF230" s="464"/>
    </row>
    <row r="231" spans="72:84" ht="15" customHeight="1" x14ac:dyDescent="0.45">
      <c r="BT231" s="493"/>
      <c r="BW231" s="464"/>
      <c r="BX231" s="464"/>
      <c r="BY231" s="464"/>
      <c r="BZ231" s="464"/>
      <c r="CA231" s="464"/>
      <c r="CB231" s="464"/>
      <c r="CC231" s="464"/>
      <c r="CD231" s="464"/>
      <c r="CE231" s="464"/>
      <c r="CF231" s="464"/>
    </row>
    <row r="232" spans="72:84" ht="15" customHeight="1" x14ac:dyDescent="0.45">
      <c r="BT232" s="493"/>
      <c r="BW232" s="464"/>
      <c r="BX232" s="464"/>
      <c r="BY232" s="464"/>
      <c r="BZ232" s="464"/>
      <c r="CA232" s="464"/>
      <c r="CB232" s="464"/>
      <c r="CC232" s="464"/>
      <c r="CD232" s="464"/>
      <c r="CE232" s="464"/>
      <c r="CF232" s="464"/>
    </row>
    <row r="233" spans="72:84" ht="15" customHeight="1" x14ac:dyDescent="0.45">
      <c r="BT233" s="493"/>
      <c r="BW233" s="464"/>
      <c r="BX233" s="464"/>
      <c r="BY233" s="464"/>
      <c r="BZ233" s="464"/>
      <c r="CA233" s="464"/>
      <c r="CB233" s="464"/>
      <c r="CC233" s="464"/>
      <c r="CD233" s="464"/>
      <c r="CE233" s="464"/>
      <c r="CF233" s="464"/>
    </row>
    <row r="234" spans="72:84" ht="15" customHeight="1" x14ac:dyDescent="0.45">
      <c r="BT234" s="493"/>
      <c r="BW234" s="464"/>
      <c r="BX234" s="464"/>
      <c r="BY234" s="464"/>
      <c r="BZ234" s="464"/>
      <c r="CA234" s="464"/>
      <c r="CB234" s="464"/>
      <c r="CC234" s="464"/>
      <c r="CD234" s="464"/>
      <c r="CE234" s="464"/>
      <c r="CF234" s="464"/>
    </row>
    <row r="235" spans="72:84" ht="15" customHeight="1" x14ac:dyDescent="0.45">
      <c r="BT235" s="493"/>
      <c r="BW235" s="464"/>
      <c r="BX235" s="464"/>
      <c r="BY235" s="464"/>
      <c r="BZ235" s="464"/>
      <c r="CA235" s="464"/>
      <c r="CB235" s="464"/>
      <c r="CC235" s="464"/>
      <c r="CD235" s="464"/>
      <c r="CE235" s="464"/>
      <c r="CF235" s="464"/>
    </row>
    <row r="236" spans="72:84" ht="15" customHeight="1" x14ac:dyDescent="0.45">
      <c r="BT236" s="493"/>
      <c r="BW236" s="464"/>
      <c r="BX236" s="464"/>
      <c r="BY236" s="464"/>
      <c r="BZ236" s="464"/>
      <c r="CA236" s="464"/>
      <c r="CB236" s="464"/>
      <c r="CC236" s="464"/>
      <c r="CD236" s="464"/>
      <c r="CE236" s="464"/>
      <c r="CF236" s="464"/>
    </row>
    <row r="237" spans="72:84" ht="15" customHeight="1" x14ac:dyDescent="0.45">
      <c r="BT237" s="493"/>
      <c r="BW237" s="464"/>
      <c r="BX237" s="464"/>
      <c r="BY237" s="464"/>
      <c r="BZ237" s="464"/>
      <c r="CA237" s="464"/>
      <c r="CB237" s="464"/>
      <c r="CC237" s="464"/>
      <c r="CD237" s="464"/>
      <c r="CE237" s="464"/>
      <c r="CF237" s="464"/>
    </row>
    <row r="238" spans="72:84" ht="15" customHeight="1" x14ac:dyDescent="0.45">
      <c r="BT238" s="493"/>
      <c r="BW238" s="464"/>
      <c r="BX238" s="464"/>
      <c r="BY238" s="464"/>
      <c r="BZ238" s="464"/>
      <c r="CA238" s="464"/>
      <c r="CB238" s="464"/>
      <c r="CC238" s="464"/>
      <c r="CD238" s="464"/>
      <c r="CE238" s="464"/>
      <c r="CF238" s="464"/>
    </row>
    <row r="239" spans="72:84" ht="15" customHeight="1" x14ac:dyDescent="0.45">
      <c r="BT239" s="493"/>
      <c r="BW239" s="464"/>
      <c r="BX239" s="464"/>
      <c r="BY239" s="464"/>
      <c r="BZ239" s="464"/>
      <c r="CA239" s="464"/>
      <c r="CB239" s="464"/>
      <c r="CC239" s="464"/>
      <c r="CD239" s="464"/>
      <c r="CE239" s="464"/>
      <c r="CF239" s="464"/>
    </row>
    <row r="240" spans="72:84" ht="15" customHeight="1" x14ac:dyDescent="0.45">
      <c r="BT240" s="493"/>
      <c r="BW240" s="464"/>
      <c r="BX240" s="464"/>
      <c r="BY240" s="464"/>
      <c r="BZ240" s="464"/>
      <c r="CA240" s="464"/>
      <c r="CB240" s="464"/>
      <c r="CC240" s="464"/>
      <c r="CD240" s="464"/>
      <c r="CE240" s="464"/>
      <c r="CF240" s="464"/>
    </row>
    <row r="241" spans="72:84" ht="15" customHeight="1" x14ac:dyDescent="0.45">
      <c r="BT241" s="493"/>
      <c r="BW241" s="464"/>
      <c r="BX241" s="464"/>
      <c r="BY241" s="464"/>
      <c r="BZ241" s="464"/>
      <c r="CA241" s="464"/>
      <c r="CB241" s="464"/>
      <c r="CC241" s="464"/>
      <c r="CD241" s="464"/>
      <c r="CE241" s="464"/>
      <c r="CF241" s="464"/>
    </row>
    <row r="242" spans="72:84" ht="15" customHeight="1" x14ac:dyDescent="0.45">
      <c r="BT242" s="493"/>
      <c r="BW242" s="464"/>
      <c r="BX242" s="464"/>
      <c r="BY242" s="464"/>
      <c r="BZ242" s="464"/>
      <c r="CA242" s="464"/>
      <c r="CB242" s="464"/>
      <c r="CC242" s="464"/>
      <c r="CD242" s="464"/>
      <c r="CE242" s="464"/>
      <c r="CF242" s="464"/>
    </row>
    <row r="243" spans="72:84" ht="15" customHeight="1" x14ac:dyDescent="0.45">
      <c r="BT243" s="493"/>
      <c r="BW243" s="464"/>
      <c r="BX243" s="464"/>
      <c r="BY243" s="464"/>
      <c r="BZ243" s="464"/>
      <c r="CA243" s="464"/>
      <c r="CB243" s="464"/>
      <c r="CC243" s="464"/>
      <c r="CD243" s="464"/>
      <c r="CE243" s="464"/>
      <c r="CF243" s="464"/>
    </row>
    <row r="244" spans="72:84" ht="15" customHeight="1" x14ac:dyDescent="0.45">
      <c r="BT244" s="493"/>
      <c r="BW244" s="464"/>
      <c r="BX244" s="464"/>
      <c r="BY244" s="464"/>
      <c r="BZ244" s="464"/>
      <c r="CA244" s="464"/>
      <c r="CB244" s="464"/>
      <c r="CC244" s="464"/>
      <c r="CD244" s="464"/>
      <c r="CE244" s="464"/>
      <c r="CF244" s="464"/>
    </row>
    <row r="245" spans="72:84" ht="15" customHeight="1" x14ac:dyDescent="0.45">
      <c r="BT245" s="493"/>
      <c r="BW245" s="464"/>
      <c r="BX245" s="464"/>
      <c r="BY245" s="464"/>
      <c r="BZ245" s="464"/>
      <c r="CA245" s="464"/>
      <c r="CB245" s="464"/>
      <c r="CC245" s="464"/>
      <c r="CD245" s="464"/>
      <c r="CE245" s="464"/>
      <c r="CF245" s="464"/>
    </row>
    <row r="246" spans="72:84" ht="15" customHeight="1" x14ac:dyDescent="0.45">
      <c r="BT246" s="493"/>
      <c r="BW246" s="464"/>
      <c r="BX246" s="464"/>
      <c r="BY246" s="464"/>
      <c r="BZ246" s="464"/>
      <c r="CA246" s="464"/>
      <c r="CB246" s="464"/>
      <c r="CC246" s="464"/>
      <c r="CD246" s="464"/>
      <c r="CE246" s="464"/>
      <c r="CF246" s="464"/>
    </row>
    <row r="247" spans="72:84" ht="15" customHeight="1" x14ac:dyDescent="0.45">
      <c r="BT247" s="493"/>
      <c r="BW247" s="464"/>
      <c r="BX247" s="464"/>
      <c r="BY247" s="464"/>
      <c r="BZ247" s="464"/>
      <c r="CA247" s="464"/>
      <c r="CB247" s="464"/>
      <c r="CC247" s="464"/>
      <c r="CD247" s="464"/>
      <c r="CE247" s="464"/>
      <c r="CF247" s="464"/>
    </row>
    <row r="248" spans="72:84" ht="15" customHeight="1" x14ac:dyDescent="0.45">
      <c r="BT248" s="493"/>
      <c r="BW248" s="464"/>
      <c r="BX248" s="464"/>
      <c r="BY248" s="464"/>
      <c r="BZ248" s="464"/>
      <c r="CA248" s="464"/>
      <c r="CB248" s="464"/>
      <c r="CC248" s="464"/>
      <c r="CD248" s="464"/>
      <c r="CE248" s="464"/>
      <c r="CF248" s="464"/>
    </row>
    <row r="249" spans="72:84" ht="15" customHeight="1" x14ac:dyDescent="0.45">
      <c r="BT249" s="493"/>
      <c r="BW249" s="464"/>
      <c r="BX249" s="464"/>
      <c r="BY249" s="464"/>
      <c r="BZ249" s="464"/>
      <c r="CA249" s="464"/>
      <c r="CB249" s="464"/>
      <c r="CC249" s="464"/>
      <c r="CD249" s="464"/>
      <c r="CE249" s="464"/>
      <c r="CF249" s="464"/>
    </row>
    <row r="250" spans="72:84" ht="15" customHeight="1" x14ac:dyDescent="0.45">
      <c r="BT250" s="493"/>
      <c r="BW250" s="464"/>
      <c r="BX250" s="464"/>
      <c r="BY250" s="464"/>
      <c r="BZ250" s="464"/>
      <c r="CA250" s="464"/>
      <c r="CB250" s="464"/>
      <c r="CC250" s="464"/>
      <c r="CD250" s="464"/>
      <c r="CE250" s="464"/>
      <c r="CF250" s="464"/>
    </row>
    <row r="251" spans="72:84" ht="15" customHeight="1" x14ac:dyDescent="0.45">
      <c r="BT251" s="493"/>
      <c r="BW251" s="464"/>
      <c r="BX251" s="464"/>
      <c r="BY251" s="464"/>
      <c r="BZ251" s="464"/>
      <c r="CA251" s="464"/>
      <c r="CB251" s="464"/>
      <c r="CC251" s="464"/>
      <c r="CD251" s="464"/>
      <c r="CE251" s="464"/>
      <c r="CF251" s="464"/>
    </row>
    <row r="252" spans="72:84" ht="15" customHeight="1" x14ac:dyDescent="0.45">
      <c r="BT252" s="493"/>
      <c r="BW252" s="464"/>
      <c r="BX252" s="464"/>
      <c r="BY252" s="464"/>
      <c r="BZ252" s="464"/>
      <c r="CA252" s="464"/>
      <c r="CB252" s="464"/>
      <c r="CC252" s="464"/>
      <c r="CD252" s="464"/>
      <c r="CE252" s="464"/>
      <c r="CF252" s="464"/>
    </row>
    <row r="253" spans="72:84" ht="15" customHeight="1" x14ac:dyDescent="0.45">
      <c r="BT253" s="493"/>
      <c r="BW253" s="464"/>
      <c r="BX253" s="464"/>
      <c r="BY253" s="464"/>
      <c r="BZ253" s="464"/>
      <c r="CA253" s="464"/>
      <c r="CB253" s="464"/>
      <c r="CC253" s="464"/>
      <c r="CD253" s="464"/>
      <c r="CE253" s="464"/>
      <c r="CF253" s="464"/>
    </row>
    <row r="254" spans="72:84" ht="15" customHeight="1" x14ac:dyDescent="0.45">
      <c r="BT254" s="493"/>
      <c r="BW254" s="464"/>
      <c r="BX254" s="464"/>
      <c r="BY254" s="464"/>
      <c r="BZ254" s="464"/>
      <c r="CA254" s="464"/>
      <c r="CB254" s="464"/>
      <c r="CC254" s="464"/>
      <c r="CD254" s="464"/>
      <c r="CE254" s="464"/>
      <c r="CF254" s="464"/>
    </row>
    <row r="255" spans="72:84" ht="15" customHeight="1" x14ac:dyDescent="0.45">
      <c r="BT255" s="493"/>
      <c r="BW255" s="464"/>
      <c r="BX255" s="464"/>
      <c r="BY255" s="464"/>
      <c r="BZ255" s="464"/>
      <c r="CA255" s="464"/>
      <c r="CB255" s="464"/>
      <c r="CC255" s="464"/>
      <c r="CD255" s="464"/>
      <c r="CE255" s="464"/>
      <c r="CF255" s="464"/>
    </row>
    <row r="256" spans="72:84" ht="15" customHeight="1" x14ac:dyDescent="0.45">
      <c r="BT256" s="493"/>
      <c r="BW256" s="464"/>
      <c r="BX256" s="464"/>
      <c r="BY256" s="464"/>
      <c r="BZ256" s="464"/>
      <c r="CA256" s="464"/>
      <c r="CB256" s="464"/>
      <c r="CC256" s="464"/>
      <c r="CD256" s="464"/>
      <c r="CE256" s="464"/>
      <c r="CF256" s="464"/>
    </row>
    <row r="257" spans="72:84" ht="15" customHeight="1" x14ac:dyDescent="0.45">
      <c r="BT257" s="493"/>
      <c r="BW257" s="464"/>
      <c r="BX257" s="464"/>
      <c r="BY257" s="464"/>
      <c r="BZ257" s="464"/>
      <c r="CA257" s="464"/>
      <c r="CB257" s="464"/>
      <c r="CC257" s="464"/>
      <c r="CD257" s="464"/>
      <c r="CE257" s="464"/>
      <c r="CF257" s="464"/>
    </row>
    <row r="258" spans="72:84" ht="15" customHeight="1" x14ac:dyDescent="0.45">
      <c r="BT258" s="493"/>
      <c r="BW258" s="464"/>
      <c r="BX258" s="464"/>
      <c r="BY258" s="464"/>
      <c r="BZ258" s="464"/>
      <c r="CA258" s="464"/>
      <c r="CB258" s="464"/>
      <c r="CC258" s="464"/>
      <c r="CD258" s="464"/>
      <c r="CE258" s="464"/>
      <c r="CF258" s="464"/>
    </row>
    <row r="259" spans="72:84" ht="15" customHeight="1" x14ac:dyDescent="0.45">
      <c r="BT259" s="493"/>
      <c r="BW259" s="464"/>
      <c r="BX259" s="464"/>
      <c r="BY259" s="464"/>
      <c r="BZ259" s="464"/>
      <c r="CA259" s="464"/>
      <c r="CB259" s="464"/>
      <c r="CC259" s="464"/>
      <c r="CD259" s="464"/>
      <c r="CE259" s="464"/>
      <c r="CF259" s="464"/>
    </row>
    <row r="260" spans="72:84" ht="15" customHeight="1" x14ac:dyDescent="0.45">
      <c r="BT260" s="493"/>
      <c r="BW260" s="464"/>
      <c r="BX260" s="464"/>
      <c r="BY260" s="464"/>
      <c r="BZ260" s="464"/>
      <c r="CA260" s="464"/>
      <c r="CB260" s="464"/>
      <c r="CC260" s="464"/>
      <c r="CD260" s="464"/>
      <c r="CE260" s="464"/>
      <c r="CF260" s="464"/>
    </row>
    <row r="261" spans="72:84" ht="15" customHeight="1" x14ac:dyDescent="0.45">
      <c r="BT261" s="493"/>
      <c r="BW261" s="464"/>
      <c r="BX261" s="464"/>
      <c r="BY261" s="464"/>
      <c r="BZ261" s="464"/>
      <c r="CA261" s="464"/>
      <c r="CB261" s="464"/>
      <c r="CC261" s="464"/>
      <c r="CD261" s="464"/>
      <c r="CE261" s="464"/>
      <c r="CF261" s="464"/>
    </row>
    <row r="262" spans="72:84" ht="15" customHeight="1" x14ac:dyDescent="0.45">
      <c r="BT262" s="493"/>
      <c r="BW262" s="464"/>
      <c r="BX262" s="464"/>
      <c r="BY262" s="464"/>
      <c r="BZ262" s="464"/>
      <c r="CA262" s="464"/>
      <c r="CB262" s="464"/>
      <c r="CC262" s="464"/>
      <c r="CD262" s="464"/>
      <c r="CE262" s="464"/>
      <c r="CF262" s="464"/>
    </row>
    <row r="263" spans="72:84" ht="15" customHeight="1" x14ac:dyDescent="0.45">
      <c r="BT263" s="493"/>
      <c r="BW263" s="464"/>
      <c r="BX263" s="464"/>
      <c r="BY263" s="464"/>
      <c r="BZ263" s="464"/>
      <c r="CA263" s="464"/>
      <c r="CB263" s="464"/>
      <c r="CC263" s="464"/>
      <c r="CD263" s="464"/>
      <c r="CE263" s="464"/>
      <c r="CF263" s="464"/>
    </row>
    <row r="264" spans="72:84" ht="15" customHeight="1" x14ac:dyDescent="0.45">
      <c r="BT264" s="493"/>
      <c r="BW264" s="464"/>
      <c r="BX264" s="464"/>
      <c r="BY264" s="464"/>
      <c r="BZ264" s="464"/>
      <c r="CA264" s="464"/>
      <c r="CB264" s="464"/>
      <c r="CC264" s="464"/>
      <c r="CD264" s="464"/>
      <c r="CE264" s="464"/>
      <c r="CF264" s="464"/>
    </row>
    <row r="265" spans="72:84" ht="15" customHeight="1" x14ac:dyDescent="0.45">
      <c r="BT265" s="493"/>
      <c r="BW265" s="464"/>
      <c r="BX265" s="464"/>
      <c r="BY265" s="464"/>
      <c r="BZ265" s="464"/>
      <c r="CA265" s="464"/>
      <c r="CB265" s="464"/>
      <c r="CC265" s="464"/>
      <c r="CD265" s="464"/>
      <c r="CE265" s="464"/>
      <c r="CF265" s="464"/>
    </row>
    <row r="266" spans="72:84" ht="15" customHeight="1" x14ac:dyDescent="0.45">
      <c r="BT266" s="493"/>
      <c r="BW266" s="464"/>
      <c r="BX266" s="464"/>
      <c r="BY266" s="464"/>
      <c r="BZ266" s="464"/>
      <c r="CA266" s="464"/>
      <c r="CB266" s="464"/>
      <c r="CC266" s="464"/>
      <c r="CD266" s="464"/>
      <c r="CE266" s="464"/>
      <c r="CF266" s="464"/>
    </row>
    <row r="267" spans="72:84" ht="15" customHeight="1" x14ac:dyDescent="0.45">
      <c r="BT267" s="493"/>
      <c r="BW267" s="464"/>
      <c r="BX267" s="464"/>
      <c r="BY267" s="464"/>
      <c r="BZ267" s="464"/>
      <c r="CA267" s="464"/>
      <c r="CB267" s="464"/>
      <c r="CC267" s="464"/>
      <c r="CD267" s="464"/>
      <c r="CE267" s="464"/>
      <c r="CF267" s="464"/>
    </row>
    <row r="268" spans="72:84" ht="15" customHeight="1" x14ac:dyDescent="0.45">
      <c r="BT268" s="493"/>
      <c r="BW268" s="464"/>
      <c r="BX268" s="464"/>
      <c r="BY268" s="464"/>
      <c r="BZ268" s="464"/>
      <c r="CA268" s="464"/>
      <c r="CB268" s="464"/>
      <c r="CC268" s="464"/>
      <c r="CD268" s="464"/>
      <c r="CE268" s="464"/>
      <c r="CF268" s="464"/>
    </row>
    <row r="269" spans="72:84" ht="15" customHeight="1" x14ac:dyDescent="0.45">
      <c r="BT269" s="493"/>
      <c r="BW269" s="464"/>
      <c r="BX269" s="464"/>
      <c r="BY269" s="464"/>
      <c r="BZ269" s="464"/>
      <c r="CA269" s="464"/>
      <c r="CB269" s="464"/>
      <c r="CC269" s="464"/>
      <c r="CD269" s="464"/>
      <c r="CE269" s="464"/>
      <c r="CF269" s="464"/>
    </row>
    <row r="270" spans="72:84" ht="15" customHeight="1" x14ac:dyDescent="0.45">
      <c r="BT270" s="493"/>
      <c r="BW270" s="464"/>
      <c r="BX270" s="464"/>
      <c r="BY270" s="464"/>
      <c r="BZ270" s="464"/>
      <c r="CA270" s="464"/>
      <c r="CB270" s="464"/>
      <c r="CC270" s="464"/>
      <c r="CD270" s="464"/>
      <c r="CE270" s="464"/>
      <c r="CF270" s="464"/>
    </row>
    <row r="271" spans="72:84" ht="15" customHeight="1" x14ac:dyDescent="0.45">
      <c r="BT271" s="493"/>
      <c r="BW271" s="464"/>
      <c r="BX271" s="464"/>
      <c r="BY271" s="464"/>
      <c r="BZ271" s="464"/>
      <c r="CA271" s="464"/>
      <c r="CB271" s="464"/>
      <c r="CC271" s="464"/>
      <c r="CD271" s="464"/>
      <c r="CE271" s="464"/>
      <c r="CF271" s="464"/>
    </row>
    <row r="272" spans="72:84" ht="15" customHeight="1" x14ac:dyDescent="0.45">
      <c r="BT272" s="493"/>
      <c r="BW272" s="464"/>
      <c r="BX272" s="464"/>
      <c r="BY272" s="464"/>
      <c r="BZ272" s="464"/>
      <c r="CA272" s="464"/>
      <c r="CB272" s="464"/>
      <c r="CC272" s="464"/>
      <c r="CD272" s="464"/>
      <c r="CE272" s="464"/>
      <c r="CF272" s="464"/>
    </row>
    <row r="273" spans="72:84" ht="15" customHeight="1" x14ac:dyDescent="0.45">
      <c r="BT273" s="493"/>
      <c r="BW273" s="464"/>
      <c r="BX273" s="464"/>
      <c r="BY273" s="464"/>
      <c r="BZ273" s="464"/>
      <c r="CA273" s="464"/>
      <c r="CB273" s="464"/>
      <c r="CC273" s="464"/>
      <c r="CD273" s="464"/>
      <c r="CE273" s="464"/>
      <c r="CF273" s="464"/>
    </row>
    <row r="274" spans="72:84" ht="15" customHeight="1" x14ac:dyDescent="0.45">
      <c r="BT274" s="493"/>
      <c r="BW274" s="464"/>
      <c r="BX274" s="464"/>
      <c r="BY274" s="464"/>
      <c r="BZ274" s="464"/>
      <c r="CA274" s="464"/>
      <c r="CB274" s="464"/>
      <c r="CC274" s="464"/>
      <c r="CD274" s="464"/>
      <c r="CE274" s="464"/>
      <c r="CF274" s="464"/>
    </row>
    <row r="275" spans="72:84" ht="15" customHeight="1" x14ac:dyDescent="0.45">
      <c r="BT275" s="493"/>
      <c r="BW275" s="464"/>
      <c r="BX275" s="464"/>
      <c r="BY275" s="464"/>
      <c r="BZ275" s="464"/>
      <c r="CA275" s="464"/>
      <c r="CB275" s="464"/>
      <c r="CC275" s="464"/>
      <c r="CD275" s="464"/>
      <c r="CE275" s="464"/>
      <c r="CF275" s="464"/>
    </row>
    <row r="276" spans="72:84" ht="15" customHeight="1" x14ac:dyDescent="0.45">
      <c r="BT276" s="493"/>
      <c r="BW276" s="464"/>
      <c r="BX276" s="464"/>
      <c r="BY276" s="464"/>
      <c r="BZ276" s="464"/>
      <c r="CA276" s="464"/>
      <c r="CB276" s="464"/>
      <c r="CC276" s="464"/>
      <c r="CD276" s="464"/>
      <c r="CE276" s="464"/>
      <c r="CF276" s="464"/>
    </row>
    <row r="277" spans="72:84" ht="15" customHeight="1" x14ac:dyDescent="0.45">
      <c r="BT277" s="493"/>
      <c r="BW277" s="464"/>
      <c r="BX277" s="464"/>
      <c r="BY277" s="464"/>
      <c r="BZ277" s="464"/>
      <c r="CA277" s="464"/>
      <c r="CB277" s="464"/>
      <c r="CC277" s="464"/>
      <c r="CD277" s="464"/>
      <c r="CE277" s="464"/>
      <c r="CF277" s="464"/>
    </row>
    <row r="278" spans="72:84" ht="15" customHeight="1" x14ac:dyDescent="0.45">
      <c r="BT278" s="493"/>
      <c r="BW278" s="464"/>
      <c r="BX278" s="464"/>
      <c r="BY278" s="464"/>
      <c r="BZ278" s="464"/>
      <c r="CA278" s="464"/>
      <c r="CB278" s="464"/>
      <c r="CC278" s="464"/>
      <c r="CD278" s="464"/>
      <c r="CE278" s="464"/>
      <c r="CF278" s="464"/>
    </row>
    <row r="279" spans="72:84" ht="15" customHeight="1" x14ac:dyDescent="0.45">
      <c r="BT279" s="493"/>
      <c r="BW279" s="464"/>
      <c r="BX279" s="464"/>
      <c r="BY279" s="464"/>
      <c r="BZ279" s="464"/>
      <c r="CA279" s="464"/>
      <c r="CB279" s="464"/>
      <c r="CC279" s="464"/>
      <c r="CD279" s="464"/>
      <c r="CE279" s="464"/>
      <c r="CF279" s="464"/>
    </row>
    <row r="280" spans="72:84" ht="15" customHeight="1" x14ac:dyDescent="0.45">
      <c r="BT280" s="493"/>
      <c r="BW280" s="464"/>
      <c r="BX280" s="464"/>
      <c r="BY280" s="464"/>
      <c r="BZ280" s="464"/>
      <c r="CA280" s="464"/>
      <c r="CB280" s="464"/>
      <c r="CC280" s="464"/>
      <c r="CD280" s="464"/>
      <c r="CE280" s="464"/>
      <c r="CF280" s="464"/>
    </row>
    <row r="281" spans="72:84" ht="15" customHeight="1" x14ac:dyDescent="0.45">
      <c r="BT281" s="493"/>
      <c r="BW281" s="464"/>
      <c r="BX281" s="464"/>
      <c r="BY281" s="464"/>
      <c r="BZ281" s="464"/>
      <c r="CA281" s="464"/>
      <c r="CB281" s="464"/>
      <c r="CC281" s="464"/>
      <c r="CD281" s="464"/>
      <c r="CE281" s="464"/>
      <c r="CF281" s="464"/>
    </row>
    <row r="282" spans="72:84" ht="15" customHeight="1" x14ac:dyDescent="0.45">
      <c r="BT282" s="493"/>
      <c r="BW282" s="464"/>
      <c r="BX282" s="464"/>
      <c r="BY282" s="464"/>
      <c r="BZ282" s="464"/>
      <c r="CA282" s="464"/>
      <c r="CB282" s="464"/>
      <c r="CC282" s="464"/>
      <c r="CD282" s="464"/>
      <c r="CE282" s="464"/>
      <c r="CF282" s="464"/>
    </row>
    <row r="283" spans="72:84" ht="15" customHeight="1" x14ac:dyDescent="0.45">
      <c r="BT283" s="493"/>
      <c r="BW283" s="464"/>
      <c r="BX283" s="464"/>
      <c r="BY283" s="464"/>
      <c r="BZ283" s="464"/>
      <c r="CA283" s="464"/>
      <c r="CB283" s="464"/>
      <c r="CC283" s="464"/>
      <c r="CD283" s="464"/>
      <c r="CE283" s="464"/>
      <c r="CF283" s="464"/>
    </row>
    <row r="284" spans="72:84" ht="15" customHeight="1" x14ac:dyDescent="0.45">
      <c r="BT284" s="493"/>
      <c r="BW284" s="464"/>
      <c r="BX284" s="464"/>
      <c r="BY284" s="464"/>
      <c r="BZ284" s="464"/>
      <c r="CA284" s="464"/>
      <c r="CB284" s="464"/>
      <c r="CC284" s="464"/>
      <c r="CD284" s="464"/>
      <c r="CE284" s="464"/>
      <c r="CF284" s="464"/>
    </row>
    <row r="285" spans="72:84" ht="15" customHeight="1" x14ac:dyDescent="0.45">
      <c r="BT285" s="493"/>
      <c r="BW285" s="464"/>
      <c r="BX285" s="464"/>
      <c r="BY285" s="464"/>
      <c r="BZ285" s="464"/>
      <c r="CA285" s="464"/>
      <c r="CB285" s="464"/>
      <c r="CC285" s="464"/>
      <c r="CD285" s="464"/>
      <c r="CE285" s="464"/>
      <c r="CF285" s="464"/>
    </row>
    <row r="286" spans="72:84" ht="15" customHeight="1" x14ac:dyDescent="0.45">
      <c r="BT286" s="493"/>
      <c r="BW286" s="464"/>
      <c r="BX286" s="464"/>
      <c r="BY286" s="464"/>
      <c r="BZ286" s="464"/>
      <c r="CA286" s="464"/>
      <c r="CB286" s="464"/>
      <c r="CC286" s="464"/>
      <c r="CD286" s="464"/>
      <c r="CE286" s="464"/>
      <c r="CF286" s="464"/>
    </row>
    <row r="287" spans="72:84" ht="15" customHeight="1" x14ac:dyDescent="0.45">
      <c r="BT287" s="493"/>
      <c r="BW287" s="464"/>
      <c r="BX287" s="464"/>
      <c r="BY287" s="464"/>
      <c r="BZ287" s="464"/>
      <c r="CA287" s="464"/>
      <c r="CB287" s="464"/>
      <c r="CC287" s="464"/>
      <c r="CD287" s="464"/>
      <c r="CE287" s="464"/>
      <c r="CF287" s="464"/>
    </row>
    <row r="288" spans="72:84" ht="15" customHeight="1" x14ac:dyDescent="0.45">
      <c r="BT288" s="493"/>
      <c r="BW288" s="464"/>
      <c r="BX288" s="464"/>
      <c r="BY288" s="464"/>
      <c r="BZ288" s="464"/>
      <c r="CA288" s="464"/>
      <c r="CB288" s="464"/>
      <c r="CC288" s="464"/>
      <c r="CD288" s="464"/>
      <c r="CE288" s="464"/>
      <c r="CF288" s="464"/>
    </row>
    <row r="289" spans="72:84" ht="15" customHeight="1" x14ac:dyDescent="0.45">
      <c r="BT289" s="493"/>
      <c r="BW289" s="464"/>
      <c r="BX289" s="464"/>
      <c r="BY289" s="464"/>
      <c r="BZ289" s="464"/>
      <c r="CA289" s="464"/>
      <c r="CB289" s="464"/>
      <c r="CC289" s="464"/>
      <c r="CD289" s="464"/>
      <c r="CE289" s="464"/>
      <c r="CF289" s="464"/>
    </row>
    <row r="290" spans="72:84" ht="15" customHeight="1" x14ac:dyDescent="0.45">
      <c r="BT290" s="493"/>
      <c r="BW290" s="464"/>
      <c r="BX290" s="464"/>
      <c r="BY290" s="464"/>
      <c r="BZ290" s="464"/>
      <c r="CA290" s="464"/>
      <c r="CB290" s="464"/>
      <c r="CC290" s="464"/>
      <c r="CD290" s="464"/>
      <c r="CE290" s="464"/>
      <c r="CF290" s="464"/>
    </row>
    <row r="291" spans="72:84" ht="15" customHeight="1" x14ac:dyDescent="0.45">
      <c r="BT291" s="493"/>
      <c r="BW291" s="464"/>
      <c r="BX291" s="464"/>
      <c r="BY291" s="464"/>
      <c r="BZ291" s="464"/>
      <c r="CA291" s="464"/>
      <c r="CB291" s="464"/>
      <c r="CC291" s="464"/>
      <c r="CD291" s="464"/>
      <c r="CE291" s="464"/>
      <c r="CF291" s="464"/>
    </row>
    <row r="292" spans="72:84" ht="15" customHeight="1" x14ac:dyDescent="0.45">
      <c r="BT292" s="493"/>
      <c r="BW292" s="464"/>
      <c r="BX292" s="464"/>
      <c r="BY292" s="464"/>
      <c r="BZ292" s="464"/>
      <c r="CA292" s="464"/>
      <c r="CB292" s="464"/>
      <c r="CC292" s="464"/>
      <c r="CD292" s="464"/>
      <c r="CE292" s="464"/>
      <c r="CF292" s="464"/>
    </row>
    <row r="293" spans="72:84" ht="15" customHeight="1" x14ac:dyDescent="0.45">
      <c r="BT293" s="493"/>
      <c r="BW293" s="464"/>
      <c r="BX293" s="464"/>
      <c r="BY293" s="464"/>
      <c r="BZ293" s="464"/>
      <c r="CA293" s="464"/>
      <c r="CB293" s="464"/>
      <c r="CC293" s="464"/>
      <c r="CD293" s="464"/>
      <c r="CE293" s="464"/>
      <c r="CF293" s="464"/>
    </row>
    <row r="294" spans="72:84" ht="15" customHeight="1" x14ac:dyDescent="0.45">
      <c r="BT294" s="493"/>
      <c r="BW294" s="464"/>
      <c r="BX294" s="464"/>
      <c r="BY294" s="464"/>
      <c r="BZ294" s="464"/>
      <c r="CA294" s="464"/>
      <c r="CB294" s="464"/>
      <c r="CC294" s="464"/>
      <c r="CD294" s="464"/>
      <c r="CE294" s="464"/>
      <c r="CF294" s="464"/>
    </row>
    <row r="295" spans="72:84" ht="15" customHeight="1" x14ac:dyDescent="0.45">
      <c r="BT295" s="493"/>
      <c r="BW295" s="464"/>
      <c r="BX295" s="464"/>
      <c r="BY295" s="464"/>
      <c r="BZ295" s="464"/>
      <c r="CA295" s="464"/>
      <c r="CB295" s="464"/>
      <c r="CC295" s="464"/>
      <c r="CD295" s="464"/>
      <c r="CE295" s="464"/>
      <c r="CF295" s="464"/>
    </row>
    <row r="296" spans="72:84" ht="15" customHeight="1" x14ac:dyDescent="0.45">
      <c r="BT296" s="493"/>
      <c r="BW296" s="464"/>
      <c r="BX296" s="464"/>
      <c r="BY296" s="464"/>
      <c r="BZ296" s="464"/>
      <c r="CA296" s="464"/>
      <c r="CB296" s="464"/>
      <c r="CC296" s="464"/>
      <c r="CD296" s="464"/>
      <c r="CE296" s="464"/>
      <c r="CF296" s="464"/>
    </row>
    <row r="297" spans="72:84" ht="15" customHeight="1" x14ac:dyDescent="0.45">
      <c r="BT297" s="493"/>
      <c r="BW297" s="464"/>
      <c r="BX297" s="464"/>
      <c r="BY297" s="464"/>
      <c r="BZ297" s="464"/>
      <c r="CA297" s="464"/>
      <c r="CB297" s="464"/>
      <c r="CC297" s="464"/>
      <c r="CD297" s="464"/>
      <c r="CE297" s="464"/>
      <c r="CF297" s="464"/>
    </row>
    <row r="298" spans="72:84" ht="15" customHeight="1" x14ac:dyDescent="0.45">
      <c r="BT298" s="493"/>
      <c r="BW298" s="464"/>
      <c r="BX298" s="464"/>
      <c r="BY298" s="464"/>
      <c r="BZ298" s="464"/>
      <c r="CA298" s="464"/>
      <c r="CB298" s="464"/>
      <c r="CC298" s="464"/>
      <c r="CD298" s="464"/>
      <c r="CE298" s="464"/>
      <c r="CF298" s="464"/>
    </row>
    <row r="299" spans="72:84" ht="15" customHeight="1" x14ac:dyDescent="0.45">
      <c r="BT299" s="493"/>
      <c r="BW299" s="464"/>
      <c r="BX299" s="464"/>
      <c r="BY299" s="464"/>
      <c r="BZ299" s="464"/>
      <c r="CA299" s="464"/>
      <c r="CB299" s="464"/>
      <c r="CC299" s="464"/>
      <c r="CD299" s="464"/>
      <c r="CE299" s="464"/>
      <c r="CF299" s="464"/>
    </row>
    <row r="300" spans="72:84" ht="15" customHeight="1" x14ac:dyDescent="0.45">
      <c r="BT300" s="493"/>
      <c r="BW300" s="464"/>
      <c r="BX300" s="464"/>
      <c r="BY300" s="464"/>
      <c r="BZ300" s="464"/>
      <c r="CA300" s="464"/>
      <c r="CB300" s="464"/>
      <c r="CC300" s="464"/>
      <c r="CD300" s="464"/>
      <c r="CE300" s="464"/>
      <c r="CF300" s="464"/>
    </row>
    <row r="301" spans="72:84" ht="15" customHeight="1" x14ac:dyDescent="0.45">
      <c r="BT301" s="493"/>
      <c r="BW301" s="464"/>
      <c r="BX301" s="464"/>
      <c r="BY301" s="464"/>
      <c r="BZ301" s="464"/>
      <c r="CA301" s="464"/>
      <c r="CB301" s="464"/>
      <c r="CC301" s="464"/>
      <c r="CD301" s="464"/>
      <c r="CE301" s="464"/>
      <c r="CF301" s="464"/>
    </row>
    <row r="302" spans="72:84" ht="15" customHeight="1" x14ac:dyDescent="0.45">
      <c r="BT302" s="493"/>
      <c r="BW302" s="464"/>
      <c r="BX302" s="464"/>
      <c r="BY302" s="464"/>
      <c r="BZ302" s="464"/>
      <c r="CA302" s="464"/>
      <c r="CB302" s="464"/>
      <c r="CC302" s="464"/>
      <c r="CD302" s="464"/>
      <c r="CE302" s="464"/>
      <c r="CF302" s="464"/>
    </row>
    <row r="303" spans="72:84" ht="15" customHeight="1" x14ac:dyDescent="0.45">
      <c r="BT303" s="493"/>
      <c r="BW303" s="464"/>
      <c r="BX303" s="464"/>
      <c r="BY303" s="464"/>
      <c r="BZ303" s="464"/>
      <c r="CA303" s="464"/>
      <c r="CB303" s="464"/>
      <c r="CC303" s="464"/>
      <c r="CD303" s="464"/>
      <c r="CE303" s="464"/>
      <c r="CF303" s="464"/>
    </row>
    <row r="304" spans="72:84" ht="15" customHeight="1" x14ac:dyDescent="0.45">
      <c r="BT304" s="493"/>
      <c r="BW304" s="464"/>
      <c r="BX304" s="464"/>
      <c r="BY304" s="464"/>
      <c r="BZ304" s="464"/>
      <c r="CA304" s="464"/>
      <c r="CB304" s="464"/>
      <c r="CC304" s="464"/>
      <c r="CD304" s="464"/>
      <c r="CE304" s="464"/>
      <c r="CF304" s="464"/>
    </row>
    <row r="305" spans="72:84" ht="15" customHeight="1" x14ac:dyDescent="0.45">
      <c r="BT305" s="493"/>
      <c r="BW305" s="464"/>
      <c r="BX305" s="464"/>
      <c r="BY305" s="464"/>
      <c r="BZ305" s="464"/>
      <c r="CA305" s="464"/>
      <c r="CB305" s="464"/>
      <c r="CC305" s="464"/>
      <c r="CD305" s="464"/>
      <c r="CE305" s="464"/>
      <c r="CF305" s="464"/>
    </row>
    <row r="306" spans="72:84" ht="15" customHeight="1" x14ac:dyDescent="0.45">
      <c r="BT306" s="493"/>
      <c r="BW306" s="464"/>
      <c r="BX306" s="464"/>
      <c r="BY306" s="464"/>
      <c r="BZ306" s="464"/>
      <c r="CA306" s="464"/>
      <c r="CB306" s="464"/>
      <c r="CC306" s="464"/>
      <c r="CD306" s="464"/>
      <c r="CE306" s="464"/>
      <c r="CF306" s="464"/>
    </row>
    <row r="307" spans="72:84" ht="15" customHeight="1" x14ac:dyDescent="0.45">
      <c r="BT307" s="493"/>
      <c r="BW307" s="464"/>
      <c r="BX307" s="464"/>
      <c r="BY307" s="464"/>
      <c r="BZ307" s="464"/>
      <c r="CA307" s="464"/>
      <c r="CB307" s="464"/>
      <c r="CC307" s="464"/>
      <c r="CD307" s="464"/>
      <c r="CE307" s="464"/>
      <c r="CF307" s="464"/>
    </row>
    <row r="308" spans="72:84" ht="15" customHeight="1" x14ac:dyDescent="0.45">
      <c r="BT308" s="493"/>
      <c r="BW308" s="464"/>
      <c r="BX308" s="464"/>
      <c r="BY308" s="464"/>
      <c r="BZ308" s="464"/>
      <c r="CA308" s="464"/>
      <c r="CB308" s="464"/>
      <c r="CC308" s="464"/>
      <c r="CD308" s="464"/>
      <c r="CE308" s="464"/>
      <c r="CF308" s="464"/>
    </row>
    <row r="309" spans="72:84" ht="15" customHeight="1" x14ac:dyDescent="0.45">
      <c r="BT309" s="493"/>
      <c r="BW309" s="464"/>
      <c r="BX309" s="464"/>
      <c r="BY309" s="464"/>
      <c r="BZ309" s="464"/>
      <c r="CA309" s="464"/>
      <c r="CB309" s="464"/>
      <c r="CC309" s="464"/>
      <c r="CD309" s="464"/>
      <c r="CE309" s="464"/>
      <c r="CF309" s="464"/>
    </row>
    <row r="310" spans="72:84" ht="15" customHeight="1" x14ac:dyDescent="0.45">
      <c r="BT310" s="493"/>
      <c r="BW310" s="464"/>
      <c r="BX310" s="464"/>
      <c r="BY310" s="464"/>
      <c r="BZ310" s="464"/>
      <c r="CA310" s="464"/>
      <c r="CB310" s="464"/>
      <c r="CC310" s="464"/>
      <c r="CD310" s="464"/>
      <c r="CE310" s="464"/>
      <c r="CF310" s="464"/>
    </row>
    <row r="311" spans="72:84" ht="15" customHeight="1" x14ac:dyDescent="0.45">
      <c r="BT311" s="493"/>
      <c r="BW311" s="464"/>
      <c r="BX311" s="464"/>
      <c r="BY311" s="464"/>
      <c r="BZ311" s="464"/>
      <c r="CA311" s="464"/>
      <c r="CB311" s="464"/>
      <c r="CC311" s="464"/>
      <c r="CD311" s="464"/>
      <c r="CE311" s="464"/>
      <c r="CF311" s="464"/>
    </row>
    <row r="312" spans="72:84" ht="15" customHeight="1" x14ac:dyDescent="0.45">
      <c r="BT312" s="493"/>
      <c r="BW312" s="464"/>
      <c r="BX312" s="464"/>
      <c r="BY312" s="464"/>
      <c r="BZ312" s="464"/>
      <c r="CA312" s="464"/>
      <c r="CB312" s="464"/>
      <c r="CC312" s="464"/>
      <c r="CD312" s="464"/>
      <c r="CE312" s="464"/>
      <c r="CF312" s="464"/>
    </row>
    <row r="313" spans="72:84" ht="15" customHeight="1" x14ac:dyDescent="0.45">
      <c r="BT313" s="493"/>
      <c r="BW313" s="464"/>
      <c r="BX313" s="464"/>
      <c r="BY313" s="464"/>
      <c r="BZ313" s="464"/>
      <c r="CA313" s="464"/>
      <c r="CB313" s="464"/>
      <c r="CC313" s="464"/>
      <c r="CD313" s="464"/>
      <c r="CE313" s="464"/>
      <c r="CF313" s="464"/>
    </row>
    <row r="314" spans="72:84" ht="15" customHeight="1" x14ac:dyDescent="0.45">
      <c r="BT314" s="493"/>
      <c r="BW314" s="464"/>
      <c r="BX314" s="464"/>
      <c r="BY314" s="464"/>
      <c r="BZ314" s="464"/>
      <c r="CA314" s="464"/>
      <c r="CB314" s="464"/>
      <c r="CC314" s="464"/>
      <c r="CD314" s="464"/>
      <c r="CE314" s="464"/>
      <c r="CF314" s="464"/>
    </row>
    <row r="315" spans="72:84" ht="15" customHeight="1" x14ac:dyDescent="0.45">
      <c r="BT315" s="493"/>
      <c r="BW315" s="464"/>
      <c r="BX315" s="464"/>
      <c r="BY315" s="464"/>
      <c r="BZ315" s="464"/>
      <c r="CA315" s="464"/>
      <c r="CB315" s="464"/>
      <c r="CC315" s="464"/>
      <c r="CD315" s="464"/>
      <c r="CE315" s="464"/>
      <c r="CF315" s="464"/>
    </row>
    <row r="316" spans="72:84" ht="15" customHeight="1" x14ac:dyDescent="0.45">
      <c r="BT316" s="493"/>
      <c r="BW316" s="464"/>
      <c r="BX316" s="464"/>
      <c r="BY316" s="464"/>
      <c r="BZ316" s="464"/>
      <c r="CA316" s="464"/>
      <c r="CB316" s="464"/>
      <c r="CC316" s="464"/>
      <c r="CD316" s="464"/>
      <c r="CE316" s="464"/>
      <c r="CF316" s="464"/>
    </row>
    <row r="317" spans="72:84" ht="15" customHeight="1" x14ac:dyDescent="0.45">
      <c r="BT317" s="493"/>
      <c r="BW317" s="464"/>
      <c r="BX317" s="464"/>
      <c r="BY317" s="464"/>
      <c r="BZ317" s="464"/>
      <c r="CA317" s="464"/>
      <c r="CB317" s="464"/>
      <c r="CC317" s="464"/>
      <c r="CD317" s="464"/>
      <c r="CE317" s="464"/>
      <c r="CF317" s="464"/>
    </row>
    <row r="318" spans="72:84" ht="15" customHeight="1" x14ac:dyDescent="0.45">
      <c r="BT318" s="493"/>
      <c r="BW318" s="464"/>
      <c r="BX318" s="464"/>
      <c r="BY318" s="464"/>
      <c r="BZ318" s="464"/>
      <c r="CA318" s="464"/>
      <c r="CB318" s="464"/>
      <c r="CC318" s="464"/>
      <c r="CD318" s="464"/>
      <c r="CE318" s="464"/>
      <c r="CF318" s="464"/>
    </row>
    <row r="319" spans="72:84" ht="15" customHeight="1" x14ac:dyDescent="0.45">
      <c r="BT319" s="493"/>
      <c r="BW319" s="464"/>
      <c r="BX319" s="464"/>
      <c r="BY319" s="464"/>
      <c r="BZ319" s="464"/>
      <c r="CA319" s="464"/>
      <c r="CB319" s="464"/>
      <c r="CC319" s="464"/>
      <c r="CD319" s="464"/>
      <c r="CE319" s="464"/>
      <c r="CF319" s="464"/>
    </row>
    <row r="320" spans="72:84" ht="15" customHeight="1" x14ac:dyDescent="0.45">
      <c r="BT320" s="493"/>
      <c r="BW320" s="464"/>
      <c r="BX320" s="464"/>
      <c r="BY320" s="464"/>
      <c r="BZ320" s="464"/>
      <c r="CA320" s="464"/>
      <c r="CB320" s="464"/>
      <c r="CC320" s="464"/>
      <c r="CD320" s="464"/>
      <c r="CE320" s="464"/>
      <c r="CF320" s="464"/>
    </row>
    <row r="321" spans="72:84" ht="15" customHeight="1" x14ac:dyDescent="0.45">
      <c r="BT321" s="493"/>
      <c r="BW321" s="464"/>
      <c r="BX321" s="464"/>
      <c r="BY321" s="464"/>
      <c r="BZ321" s="464"/>
      <c r="CA321" s="464"/>
      <c r="CB321" s="464"/>
      <c r="CC321" s="464"/>
      <c r="CD321" s="464"/>
      <c r="CE321" s="464"/>
      <c r="CF321" s="464"/>
    </row>
    <row r="322" spans="72:84" ht="15" customHeight="1" x14ac:dyDescent="0.45">
      <c r="BT322" s="493"/>
      <c r="BW322" s="464"/>
      <c r="BX322" s="464"/>
      <c r="BY322" s="464"/>
      <c r="BZ322" s="464"/>
      <c r="CA322" s="464"/>
      <c r="CB322" s="464"/>
      <c r="CC322" s="464"/>
      <c r="CD322" s="464"/>
      <c r="CE322" s="464"/>
      <c r="CF322" s="464"/>
    </row>
    <row r="323" spans="72:84" ht="15" customHeight="1" x14ac:dyDescent="0.45">
      <c r="BT323" s="493"/>
      <c r="BW323" s="464"/>
      <c r="BX323" s="464"/>
      <c r="BY323" s="464"/>
      <c r="BZ323" s="464"/>
      <c r="CA323" s="464"/>
      <c r="CB323" s="464"/>
      <c r="CC323" s="464"/>
      <c r="CD323" s="464"/>
      <c r="CE323" s="464"/>
      <c r="CF323" s="464"/>
    </row>
    <row r="324" spans="72:84" ht="15" customHeight="1" x14ac:dyDescent="0.45">
      <c r="BT324" s="493"/>
      <c r="BW324" s="464"/>
      <c r="BX324" s="464"/>
      <c r="BY324" s="464"/>
      <c r="BZ324" s="464"/>
      <c r="CA324" s="464"/>
      <c r="CB324" s="464"/>
      <c r="CC324" s="464"/>
      <c r="CD324" s="464"/>
      <c r="CE324" s="464"/>
      <c r="CF324" s="464"/>
    </row>
    <row r="325" spans="72:84" ht="15" customHeight="1" x14ac:dyDescent="0.45">
      <c r="BT325" s="493"/>
      <c r="BW325" s="464"/>
      <c r="BX325" s="464"/>
      <c r="BY325" s="464"/>
      <c r="BZ325" s="464"/>
      <c r="CA325" s="464"/>
      <c r="CB325" s="464"/>
      <c r="CC325" s="464"/>
      <c r="CD325" s="464"/>
      <c r="CE325" s="464"/>
      <c r="CF325" s="464"/>
    </row>
    <row r="326" spans="72:84" ht="15" customHeight="1" x14ac:dyDescent="0.45">
      <c r="BT326" s="493"/>
      <c r="BW326" s="464"/>
      <c r="BX326" s="464"/>
      <c r="BY326" s="464"/>
      <c r="BZ326" s="464"/>
      <c r="CA326" s="464"/>
      <c r="CB326" s="464"/>
      <c r="CC326" s="464"/>
      <c r="CD326" s="464"/>
      <c r="CE326" s="464"/>
      <c r="CF326" s="464"/>
    </row>
    <row r="327" spans="72:84" ht="15" customHeight="1" x14ac:dyDescent="0.45">
      <c r="BT327" s="493"/>
      <c r="BW327" s="464"/>
      <c r="BX327" s="464"/>
      <c r="BY327" s="464"/>
      <c r="BZ327" s="464"/>
      <c r="CA327" s="464"/>
      <c r="CB327" s="464"/>
      <c r="CC327" s="464"/>
      <c r="CD327" s="464"/>
      <c r="CE327" s="464"/>
      <c r="CF327" s="464"/>
    </row>
    <row r="328" spans="72:84" ht="15" customHeight="1" x14ac:dyDescent="0.45">
      <c r="BT328" s="493"/>
      <c r="BW328" s="464"/>
      <c r="BX328" s="464"/>
      <c r="BY328" s="464"/>
      <c r="BZ328" s="464"/>
      <c r="CA328" s="464"/>
      <c r="CB328" s="464"/>
      <c r="CC328" s="464"/>
      <c r="CD328" s="464"/>
      <c r="CE328" s="464"/>
      <c r="CF328" s="464"/>
    </row>
    <row r="329" spans="72:84" ht="15" customHeight="1" x14ac:dyDescent="0.45">
      <c r="BT329" s="493"/>
      <c r="BW329" s="464"/>
      <c r="BX329" s="464"/>
      <c r="BY329" s="464"/>
      <c r="BZ329" s="464"/>
      <c r="CA329" s="464"/>
      <c r="CB329" s="464"/>
      <c r="CC329" s="464"/>
      <c r="CD329" s="464"/>
      <c r="CE329" s="464"/>
      <c r="CF329" s="464"/>
    </row>
    <row r="330" spans="72:84" ht="15" customHeight="1" x14ac:dyDescent="0.45">
      <c r="BT330" s="493"/>
      <c r="BW330" s="464"/>
      <c r="BX330" s="464"/>
      <c r="BY330" s="464"/>
      <c r="BZ330" s="464"/>
      <c r="CA330" s="464"/>
      <c r="CB330" s="464"/>
      <c r="CC330" s="464"/>
      <c r="CD330" s="464"/>
      <c r="CE330" s="464"/>
      <c r="CF330" s="464"/>
    </row>
    <row r="331" spans="72:84" ht="15" customHeight="1" x14ac:dyDescent="0.45">
      <c r="BT331" s="493"/>
      <c r="BW331" s="464"/>
      <c r="BX331" s="464"/>
      <c r="BY331" s="464"/>
      <c r="BZ331" s="464"/>
      <c r="CA331" s="464"/>
      <c r="CB331" s="464"/>
      <c r="CC331" s="464"/>
      <c r="CD331" s="464"/>
      <c r="CE331" s="464"/>
      <c r="CF331" s="464"/>
    </row>
    <row r="332" spans="72:84" ht="15" customHeight="1" x14ac:dyDescent="0.45">
      <c r="BT332" s="493"/>
      <c r="BW332" s="464"/>
      <c r="BX332" s="464"/>
      <c r="BY332" s="464"/>
      <c r="BZ332" s="464"/>
      <c r="CA332" s="464"/>
      <c r="CB332" s="464"/>
      <c r="CC332" s="464"/>
      <c r="CD332" s="464"/>
      <c r="CE332" s="464"/>
      <c r="CF332" s="464"/>
    </row>
    <row r="333" spans="72:84" ht="15" customHeight="1" x14ac:dyDescent="0.45">
      <c r="BT333" s="493"/>
      <c r="BW333" s="464"/>
      <c r="BX333" s="464"/>
      <c r="BY333" s="464"/>
      <c r="BZ333" s="464"/>
      <c r="CA333" s="464"/>
      <c r="CB333" s="464"/>
      <c r="CC333" s="464"/>
      <c r="CD333" s="464"/>
      <c r="CE333" s="464"/>
      <c r="CF333" s="464"/>
    </row>
    <row r="334" spans="72:84" ht="15" customHeight="1" x14ac:dyDescent="0.45">
      <c r="BT334" s="493"/>
      <c r="BW334" s="464"/>
      <c r="BX334" s="464"/>
      <c r="BY334" s="464"/>
      <c r="BZ334" s="464"/>
      <c r="CA334" s="464"/>
      <c r="CB334" s="464"/>
      <c r="CC334" s="464"/>
      <c r="CD334" s="464"/>
      <c r="CE334" s="464"/>
      <c r="CF334" s="464"/>
    </row>
    <row r="335" spans="72:84" ht="15" customHeight="1" x14ac:dyDescent="0.45">
      <c r="BT335" s="493"/>
      <c r="BW335" s="464"/>
      <c r="BX335" s="464"/>
      <c r="BY335" s="464"/>
      <c r="BZ335" s="464"/>
      <c r="CA335" s="464"/>
      <c r="CB335" s="464"/>
      <c r="CC335" s="464"/>
      <c r="CD335" s="464"/>
      <c r="CE335" s="464"/>
      <c r="CF335" s="464"/>
    </row>
    <row r="336" spans="72:84" ht="15" customHeight="1" x14ac:dyDescent="0.45">
      <c r="BT336" s="493"/>
      <c r="BW336" s="464"/>
      <c r="BX336" s="464"/>
      <c r="BY336" s="464"/>
      <c r="BZ336" s="464"/>
      <c r="CA336" s="464"/>
      <c r="CB336" s="464"/>
      <c r="CC336" s="464"/>
      <c r="CD336" s="464"/>
      <c r="CE336" s="464"/>
      <c r="CF336" s="464"/>
    </row>
    <row r="337" spans="72:84" ht="15" customHeight="1" x14ac:dyDescent="0.45">
      <c r="BT337" s="493"/>
      <c r="BW337" s="464"/>
      <c r="BX337" s="464"/>
      <c r="BY337" s="464"/>
      <c r="BZ337" s="464"/>
      <c r="CA337" s="464"/>
      <c r="CB337" s="464"/>
      <c r="CC337" s="464"/>
      <c r="CD337" s="464"/>
      <c r="CE337" s="464"/>
      <c r="CF337" s="464"/>
    </row>
    <row r="338" spans="72:84" ht="15" customHeight="1" x14ac:dyDescent="0.45">
      <c r="BT338" s="493"/>
      <c r="BW338" s="464"/>
      <c r="BX338" s="464"/>
      <c r="BY338" s="464"/>
      <c r="BZ338" s="464"/>
      <c r="CA338" s="464"/>
      <c r="CB338" s="464"/>
      <c r="CC338" s="464"/>
      <c r="CD338" s="464"/>
      <c r="CE338" s="464"/>
      <c r="CF338" s="464"/>
    </row>
    <row r="339" spans="72:84" ht="15" customHeight="1" x14ac:dyDescent="0.45">
      <c r="BT339" s="493"/>
      <c r="BW339" s="464"/>
      <c r="BX339" s="464"/>
      <c r="BY339" s="464"/>
      <c r="BZ339" s="464"/>
      <c r="CA339" s="464"/>
      <c r="CB339" s="464"/>
      <c r="CC339" s="464"/>
      <c r="CD339" s="464"/>
      <c r="CE339" s="464"/>
      <c r="CF339" s="464"/>
    </row>
    <row r="340" spans="72:84" ht="15" customHeight="1" x14ac:dyDescent="0.45">
      <c r="BT340" s="493"/>
      <c r="BW340" s="464"/>
      <c r="BX340" s="464"/>
      <c r="BY340" s="464"/>
      <c r="BZ340" s="464"/>
      <c r="CA340" s="464"/>
      <c r="CB340" s="464"/>
      <c r="CC340" s="464"/>
      <c r="CD340" s="464"/>
      <c r="CE340" s="464"/>
      <c r="CF340" s="464"/>
    </row>
    <row r="341" spans="72:84" ht="15" customHeight="1" x14ac:dyDescent="0.45">
      <c r="BT341" s="493"/>
      <c r="BW341" s="464"/>
      <c r="BX341" s="464"/>
      <c r="BY341" s="464"/>
      <c r="BZ341" s="464"/>
      <c r="CA341" s="464"/>
      <c r="CB341" s="464"/>
      <c r="CC341" s="464"/>
      <c r="CD341" s="464"/>
      <c r="CE341" s="464"/>
      <c r="CF341" s="464"/>
    </row>
    <row r="342" spans="72:84" ht="15" customHeight="1" x14ac:dyDescent="0.45">
      <c r="BT342" s="493"/>
      <c r="BW342" s="464"/>
      <c r="BX342" s="464"/>
      <c r="BY342" s="464"/>
      <c r="BZ342" s="464"/>
      <c r="CA342" s="464"/>
      <c r="CB342" s="464"/>
      <c r="CC342" s="464"/>
      <c r="CD342" s="464"/>
      <c r="CE342" s="464"/>
      <c r="CF342" s="464"/>
    </row>
    <row r="343" spans="72:84" ht="15" customHeight="1" x14ac:dyDescent="0.45">
      <c r="BT343" s="493"/>
      <c r="BW343" s="464"/>
      <c r="BX343" s="464"/>
      <c r="BY343" s="464"/>
      <c r="BZ343" s="464"/>
      <c r="CA343" s="464"/>
      <c r="CB343" s="464"/>
      <c r="CC343" s="464"/>
      <c r="CD343" s="464"/>
      <c r="CE343" s="464"/>
      <c r="CF343" s="464"/>
    </row>
    <row r="344" spans="72:84" ht="15" customHeight="1" x14ac:dyDescent="0.45">
      <c r="BT344" s="493"/>
      <c r="BW344" s="464"/>
      <c r="BX344" s="464"/>
      <c r="BY344" s="464"/>
      <c r="BZ344" s="464"/>
      <c r="CA344" s="464"/>
      <c r="CB344" s="464"/>
      <c r="CC344" s="464"/>
      <c r="CD344" s="464"/>
      <c r="CE344" s="464"/>
      <c r="CF344" s="464"/>
    </row>
    <row r="345" spans="72:84" ht="15" customHeight="1" x14ac:dyDescent="0.45">
      <c r="BT345" s="493"/>
      <c r="BW345" s="464"/>
      <c r="BX345" s="464"/>
      <c r="BY345" s="464"/>
      <c r="BZ345" s="464"/>
      <c r="CA345" s="464"/>
      <c r="CB345" s="464"/>
      <c r="CC345" s="464"/>
      <c r="CD345" s="464"/>
      <c r="CE345" s="464"/>
      <c r="CF345" s="464"/>
    </row>
    <row r="346" spans="72:84" ht="15" customHeight="1" x14ac:dyDescent="0.45">
      <c r="BT346" s="493"/>
      <c r="BW346" s="464"/>
      <c r="BX346" s="464"/>
      <c r="BY346" s="464"/>
      <c r="BZ346" s="464"/>
      <c r="CA346" s="464"/>
      <c r="CB346" s="464"/>
      <c r="CC346" s="464"/>
      <c r="CD346" s="464"/>
      <c r="CE346" s="464"/>
      <c r="CF346" s="464"/>
    </row>
    <row r="347" spans="72:84" ht="15" customHeight="1" x14ac:dyDescent="0.45">
      <c r="BT347" s="493"/>
      <c r="BW347" s="464"/>
      <c r="BX347" s="464"/>
      <c r="BY347" s="464"/>
      <c r="BZ347" s="464"/>
      <c r="CA347" s="464"/>
      <c r="CB347" s="464"/>
      <c r="CC347" s="464"/>
      <c r="CD347" s="464"/>
      <c r="CE347" s="464"/>
      <c r="CF347" s="464"/>
    </row>
    <row r="348" spans="72:84" ht="15" customHeight="1" x14ac:dyDescent="0.45">
      <c r="BT348" s="493"/>
      <c r="BW348" s="464"/>
      <c r="BX348" s="464"/>
      <c r="BY348" s="464"/>
      <c r="BZ348" s="464"/>
      <c r="CA348" s="464"/>
      <c r="CB348" s="464"/>
      <c r="CC348" s="464"/>
      <c r="CD348" s="464"/>
      <c r="CE348" s="464"/>
      <c r="CF348" s="464"/>
    </row>
    <row r="349" spans="72:84" ht="15" customHeight="1" x14ac:dyDescent="0.45">
      <c r="BT349" s="493"/>
      <c r="BW349" s="464"/>
      <c r="BX349" s="464"/>
      <c r="BY349" s="464"/>
      <c r="BZ349" s="464"/>
      <c r="CA349" s="464"/>
      <c r="CB349" s="464"/>
      <c r="CC349" s="464"/>
      <c r="CD349" s="464"/>
      <c r="CE349" s="464"/>
      <c r="CF349" s="464"/>
    </row>
    <row r="350" spans="72:84" ht="15" customHeight="1" x14ac:dyDescent="0.45">
      <c r="BT350" s="493"/>
      <c r="BW350" s="464"/>
      <c r="BX350" s="464"/>
      <c r="BY350" s="464"/>
      <c r="BZ350" s="464"/>
      <c r="CA350" s="464"/>
      <c r="CB350" s="464"/>
      <c r="CC350" s="464"/>
      <c r="CD350" s="464"/>
      <c r="CE350" s="464"/>
      <c r="CF350" s="464"/>
    </row>
    <row r="351" spans="72:84" ht="15" customHeight="1" x14ac:dyDescent="0.45">
      <c r="BT351" s="493"/>
      <c r="BW351" s="464"/>
      <c r="BX351" s="464"/>
      <c r="BY351" s="464"/>
      <c r="BZ351" s="464"/>
      <c r="CA351" s="464"/>
      <c r="CB351" s="464"/>
      <c r="CC351" s="464"/>
      <c r="CD351" s="464"/>
      <c r="CE351" s="464"/>
      <c r="CF351" s="464"/>
    </row>
    <row r="352" spans="72:84" ht="15" customHeight="1" x14ac:dyDescent="0.45">
      <c r="BT352" s="493"/>
      <c r="BW352" s="464"/>
      <c r="BX352" s="464"/>
      <c r="BY352" s="464"/>
      <c r="BZ352" s="464"/>
      <c r="CA352" s="464"/>
      <c r="CB352" s="464"/>
      <c r="CC352" s="464"/>
      <c r="CD352" s="464"/>
      <c r="CE352" s="464"/>
      <c r="CF352" s="464"/>
    </row>
    <row r="353" spans="72:84" ht="15" customHeight="1" x14ac:dyDescent="0.45">
      <c r="BT353" s="493"/>
      <c r="BW353" s="464"/>
      <c r="BX353" s="464"/>
      <c r="BY353" s="464"/>
      <c r="BZ353" s="464"/>
      <c r="CA353" s="464"/>
      <c r="CB353" s="464"/>
      <c r="CC353" s="464"/>
      <c r="CD353" s="464"/>
      <c r="CE353" s="464"/>
      <c r="CF353" s="464"/>
    </row>
    <row r="354" spans="72:84" ht="15" customHeight="1" x14ac:dyDescent="0.45">
      <c r="BT354" s="493"/>
      <c r="BW354" s="464"/>
      <c r="BX354" s="464"/>
      <c r="BY354" s="464"/>
      <c r="BZ354" s="464"/>
      <c r="CA354" s="464"/>
      <c r="CB354" s="464"/>
      <c r="CC354" s="464"/>
      <c r="CD354" s="464"/>
      <c r="CE354" s="464"/>
      <c r="CF354" s="464"/>
    </row>
    <row r="355" spans="72:84" ht="15" customHeight="1" x14ac:dyDescent="0.45">
      <c r="BT355" s="493"/>
      <c r="BW355" s="464"/>
      <c r="BX355" s="464"/>
      <c r="BY355" s="464"/>
      <c r="BZ355" s="464"/>
      <c r="CA355" s="464"/>
      <c r="CB355" s="464"/>
      <c r="CC355" s="464"/>
      <c r="CD355" s="464"/>
      <c r="CE355" s="464"/>
      <c r="CF355" s="464"/>
    </row>
    <row r="356" spans="72:84" ht="15" customHeight="1" x14ac:dyDescent="0.45">
      <c r="BT356" s="493"/>
      <c r="BW356" s="464"/>
      <c r="BX356" s="464"/>
      <c r="BY356" s="464"/>
      <c r="BZ356" s="464"/>
      <c r="CA356" s="464"/>
      <c r="CB356" s="464"/>
      <c r="CC356" s="464"/>
      <c r="CD356" s="464"/>
      <c r="CE356" s="464"/>
      <c r="CF356" s="464"/>
    </row>
    <row r="357" spans="72:84" ht="15" customHeight="1" x14ac:dyDescent="0.45">
      <c r="BT357" s="493"/>
      <c r="BW357" s="464"/>
      <c r="BX357" s="464"/>
      <c r="BY357" s="464"/>
      <c r="BZ357" s="464"/>
      <c r="CA357" s="464"/>
      <c r="CB357" s="464"/>
      <c r="CC357" s="464"/>
      <c r="CD357" s="464"/>
      <c r="CE357" s="464"/>
      <c r="CF357" s="464"/>
    </row>
    <row r="358" spans="72:84" ht="15" customHeight="1" x14ac:dyDescent="0.45">
      <c r="BT358" s="493"/>
      <c r="BW358" s="464"/>
      <c r="BX358" s="464"/>
      <c r="BY358" s="464"/>
      <c r="BZ358" s="464"/>
      <c r="CA358" s="464"/>
      <c r="CB358" s="464"/>
      <c r="CC358" s="464"/>
      <c r="CD358" s="464"/>
      <c r="CE358" s="464"/>
      <c r="CF358" s="464"/>
    </row>
    <row r="359" spans="72:84" ht="15" customHeight="1" x14ac:dyDescent="0.45">
      <c r="BT359" s="493"/>
      <c r="BW359" s="464"/>
      <c r="BX359" s="464"/>
      <c r="BY359" s="464"/>
      <c r="BZ359" s="464"/>
      <c r="CA359" s="464"/>
      <c r="CB359" s="464"/>
      <c r="CC359" s="464"/>
      <c r="CD359" s="464"/>
      <c r="CE359" s="464"/>
      <c r="CF359" s="464"/>
    </row>
    <row r="360" spans="72:84" ht="15" customHeight="1" x14ac:dyDescent="0.45">
      <c r="BT360" s="493"/>
      <c r="BW360" s="464"/>
      <c r="BX360" s="464"/>
      <c r="BY360" s="464"/>
      <c r="BZ360" s="464"/>
      <c r="CA360" s="464"/>
      <c r="CB360" s="464"/>
      <c r="CC360" s="464"/>
      <c r="CD360" s="464"/>
      <c r="CE360" s="464"/>
      <c r="CF360" s="464"/>
    </row>
    <row r="361" spans="72:84" ht="15" customHeight="1" x14ac:dyDescent="0.45">
      <c r="BT361" s="493"/>
      <c r="BW361" s="464"/>
      <c r="BX361" s="464"/>
      <c r="BY361" s="464"/>
      <c r="BZ361" s="464"/>
      <c r="CA361" s="464"/>
      <c r="CB361" s="464"/>
      <c r="CC361" s="464"/>
      <c r="CD361" s="464"/>
      <c r="CE361" s="464"/>
      <c r="CF361" s="464"/>
    </row>
    <row r="362" spans="72:84" ht="15" customHeight="1" x14ac:dyDescent="0.45">
      <c r="BT362" s="493"/>
      <c r="BW362" s="464"/>
      <c r="BX362" s="464"/>
      <c r="BY362" s="464"/>
      <c r="BZ362" s="464"/>
      <c r="CA362" s="464"/>
      <c r="CB362" s="464"/>
      <c r="CC362" s="464"/>
      <c r="CD362" s="464"/>
      <c r="CE362" s="464"/>
      <c r="CF362" s="464"/>
    </row>
    <row r="363" spans="72:84" ht="15" customHeight="1" x14ac:dyDescent="0.45">
      <c r="BT363" s="493"/>
      <c r="BW363" s="464"/>
      <c r="BX363" s="464"/>
      <c r="BY363" s="464"/>
      <c r="BZ363" s="464"/>
      <c r="CA363" s="464"/>
      <c r="CB363" s="464"/>
      <c r="CC363" s="464"/>
      <c r="CD363" s="464"/>
      <c r="CE363" s="464"/>
      <c r="CF363" s="464"/>
    </row>
    <row r="364" spans="72:84" ht="15" customHeight="1" x14ac:dyDescent="0.45">
      <c r="BT364" s="493"/>
      <c r="BW364" s="464"/>
      <c r="BX364" s="464"/>
      <c r="BY364" s="464"/>
      <c r="BZ364" s="464"/>
      <c r="CA364" s="464"/>
      <c r="CB364" s="464"/>
      <c r="CC364" s="464"/>
      <c r="CD364" s="464"/>
      <c r="CE364" s="464"/>
      <c r="CF364" s="464"/>
    </row>
    <row r="365" spans="72:84" ht="15" customHeight="1" x14ac:dyDescent="0.45">
      <c r="BT365" s="493"/>
      <c r="BW365" s="464"/>
      <c r="BX365" s="464"/>
      <c r="BY365" s="464"/>
      <c r="BZ365" s="464"/>
      <c r="CA365" s="464"/>
      <c r="CB365" s="464"/>
      <c r="CC365" s="464"/>
      <c r="CD365" s="464"/>
      <c r="CE365" s="464"/>
      <c r="CF365" s="464"/>
    </row>
    <row r="366" spans="72:84" ht="15" customHeight="1" x14ac:dyDescent="0.45">
      <c r="BT366" s="493"/>
      <c r="BW366" s="464"/>
      <c r="BX366" s="464"/>
      <c r="BY366" s="464"/>
      <c r="BZ366" s="464"/>
      <c r="CA366" s="464"/>
      <c r="CB366" s="464"/>
      <c r="CC366" s="464"/>
      <c r="CD366" s="464"/>
      <c r="CE366" s="464"/>
      <c r="CF366" s="464"/>
    </row>
    <row r="367" spans="72:84" ht="15" customHeight="1" x14ac:dyDescent="0.45">
      <c r="BT367" s="493"/>
      <c r="BW367" s="464"/>
      <c r="BX367" s="464"/>
      <c r="BY367" s="464"/>
      <c r="BZ367" s="464"/>
      <c r="CA367" s="464"/>
      <c r="CB367" s="464"/>
      <c r="CC367" s="464"/>
      <c r="CD367" s="464"/>
      <c r="CE367" s="464"/>
      <c r="CF367" s="464"/>
    </row>
    <row r="368" spans="72:84" ht="15" customHeight="1" x14ac:dyDescent="0.45">
      <c r="BT368" s="493"/>
      <c r="BW368" s="464"/>
      <c r="BX368" s="464"/>
      <c r="BY368" s="464"/>
      <c r="BZ368" s="464"/>
      <c r="CA368" s="464"/>
      <c r="CB368" s="464"/>
      <c r="CC368" s="464"/>
      <c r="CD368" s="464"/>
      <c r="CE368" s="464"/>
      <c r="CF368" s="464"/>
    </row>
    <row r="369" spans="72:84" ht="15" customHeight="1" x14ac:dyDescent="0.45">
      <c r="BT369" s="493"/>
      <c r="BW369" s="464"/>
      <c r="BX369" s="464"/>
      <c r="BY369" s="464"/>
      <c r="BZ369" s="464"/>
      <c r="CA369" s="464"/>
      <c r="CB369" s="464"/>
      <c r="CC369" s="464"/>
      <c r="CD369" s="464"/>
      <c r="CE369" s="464"/>
      <c r="CF369" s="464"/>
    </row>
    <row r="370" spans="72:84" ht="15" customHeight="1" x14ac:dyDescent="0.45">
      <c r="BT370" s="493"/>
      <c r="BW370" s="464"/>
      <c r="BX370" s="464"/>
      <c r="BY370" s="464"/>
      <c r="BZ370" s="464"/>
      <c r="CA370" s="464"/>
      <c r="CB370" s="464"/>
      <c r="CC370" s="464"/>
      <c r="CD370" s="464"/>
      <c r="CE370" s="464"/>
      <c r="CF370" s="464"/>
    </row>
    <row r="371" spans="72:84" ht="15" customHeight="1" x14ac:dyDescent="0.45">
      <c r="BT371" s="493"/>
      <c r="BW371" s="464"/>
      <c r="BX371" s="464"/>
      <c r="BY371" s="464"/>
      <c r="BZ371" s="464"/>
      <c r="CA371" s="464"/>
      <c r="CB371" s="464"/>
      <c r="CC371" s="464"/>
      <c r="CD371" s="464"/>
      <c r="CE371" s="464"/>
      <c r="CF371" s="464"/>
    </row>
    <row r="372" spans="72:84" ht="15" customHeight="1" x14ac:dyDescent="0.45">
      <c r="BT372" s="493"/>
      <c r="BW372" s="464"/>
      <c r="BX372" s="464"/>
      <c r="BY372" s="464"/>
      <c r="BZ372" s="464"/>
      <c r="CA372" s="464"/>
      <c r="CB372" s="464"/>
      <c r="CC372" s="464"/>
      <c r="CD372" s="464"/>
      <c r="CE372" s="464"/>
      <c r="CF372" s="464"/>
    </row>
    <row r="373" spans="72:84" ht="15" customHeight="1" x14ac:dyDescent="0.45">
      <c r="BT373" s="493"/>
      <c r="BW373" s="464"/>
      <c r="BX373" s="464"/>
      <c r="BY373" s="464"/>
      <c r="BZ373" s="464"/>
      <c r="CA373" s="464"/>
      <c r="CB373" s="464"/>
      <c r="CC373" s="464"/>
      <c r="CD373" s="464"/>
      <c r="CE373" s="464"/>
      <c r="CF373" s="464"/>
    </row>
    <row r="374" spans="72:84" ht="15" customHeight="1" x14ac:dyDescent="0.45">
      <c r="BT374" s="493"/>
      <c r="BW374" s="464"/>
      <c r="BX374" s="464"/>
      <c r="BY374" s="464"/>
      <c r="BZ374" s="464"/>
      <c r="CA374" s="464"/>
      <c r="CB374" s="464"/>
      <c r="CC374" s="464"/>
      <c r="CD374" s="464"/>
      <c r="CE374" s="464"/>
      <c r="CF374" s="464"/>
    </row>
    <row r="375" spans="72:84" ht="15" customHeight="1" x14ac:dyDescent="0.45">
      <c r="BT375" s="493"/>
      <c r="BW375" s="464"/>
      <c r="BX375" s="464"/>
      <c r="BY375" s="464"/>
      <c r="BZ375" s="464"/>
      <c r="CA375" s="464"/>
      <c r="CB375" s="464"/>
      <c r="CC375" s="464"/>
      <c r="CD375" s="464"/>
      <c r="CE375" s="464"/>
      <c r="CF375" s="464"/>
    </row>
    <row r="376" spans="72:84" ht="15" customHeight="1" x14ac:dyDescent="0.45">
      <c r="BT376" s="493"/>
      <c r="BW376" s="464"/>
      <c r="BX376" s="464"/>
      <c r="BY376" s="464"/>
      <c r="BZ376" s="464"/>
      <c r="CA376" s="464"/>
      <c r="CB376" s="464"/>
      <c r="CC376" s="464"/>
      <c r="CD376" s="464"/>
      <c r="CE376" s="464"/>
      <c r="CF376" s="464"/>
    </row>
    <row r="377" spans="72:84" ht="15" customHeight="1" x14ac:dyDescent="0.45">
      <c r="BT377" s="493"/>
      <c r="BW377" s="464"/>
      <c r="BX377" s="464"/>
      <c r="BY377" s="464"/>
      <c r="BZ377" s="464"/>
      <c r="CA377" s="464"/>
      <c r="CB377" s="464"/>
      <c r="CC377" s="464"/>
      <c r="CD377" s="464"/>
      <c r="CE377" s="464"/>
      <c r="CF377" s="464"/>
    </row>
    <row r="378" spans="72:84" ht="15" customHeight="1" x14ac:dyDescent="0.45">
      <c r="BT378" s="493"/>
      <c r="BW378" s="464"/>
      <c r="BX378" s="464"/>
      <c r="BY378" s="464"/>
      <c r="BZ378" s="464"/>
      <c r="CA378" s="464"/>
      <c r="CB378" s="464"/>
      <c r="CC378" s="464"/>
      <c r="CD378" s="464"/>
      <c r="CE378" s="464"/>
      <c r="CF378" s="464"/>
    </row>
    <row r="379" spans="72:84" ht="15" customHeight="1" x14ac:dyDescent="0.45">
      <c r="BT379" s="493"/>
      <c r="BW379" s="464"/>
      <c r="BX379" s="464"/>
      <c r="BY379" s="464"/>
      <c r="BZ379" s="464"/>
      <c r="CA379" s="464"/>
      <c r="CB379" s="464"/>
      <c r="CC379" s="464"/>
      <c r="CD379" s="464"/>
      <c r="CE379" s="464"/>
      <c r="CF379" s="464"/>
    </row>
    <row r="380" spans="72:84" ht="15" customHeight="1" x14ac:dyDescent="0.45">
      <c r="BT380" s="493"/>
      <c r="BW380" s="464"/>
      <c r="BX380" s="464"/>
      <c r="BY380" s="464"/>
      <c r="BZ380" s="464"/>
      <c r="CA380" s="464"/>
      <c r="CB380" s="464"/>
      <c r="CC380" s="464"/>
      <c r="CD380" s="464"/>
      <c r="CE380" s="464"/>
      <c r="CF380" s="464"/>
    </row>
    <row r="381" spans="72:84" ht="15" customHeight="1" x14ac:dyDescent="0.45">
      <c r="BT381" s="493"/>
      <c r="BW381" s="464"/>
      <c r="BX381" s="464"/>
      <c r="BY381" s="464"/>
      <c r="BZ381" s="464"/>
      <c r="CA381" s="464"/>
      <c r="CB381" s="464"/>
      <c r="CC381" s="464"/>
      <c r="CD381" s="464"/>
      <c r="CE381" s="464"/>
      <c r="CF381" s="464"/>
    </row>
    <row r="382" spans="72:84" ht="15" customHeight="1" x14ac:dyDescent="0.45">
      <c r="BT382" s="493"/>
      <c r="BW382" s="464"/>
      <c r="BX382" s="464"/>
      <c r="BY382" s="464"/>
      <c r="BZ382" s="464"/>
      <c r="CA382" s="464"/>
      <c r="CB382" s="464"/>
      <c r="CC382" s="464"/>
      <c r="CD382" s="464"/>
      <c r="CE382" s="464"/>
      <c r="CF382" s="464"/>
    </row>
    <row r="383" spans="72:84" ht="15" customHeight="1" x14ac:dyDescent="0.45">
      <c r="BT383" s="493"/>
      <c r="BW383" s="464"/>
      <c r="BX383" s="464"/>
      <c r="BY383" s="464"/>
      <c r="BZ383" s="464"/>
      <c r="CA383" s="464"/>
      <c r="CB383" s="464"/>
      <c r="CC383" s="464"/>
      <c r="CD383" s="464"/>
      <c r="CE383" s="464"/>
      <c r="CF383" s="464"/>
    </row>
    <row r="384" spans="72:84" ht="15" customHeight="1" x14ac:dyDescent="0.45">
      <c r="BT384" s="493"/>
      <c r="BW384" s="464"/>
      <c r="BX384" s="464"/>
      <c r="BY384" s="464"/>
      <c r="BZ384" s="464"/>
      <c r="CA384" s="464"/>
      <c r="CB384" s="464"/>
      <c r="CC384" s="464"/>
      <c r="CD384" s="464"/>
      <c r="CE384" s="464"/>
      <c r="CF384" s="464"/>
    </row>
    <row r="385" spans="72:84" ht="15" customHeight="1" x14ac:dyDescent="0.45">
      <c r="BT385" s="493"/>
      <c r="BW385" s="464"/>
      <c r="BX385" s="464"/>
      <c r="BY385" s="464"/>
      <c r="BZ385" s="464"/>
      <c r="CA385" s="464"/>
      <c r="CB385" s="464"/>
      <c r="CC385" s="464"/>
      <c r="CD385" s="464"/>
      <c r="CE385" s="464"/>
      <c r="CF385" s="464"/>
    </row>
    <row r="386" spans="72:84" ht="15" customHeight="1" x14ac:dyDescent="0.45">
      <c r="BT386" s="493"/>
      <c r="BW386" s="464"/>
      <c r="BX386" s="464"/>
      <c r="BY386" s="464"/>
      <c r="BZ386" s="464"/>
      <c r="CA386" s="464"/>
      <c r="CB386" s="464"/>
      <c r="CC386" s="464"/>
      <c r="CD386" s="464"/>
      <c r="CE386" s="464"/>
      <c r="CF386" s="464"/>
    </row>
    <row r="387" spans="72:84" ht="15" customHeight="1" x14ac:dyDescent="0.45">
      <c r="BT387" s="493"/>
      <c r="BW387" s="464"/>
      <c r="BX387" s="464"/>
      <c r="BY387" s="464"/>
      <c r="BZ387" s="464"/>
      <c r="CA387" s="464"/>
      <c r="CB387" s="464"/>
      <c r="CC387" s="464"/>
      <c r="CD387" s="464"/>
      <c r="CE387" s="464"/>
      <c r="CF387" s="464"/>
    </row>
    <row r="388" spans="72:84" ht="15" customHeight="1" x14ac:dyDescent="0.45">
      <c r="BT388" s="493"/>
      <c r="BW388" s="464"/>
      <c r="BX388" s="464"/>
      <c r="BY388" s="464"/>
      <c r="BZ388" s="464"/>
      <c r="CA388" s="464"/>
      <c r="CB388" s="464"/>
      <c r="CC388" s="464"/>
      <c r="CD388" s="464"/>
      <c r="CE388" s="464"/>
      <c r="CF388" s="464"/>
    </row>
    <row r="389" spans="72:84" ht="15" customHeight="1" x14ac:dyDescent="0.45">
      <c r="BT389" s="493"/>
      <c r="BW389" s="464"/>
      <c r="BX389" s="464"/>
      <c r="BY389" s="464"/>
      <c r="BZ389" s="464"/>
      <c r="CA389" s="464"/>
      <c r="CB389" s="464"/>
      <c r="CC389" s="464"/>
      <c r="CD389" s="464"/>
      <c r="CE389" s="464"/>
      <c r="CF389" s="464"/>
    </row>
    <row r="390" spans="72:84" ht="15" customHeight="1" x14ac:dyDescent="0.45">
      <c r="BT390" s="493"/>
      <c r="BW390" s="464"/>
      <c r="BX390" s="464"/>
      <c r="BY390" s="464"/>
      <c r="BZ390" s="464"/>
      <c r="CA390" s="464"/>
      <c r="CB390" s="464"/>
      <c r="CC390" s="464"/>
      <c r="CD390" s="464"/>
      <c r="CE390" s="464"/>
      <c r="CF390" s="464"/>
    </row>
    <row r="391" spans="72:84" ht="15" customHeight="1" x14ac:dyDescent="0.45">
      <c r="BT391" s="493"/>
      <c r="BW391" s="464"/>
      <c r="BX391" s="464"/>
      <c r="BY391" s="464"/>
      <c r="BZ391" s="464"/>
      <c r="CA391" s="464"/>
      <c r="CB391" s="464"/>
      <c r="CC391" s="464"/>
      <c r="CD391" s="464"/>
      <c r="CE391" s="464"/>
      <c r="CF391" s="464"/>
    </row>
    <row r="392" spans="72:84" ht="15" customHeight="1" x14ac:dyDescent="0.45">
      <c r="BT392" s="493"/>
      <c r="BW392" s="464"/>
      <c r="BX392" s="464"/>
      <c r="BY392" s="464"/>
      <c r="BZ392" s="464"/>
      <c r="CA392" s="464"/>
      <c r="CB392" s="464"/>
      <c r="CC392" s="464"/>
      <c r="CD392" s="464"/>
      <c r="CE392" s="464"/>
      <c r="CF392" s="464"/>
    </row>
    <row r="393" spans="72:84" ht="15" customHeight="1" x14ac:dyDescent="0.45">
      <c r="BT393" s="493"/>
      <c r="BW393" s="464"/>
      <c r="BX393" s="464"/>
      <c r="BY393" s="464"/>
      <c r="BZ393" s="464"/>
      <c r="CA393" s="464"/>
      <c r="CB393" s="464"/>
      <c r="CC393" s="464"/>
      <c r="CD393" s="464"/>
      <c r="CE393" s="464"/>
      <c r="CF393" s="464"/>
    </row>
    <row r="394" spans="72:84" ht="15" customHeight="1" x14ac:dyDescent="0.45">
      <c r="BT394" s="493"/>
      <c r="BW394" s="464"/>
      <c r="BX394" s="464"/>
      <c r="BY394" s="464"/>
      <c r="BZ394" s="464"/>
      <c r="CA394" s="464"/>
      <c r="CB394" s="464"/>
      <c r="CC394" s="464"/>
      <c r="CD394" s="464"/>
      <c r="CE394" s="464"/>
      <c r="CF394" s="464"/>
    </row>
    <row r="395" spans="72:84" ht="15" customHeight="1" x14ac:dyDescent="0.45">
      <c r="BT395" s="493"/>
      <c r="BW395" s="464"/>
      <c r="BX395" s="464"/>
      <c r="BY395" s="464"/>
      <c r="BZ395" s="464"/>
      <c r="CA395" s="464"/>
      <c r="CB395" s="464"/>
      <c r="CC395" s="464"/>
      <c r="CD395" s="464"/>
      <c r="CE395" s="464"/>
      <c r="CF395" s="464"/>
    </row>
    <row r="396" spans="72:84" ht="15" customHeight="1" x14ac:dyDescent="0.45">
      <c r="BT396" s="493"/>
      <c r="BW396" s="464"/>
      <c r="BX396" s="464"/>
      <c r="BY396" s="464"/>
      <c r="BZ396" s="464"/>
      <c r="CA396" s="464"/>
      <c r="CB396" s="464"/>
      <c r="CC396" s="464"/>
      <c r="CD396" s="464"/>
      <c r="CE396" s="464"/>
      <c r="CF396" s="464"/>
    </row>
    <row r="397" spans="72:84" ht="15" customHeight="1" x14ac:dyDescent="0.45">
      <c r="BT397" s="493"/>
      <c r="BW397" s="464"/>
      <c r="BX397" s="464"/>
      <c r="BY397" s="464"/>
      <c r="BZ397" s="464"/>
      <c r="CA397" s="464"/>
      <c r="CB397" s="464"/>
      <c r="CC397" s="464"/>
      <c r="CD397" s="464"/>
      <c r="CE397" s="464"/>
      <c r="CF397" s="464"/>
    </row>
    <row r="398" spans="72:84" ht="15" customHeight="1" x14ac:dyDescent="0.45">
      <c r="BT398" s="493"/>
      <c r="BW398" s="464"/>
      <c r="BX398" s="464"/>
      <c r="BY398" s="464"/>
      <c r="BZ398" s="464"/>
      <c r="CA398" s="464"/>
      <c r="CB398" s="464"/>
      <c r="CC398" s="464"/>
      <c r="CD398" s="464"/>
      <c r="CE398" s="464"/>
      <c r="CF398" s="464"/>
    </row>
    <row r="399" spans="72:84" ht="15" customHeight="1" x14ac:dyDescent="0.45">
      <c r="BT399" s="493"/>
      <c r="BW399" s="464"/>
      <c r="BX399" s="464"/>
      <c r="BY399" s="464"/>
      <c r="BZ399" s="464"/>
      <c r="CA399" s="464"/>
      <c r="CB399" s="464"/>
      <c r="CC399" s="464"/>
      <c r="CD399" s="464"/>
      <c r="CE399" s="464"/>
      <c r="CF399" s="464"/>
    </row>
    <row r="400" spans="72:84" ht="15" customHeight="1" x14ac:dyDescent="0.45">
      <c r="BT400" s="493"/>
      <c r="BW400" s="464"/>
      <c r="BX400" s="464"/>
      <c r="BY400" s="464"/>
      <c r="BZ400" s="464"/>
      <c r="CA400" s="464"/>
      <c r="CB400" s="464"/>
      <c r="CC400" s="464"/>
      <c r="CD400" s="464"/>
      <c r="CE400" s="464"/>
      <c r="CF400" s="464"/>
    </row>
    <row r="401" spans="72:84" ht="15" customHeight="1" x14ac:dyDescent="0.45">
      <c r="BT401" s="493"/>
      <c r="BW401" s="464"/>
      <c r="BX401" s="464"/>
      <c r="BY401" s="464"/>
      <c r="BZ401" s="464"/>
      <c r="CA401" s="464"/>
      <c r="CB401" s="464"/>
      <c r="CC401" s="464"/>
      <c r="CD401" s="464"/>
      <c r="CE401" s="464"/>
      <c r="CF401" s="464"/>
    </row>
    <row r="402" spans="72:84" ht="15" customHeight="1" x14ac:dyDescent="0.45">
      <c r="BT402" s="493"/>
      <c r="BW402" s="464"/>
      <c r="BX402" s="464"/>
      <c r="BY402" s="464"/>
      <c r="BZ402" s="464"/>
      <c r="CA402" s="464"/>
      <c r="CB402" s="464"/>
      <c r="CC402" s="464"/>
      <c r="CD402" s="464"/>
      <c r="CE402" s="464"/>
      <c r="CF402" s="464"/>
    </row>
    <row r="403" spans="72:84" ht="15" customHeight="1" x14ac:dyDescent="0.45">
      <c r="BT403" s="493"/>
      <c r="BW403" s="464"/>
      <c r="BX403" s="464"/>
      <c r="BY403" s="464"/>
      <c r="BZ403" s="464"/>
      <c r="CA403" s="464"/>
      <c r="CB403" s="464"/>
      <c r="CC403" s="464"/>
      <c r="CD403" s="464"/>
      <c r="CE403" s="464"/>
      <c r="CF403" s="464"/>
    </row>
    <row r="404" spans="72:84" ht="15" customHeight="1" x14ac:dyDescent="0.45">
      <c r="BT404" s="493"/>
      <c r="BW404" s="464"/>
      <c r="BX404" s="464"/>
      <c r="BY404" s="464"/>
      <c r="BZ404" s="464"/>
      <c r="CA404" s="464"/>
      <c r="CB404" s="464"/>
      <c r="CC404" s="464"/>
      <c r="CD404" s="464"/>
      <c r="CE404" s="464"/>
      <c r="CF404" s="464"/>
    </row>
    <row r="405" spans="72:84" ht="15" customHeight="1" x14ac:dyDescent="0.45">
      <c r="BT405" s="493"/>
      <c r="BW405" s="464"/>
      <c r="BX405" s="464"/>
      <c r="BY405" s="464"/>
      <c r="BZ405" s="464"/>
      <c r="CA405" s="464"/>
      <c r="CB405" s="464"/>
      <c r="CC405" s="464"/>
      <c r="CD405" s="464"/>
      <c r="CE405" s="464"/>
      <c r="CF405" s="464"/>
    </row>
    <row r="406" spans="72:84" ht="15" customHeight="1" x14ac:dyDescent="0.45">
      <c r="BT406" s="493"/>
      <c r="BW406" s="464"/>
      <c r="BX406" s="464"/>
      <c r="BY406" s="464"/>
      <c r="BZ406" s="464"/>
      <c r="CA406" s="464"/>
      <c r="CB406" s="464"/>
      <c r="CC406" s="464"/>
      <c r="CD406" s="464"/>
      <c r="CE406" s="464"/>
      <c r="CF406" s="464"/>
    </row>
    <row r="407" spans="72:84" ht="15" customHeight="1" x14ac:dyDescent="0.45">
      <c r="BT407" s="493"/>
      <c r="BW407" s="464"/>
      <c r="BX407" s="464"/>
      <c r="BY407" s="464"/>
      <c r="BZ407" s="464"/>
      <c r="CA407" s="464"/>
      <c r="CB407" s="464"/>
      <c r="CC407" s="464"/>
      <c r="CD407" s="464"/>
      <c r="CE407" s="464"/>
      <c r="CF407" s="464"/>
    </row>
    <row r="408" spans="72:84" ht="15" customHeight="1" x14ac:dyDescent="0.45">
      <c r="BT408" s="493"/>
      <c r="BW408" s="464"/>
      <c r="BX408" s="464"/>
      <c r="BY408" s="464"/>
      <c r="BZ408" s="464"/>
      <c r="CA408" s="464"/>
      <c r="CB408" s="464"/>
      <c r="CC408" s="464"/>
      <c r="CD408" s="464"/>
      <c r="CE408" s="464"/>
      <c r="CF408" s="464"/>
    </row>
    <row r="409" spans="72:84" ht="15" customHeight="1" x14ac:dyDescent="0.45">
      <c r="BT409" s="493"/>
      <c r="BW409" s="464"/>
      <c r="BX409" s="464"/>
      <c r="BY409" s="464"/>
      <c r="BZ409" s="464"/>
      <c r="CA409" s="464"/>
      <c r="CB409" s="464"/>
      <c r="CC409" s="464"/>
      <c r="CD409" s="464"/>
      <c r="CE409" s="464"/>
      <c r="CF409" s="464"/>
    </row>
    <row r="410" spans="72:84" ht="15" customHeight="1" x14ac:dyDescent="0.45">
      <c r="BT410" s="493"/>
      <c r="BW410" s="464"/>
      <c r="BX410" s="464"/>
      <c r="BY410" s="464"/>
      <c r="BZ410" s="464"/>
      <c r="CA410" s="464"/>
      <c r="CB410" s="464"/>
      <c r="CC410" s="464"/>
      <c r="CD410" s="464"/>
      <c r="CE410" s="464"/>
      <c r="CF410" s="464"/>
    </row>
    <row r="411" spans="72:84" ht="15" customHeight="1" x14ac:dyDescent="0.45">
      <c r="BT411" s="493"/>
      <c r="BW411" s="464"/>
      <c r="BX411" s="464"/>
      <c r="BY411" s="464"/>
      <c r="BZ411" s="464"/>
      <c r="CA411" s="464"/>
      <c r="CB411" s="464"/>
      <c r="CC411" s="464"/>
      <c r="CD411" s="464"/>
      <c r="CE411" s="464"/>
      <c r="CF411" s="464"/>
    </row>
    <row r="412" spans="72:84" ht="15" customHeight="1" x14ac:dyDescent="0.45">
      <c r="BT412" s="493"/>
      <c r="BW412" s="464"/>
      <c r="BX412" s="464"/>
      <c r="BY412" s="464"/>
      <c r="BZ412" s="464"/>
      <c r="CA412" s="464"/>
      <c r="CB412" s="464"/>
      <c r="CC412" s="464"/>
      <c r="CD412" s="464"/>
      <c r="CE412" s="464"/>
      <c r="CF412" s="464"/>
    </row>
    <row r="413" spans="72:84" ht="15" customHeight="1" x14ac:dyDescent="0.45">
      <c r="BT413" s="493"/>
      <c r="BW413" s="464"/>
      <c r="BX413" s="464"/>
      <c r="BY413" s="464"/>
      <c r="BZ413" s="464"/>
      <c r="CA413" s="464"/>
      <c r="CB413" s="464"/>
      <c r="CC413" s="464"/>
      <c r="CD413" s="464"/>
      <c r="CE413" s="464"/>
      <c r="CF413" s="464"/>
    </row>
    <row r="414" spans="72:84" ht="15" customHeight="1" x14ac:dyDescent="0.45">
      <c r="BT414" s="493"/>
      <c r="BW414" s="464"/>
      <c r="BX414" s="464"/>
      <c r="BY414" s="464"/>
      <c r="BZ414" s="464"/>
      <c r="CA414" s="464"/>
      <c r="CB414" s="464"/>
      <c r="CC414" s="464"/>
      <c r="CD414" s="464"/>
      <c r="CE414" s="464"/>
      <c r="CF414" s="464"/>
    </row>
    <row r="415" spans="72:84" ht="15" customHeight="1" x14ac:dyDescent="0.45">
      <c r="BT415" s="493"/>
      <c r="BW415" s="464"/>
      <c r="BX415" s="464"/>
      <c r="BY415" s="464"/>
      <c r="BZ415" s="464"/>
      <c r="CA415" s="464"/>
      <c r="CB415" s="464"/>
      <c r="CC415" s="464"/>
      <c r="CD415" s="464"/>
      <c r="CE415" s="464"/>
      <c r="CF415" s="464"/>
    </row>
    <row r="416" spans="72:84" ht="15" customHeight="1" x14ac:dyDescent="0.45">
      <c r="BT416" s="493"/>
      <c r="BW416" s="464"/>
      <c r="BX416" s="464"/>
      <c r="BY416" s="464"/>
      <c r="BZ416" s="464"/>
      <c r="CA416" s="464"/>
      <c r="CB416" s="464"/>
      <c r="CC416" s="464"/>
      <c r="CD416" s="464"/>
      <c r="CE416" s="464"/>
      <c r="CF416" s="464"/>
    </row>
    <row r="417" spans="72:84" ht="15" customHeight="1" x14ac:dyDescent="0.45">
      <c r="BT417" s="493"/>
      <c r="BW417" s="464"/>
      <c r="BX417" s="464"/>
      <c r="BY417" s="464"/>
      <c r="BZ417" s="464"/>
      <c r="CA417" s="464"/>
      <c r="CB417" s="464"/>
      <c r="CC417" s="464"/>
      <c r="CD417" s="464"/>
      <c r="CE417" s="464"/>
      <c r="CF417" s="464"/>
    </row>
    <row r="418" spans="72:84" ht="15" customHeight="1" x14ac:dyDescent="0.45">
      <c r="BT418" s="493"/>
      <c r="BW418" s="464"/>
      <c r="BX418" s="464"/>
      <c r="BY418" s="464"/>
      <c r="BZ418" s="464"/>
      <c r="CA418" s="464"/>
      <c r="CB418" s="464"/>
      <c r="CC418" s="464"/>
      <c r="CD418" s="464"/>
      <c r="CE418" s="464"/>
      <c r="CF418" s="464"/>
    </row>
    <row r="419" spans="72:84" ht="15" customHeight="1" x14ac:dyDescent="0.45">
      <c r="BT419" s="493"/>
      <c r="BW419" s="464"/>
      <c r="BX419" s="464"/>
      <c r="BY419" s="464"/>
      <c r="BZ419" s="464"/>
      <c r="CA419" s="464"/>
      <c r="CB419" s="464"/>
      <c r="CC419" s="464"/>
      <c r="CD419" s="464"/>
      <c r="CE419" s="464"/>
      <c r="CF419" s="464"/>
    </row>
    <row r="420" spans="72:84" ht="15" customHeight="1" x14ac:dyDescent="0.45">
      <c r="BT420" s="493"/>
      <c r="BW420" s="464"/>
      <c r="BX420" s="464"/>
      <c r="BY420" s="464"/>
      <c r="BZ420" s="464"/>
      <c r="CA420" s="464"/>
      <c r="CB420" s="464"/>
      <c r="CC420" s="464"/>
      <c r="CD420" s="464"/>
      <c r="CE420" s="464"/>
      <c r="CF420" s="464"/>
    </row>
    <row r="421" spans="72:84" ht="15" customHeight="1" x14ac:dyDescent="0.45">
      <c r="BT421" s="493"/>
      <c r="BW421" s="464"/>
      <c r="BX421" s="464"/>
      <c r="BY421" s="464"/>
      <c r="BZ421" s="464"/>
      <c r="CA421" s="464"/>
      <c r="CB421" s="464"/>
      <c r="CC421" s="464"/>
      <c r="CD421" s="464"/>
      <c r="CE421" s="464"/>
      <c r="CF421" s="464"/>
    </row>
    <row r="422" spans="72:84" ht="15" customHeight="1" x14ac:dyDescent="0.45">
      <c r="BT422" s="493"/>
      <c r="BW422" s="464"/>
      <c r="BX422" s="464"/>
      <c r="BY422" s="464"/>
      <c r="BZ422" s="464"/>
      <c r="CA422" s="464"/>
      <c r="CB422" s="464"/>
      <c r="CC422" s="464"/>
      <c r="CD422" s="464"/>
      <c r="CE422" s="464"/>
      <c r="CF422" s="464"/>
    </row>
    <row r="423" spans="72:84" ht="15" customHeight="1" x14ac:dyDescent="0.45">
      <c r="BT423" s="493"/>
      <c r="BW423" s="464"/>
      <c r="BX423" s="464"/>
      <c r="BY423" s="464"/>
      <c r="BZ423" s="464"/>
      <c r="CA423" s="464"/>
      <c r="CB423" s="464"/>
      <c r="CC423" s="464"/>
      <c r="CD423" s="464"/>
      <c r="CE423" s="464"/>
      <c r="CF423" s="464"/>
    </row>
    <row r="424" spans="72:84" ht="15" customHeight="1" x14ac:dyDescent="0.45">
      <c r="BT424" s="493"/>
      <c r="BW424" s="464"/>
      <c r="BX424" s="464"/>
      <c r="BY424" s="464"/>
      <c r="BZ424" s="464"/>
      <c r="CA424" s="464"/>
      <c r="CB424" s="464"/>
      <c r="CC424" s="464"/>
      <c r="CD424" s="464"/>
      <c r="CE424" s="464"/>
      <c r="CF424" s="464"/>
    </row>
    <row r="425" spans="72:84" ht="15" customHeight="1" x14ac:dyDescent="0.45">
      <c r="BT425" s="493"/>
      <c r="BW425" s="464"/>
      <c r="BX425" s="464"/>
      <c r="BY425" s="464"/>
      <c r="BZ425" s="464"/>
      <c r="CA425" s="464"/>
      <c r="CB425" s="464"/>
      <c r="CC425" s="464"/>
      <c r="CD425" s="464"/>
      <c r="CE425" s="464"/>
      <c r="CF425" s="464"/>
    </row>
    <row r="426" spans="72:84" ht="15" customHeight="1" x14ac:dyDescent="0.45">
      <c r="BT426" s="493"/>
      <c r="BW426" s="464"/>
      <c r="BX426" s="464"/>
      <c r="BY426" s="464"/>
      <c r="BZ426" s="464"/>
      <c r="CA426" s="464"/>
      <c r="CB426" s="464"/>
      <c r="CC426" s="464"/>
      <c r="CD426" s="464"/>
      <c r="CE426" s="464"/>
      <c r="CF426" s="464"/>
    </row>
    <row r="427" spans="72:84" ht="15" customHeight="1" x14ac:dyDescent="0.45">
      <c r="BT427" s="493"/>
      <c r="BW427" s="464"/>
      <c r="BX427" s="464"/>
      <c r="BY427" s="464"/>
      <c r="BZ427" s="464"/>
      <c r="CA427" s="464"/>
      <c r="CB427" s="464"/>
      <c r="CC427" s="464"/>
      <c r="CD427" s="464"/>
      <c r="CE427" s="464"/>
      <c r="CF427" s="464"/>
    </row>
    <row r="428" spans="72:84" ht="15" customHeight="1" x14ac:dyDescent="0.45">
      <c r="BT428" s="493"/>
      <c r="BW428" s="464"/>
      <c r="BX428" s="464"/>
      <c r="BY428" s="464"/>
      <c r="BZ428" s="464"/>
      <c r="CA428" s="464"/>
      <c r="CB428" s="464"/>
      <c r="CC428" s="464"/>
      <c r="CD428" s="464"/>
      <c r="CE428" s="464"/>
      <c r="CF428" s="464"/>
    </row>
    <row r="429" spans="72:84" ht="15" customHeight="1" x14ac:dyDescent="0.45">
      <c r="BT429" s="493"/>
      <c r="BW429" s="464"/>
      <c r="BX429" s="464"/>
      <c r="BY429" s="464"/>
      <c r="BZ429" s="464"/>
      <c r="CA429" s="464"/>
      <c r="CB429" s="464"/>
      <c r="CC429" s="464"/>
      <c r="CD429" s="464"/>
      <c r="CE429" s="464"/>
      <c r="CF429" s="464"/>
    </row>
    <row r="430" spans="72:84" ht="15" customHeight="1" x14ac:dyDescent="0.45">
      <c r="BT430" s="493"/>
      <c r="BW430" s="464"/>
      <c r="BX430" s="464"/>
      <c r="BY430" s="464"/>
      <c r="BZ430" s="464"/>
      <c r="CA430" s="464"/>
      <c r="CB430" s="464"/>
      <c r="CC430" s="464"/>
      <c r="CD430" s="464"/>
      <c r="CE430" s="464"/>
      <c r="CF430" s="464"/>
    </row>
    <row r="431" spans="72:84" ht="15" customHeight="1" x14ac:dyDescent="0.45">
      <c r="BT431" s="493"/>
      <c r="BW431" s="464"/>
      <c r="BX431" s="464"/>
      <c r="BY431" s="464"/>
      <c r="BZ431" s="464"/>
      <c r="CA431" s="464"/>
      <c r="CB431" s="464"/>
      <c r="CC431" s="464"/>
      <c r="CD431" s="464"/>
      <c r="CE431" s="464"/>
      <c r="CF431" s="464"/>
    </row>
    <row r="432" spans="72:84" ht="15" customHeight="1" x14ac:dyDescent="0.45">
      <c r="BT432" s="493"/>
      <c r="BW432" s="464"/>
      <c r="BX432" s="464"/>
      <c r="BY432" s="464"/>
      <c r="BZ432" s="464"/>
      <c r="CA432" s="464"/>
      <c r="CB432" s="464"/>
      <c r="CC432" s="464"/>
      <c r="CD432" s="464"/>
      <c r="CE432" s="464"/>
      <c r="CF432" s="464"/>
    </row>
    <row r="433" spans="72:84" ht="15" customHeight="1" x14ac:dyDescent="0.45">
      <c r="BT433" s="493"/>
      <c r="BW433" s="464"/>
      <c r="BX433" s="464"/>
      <c r="BY433" s="464"/>
      <c r="BZ433" s="464"/>
      <c r="CA433" s="464"/>
      <c r="CB433" s="464"/>
      <c r="CC433" s="464"/>
      <c r="CD433" s="464"/>
      <c r="CE433" s="464"/>
      <c r="CF433" s="464"/>
    </row>
    <row r="434" spans="72:84" ht="15" customHeight="1" x14ac:dyDescent="0.45">
      <c r="BT434" s="493"/>
      <c r="BW434" s="464"/>
      <c r="BX434" s="464"/>
      <c r="BY434" s="464"/>
      <c r="BZ434" s="464"/>
      <c r="CA434" s="464"/>
      <c r="CB434" s="464"/>
      <c r="CC434" s="464"/>
      <c r="CD434" s="464"/>
      <c r="CE434" s="464"/>
      <c r="CF434" s="464"/>
    </row>
    <row r="435" spans="72:84" ht="15" customHeight="1" x14ac:dyDescent="0.45">
      <c r="BT435" s="493"/>
      <c r="BW435" s="464"/>
      <c r="BX435" s="464"/>
      <c r="BY435" s="464"/>
      <c r="BZ435" s="464"/>
      <c r="CA435" s="464"/>
      <c r="CB435" s="464"/>
      <c r="CC435" s="464"/>
      <c r="CD435" s="464"/>
      <c r="CE435" s="464"/>
      <c r="CF435" s="464"/>
    </row>
    <row r="436" spans="72:84" ht="15" customHeight="1" x14ac:dyDescent="0.45">
      <c r="BT436" s="493"/>
      <c r="BW436" s="464"/>
      <c r="BX436" s="464"/>
      <c r="BY436" s="464"/>
      <c r="BZ436" s="464"/>
      <c r="CA436" s="464"/>
      <c r="CB436" s="464"/>
      <c r="CC436" s="464"/>
      <c r="CD436" s="464"/>
      <c r="CE436" s="464"/>
      <c r="CF436" s="464"/>
    </row>
    <row r="437" spans="72:84" ht="15" customHeight="1" x14ac:dyDescent="0.45">
      <c r="BT437" s="493"/>
      <c r="BW437" s="464"/>
      <c r="BX437" s="464"/>
      <c r="BY437" s="464"/>
      <c r="BZ437" s="464"/>
      <c r="CA437" s="464"/>
      <c r="CB437" s="464"/>
      <c r="CC437" s="464"/>
      <c r="CD437" s="464"/>
      <c r="CE437" s="464"/>
      <c r="CF437" s="464"/>
    </row>
    <row r="438" spans="72:84" ht="15" customHeight="1" x14ac:dyDescent="0.45">
      <c r="BT438" s="493"/>
      <c r="BW438" s="464"/>
      <c r="BX438" s="464"/>
      <c r="BY438" s="464"/>
      <c r="BZ438" s="464"/>
      <c r="CA438" s="464"/>
      <c r="CB438" s="464"/>
      <c r="CC438" s="464"/>
      <c r="CD438" s="464"/>
      <c r="CE438" s="464"/>
      <c r="CF438" s="464"/>
    </row>
    <row r="439" spans="72:84" ht="15" customHeight="1" x14ac:dyDescent="0.45">
      <c r="BT439" s="493"/>
      <c r="BW439" s="464"/>
      <c r="BX439" s="464"/>
      <c r="BY439" s="464"/>
      <c r="BZ439" s="464"/>
      <c r="CA439" s="464"/>
      <c r="CB439" s="464"/>
      <c r="CC439" s="464"/>
      <c r="CD439" s="464"/>
      <c r="CE439" s="464"/>
      <c r="CF439" s="464"/>
    </row>
    <row r="440" spans="72:84" ht="15" customHeight="1" x14ac:dyDescent="0.45">
      <c r="BT440" s="493"/>
      <c r="BW440" s="464"/>
      <c r="BX440" s="464"/>
      <c r="BY440" s="464"/>
      <c r="BZ440" s="464"/>
      <c r="CA440" s="464"/>
      <c r="CB440" s="464"/>
      <c r="CC440" s="464"/>
      <c r="CD440" s="464"/>
      <c r="CE440" s="464"/>
      <c r="CF440" s="464"/>
    </row>
    <row r="441" spans="72:84" ht="15" customHeight="1" x14ac:dyDescent="0.45">
      <c r="BT441" s="493"/>
      <c r="BW441" s="464"/>
      <c r="BX441" s="464"/>
      <c r="BY441" s="464"/>
      <c r="BZ441" s="464"/>
      <c r="CA441" s="464"/>
      <c r="CB441" s="464"/>
      <c r="CC441" s="464"/>
      <c r="CD441" s="464"/>
      <c r="CE441" s="464"/>
      <c r="CF441" s="464"/>
    </row>
    <row r="442" spans="72:84" ht="15" customHeight="1" x14ac:dyDescent="0.45">
      <c r="BT442" s="493"/>
      <c r="BW442" s="464"/>
      <c r="BX442" s="464"/>
      <c r="BY442" s="464"/>
      <c r="BZ442" s="464"/>
      <c r="CA442" s="464"/>
      <c r="CB442" s="464"/>
      <c r="CC442" s="464"/>
      <c r="CD442" s="464"/>
      <c r="CE442" s="464"/>
      <c r="CF442" s="464"/>
    </row>
    <row r="443" spans="72:84" ht="15" customHeight="1" x14ac:dyDescent="0.45">
      <c r="BT443" s="493"/>
      <c r="BW443" s="464"/>
      <c r="BX443" s="464"/>
      <c r="BY443" s="464"/>
      <c r="BZ443" s="464"/>
      <c r="CA443" s="464"/>
      <c r="CB443" s="464"/>
      <c r="CC443" s="464"/>
      <c r="CD443" s="464"/>
      <c r="CE443" s="464"/>
      <c r="CF443" s="464"/>
    </row>
    <row r="444" spans="72:84" ht="15" customHeight="1" x14ac:dyDescent="0.45">
      <c r="BT444" s="493"/>
      <c r="BW444" s="464"/>
      <c r="BX444" s="464"/>
      <c r="BY444" s="464"/>
      <c r="BZ444" s="464"/>
      <c r="CA444" s="464"/>
      <c r="CB444" s="464"/>
      <c r="CC444" s="464"/>
      <c r="CD444" s="464"/>
      <c r="CE444" s="464"/>
      <c r="CF444" s="464"/>
    </row>
    <row r="445" spans="72:84" ht="15" customHeight="1" x14ac:dyDescent="0.45">
      <c r="BT445" s="493"/>
      <c r="BW445" s="464"/>
      <c r="BX445" s="464"/>
      <c r="BY445" s="464"/>
      <c r="BZ445" s="464"/>
      <c r="CA445" s="464"/>
      <c r="CB445" s="464"/>
      <c r="CC445" s="464"/>
      <c r="CD445" s="464"/>
      <c r="CE445" s="464"/>
      <c r="CF445" s="464"/>
    </row>
    <row r="446" spans="72:84" ht="15" customHeight="1" x14ac:dyDescent="0.45">
      <c r="BT446" s="493"/>
      <c r="BW446" s="464"/>
      <c r="BX446" s="464"/>
      <c r="BY446" s="464"/>
      <c r="BZ446" s="464"/>
      <c r="CA446" s="464"/>
      <c r="CB446" s="464"/>
      <c r="CC446" s="464"/>
      <c r="CD446" s="464"/>
      <c r="CE446" s="464"/>
      <c r="CF446" s="464"/>
    </row>
    <row r="447" spans="72:84" ht="15" customHeight="1" x14ac:dyDescent="0.45">
      <c r="BT447" s="493"/>
      <c r="BW447" s="464"/>
      <c r="BX447" s="464"/>
      <c r="BY447" s="464"/>
      <c r="BZ447" s="464"/>
      <c r="CA447" s="464"/>
      <c r="CB447" s="464"/>
      <c r="CC447" s="464"/>
      <c r="CD447" s="464"/>
      <c r="CE447" s="464"/>
      <c r="CF447" s="464"/>
    </row>
    <row r="448" spans="72:84" ht="15" customHeight="1" x14ac:dyDescent="0.45">
      <c r="BT448" s="493"/>
      <c r="BW448" s="464"/>
      <c r="BX448" s="464"/>
      <c r="BY448" s="464"/>
      <c r="BZ448" s="464"/>
      <c r="CA448" s="464"/>
      <c r="CB448" s="464"/>
      <c r="CC448" s="464"/>
      <c r="CD448" s="464"/>
      <c r="CE448" s="464"/>
      <c r="CF448" s="464"/>
    </row>
    <row r="449" spans="72:84" ht="15" customHeight="1" x14ac:dyDescent="0.45">
      <c r="BT449" s="493"/>
      <c r="BW449" s="464"/>
      <c r="BX449" s="464"/>
      <c r="BY449" s="464"/>
      <c r="BZ449" s="464"/>
      <c r="CA449" s="464"/>
      <c r="CB449" s="464"/>
      <c r="CC449" s="464"/>
      <c r="CD449" s="464"/>
      <c r="CE449" s="464"/>
      <c r="CF449" s="464"/>
    </row>
    <row r="450" spans="72:84" ht="15" customHeight="1" x14ac:dyDescent="0.45">
      <c r="BT450" s="493"/>
      <c r="BW450" s="464"/>
      <c r="BX450" s="464"/>
      <c r="BY450" s="464"/>
      <c r="BZ450" s="464"/>
      <c r="CA450" s="464"/>
      <c r="CB450" s="464"/>
      <c r="CC450" s="464"/>
      <c r="CD450" s="464"/>
      <c r="CE450" s="464"/>
      <c r="CF450" s="464"/>
    </row>
    <row r="451" spans="72:84" ht="15" customHeight="1" x14ac:dyDescent="0.45">
      <c r="BT451" s="493"/>
      <c r="BW451" s="464"/>
      <c r="BX451" s="464"/>
      <c r="BY451" s="464"/>
      <c r="BZ451" s="464"/>
      <c r="CA451" s="464"/>
      <c r="CB451" s="464"/>
      <c r="CC451" s="464"/>
      <c r="CD451" s="464"/>
      <c r="CE451" s="464"/>
      <c r="CF451" s="464"/>
    </row>
    <row r="452" spans="72:84" ht="15" customHeight="1" x14ac:dyDescent="0.45">
      <c r="BT452" s="493"/>
      <c r="BW452" s="464"/>
      <c r="BX452" s="464"/>
      <c r="BY452" s="464"/>
      <c r="BZ452" s="464"/>
      <c r="CA452" s="464"/>
      <c r="CB452" s="464"/>
      <c r="CC452" s="464"/>
      <c r="CD452" s="464"/>
      <c r="CE452" s="464"/>
      <c r="CF452" s="464"/>
    </row>
    <row r="453" spans="72:84" ht="15" customHeight="1" x14ac:dyDescent="0.45">
      <c r="BT453" s="493"/>
      <c r="BW453" s="464"/>
      <c r="BX453" s="464"/>
      <c r="BY453" s="464"/>
      <c r="BZ453" s="464"/>
      <c r="CA453" s="464"/>
      <c r="CB453" s="464"/>
      <c r="CC453" s="464"/>
      <c r="CD453" s="464"/>
      <c r="CE453" s="464"/>
      <c r="CF453" s="464"/>
    </row>
    <row r="454" spans="72:84" ht="15" customHeight="1" x14ac:dyDescent="0.45">
      <c r="BT454" s="493"/>
      <c r="BW454" s="464"/>
      <c r="BX454" s="464"/>
      <c r="BY454" s="464"/>
      <c r="BZ454" s="464"/>
      <c r="CA454" s="464"/>
      <c r="CB454" s="464"/>
      <c r="CC454" s="464"/>
      <c r="CD454" s="464"/>
      <c r="CE454" s="464"/>
      <c r="CF454" s="464"/>
    </row>
    <row r="455" spans="72:84" ht="15" customHeight="1" x14ac:dyDescent="0.45">
      <c r="BT455" s="493"/>
      <c r="BW455" s="464"/>
      <c r="BX455" s="464"/>
      <c r="BY455" s="464"/>
      <c r="BZ455" s="464"/>
      <c r="CA455" s="464"/>
      <c r="CB455" s="464"/>
      <c r="CC455" s="464"/>
      <c r="CD455" s="464"/>
      <c r="CE455" s="464"/>
      <c r="CF455" s="464"/>
    </row>
    <row r="456" spans="72:84" ht="49.5" customHeight="1" x14ac:dyDescent="0.45">
      <c r="BT456" s="493"/>
      <c r="BW456" s="464"/>
      <c r="BX456" s="464"/>
      <c r="BY456" s="464"/>
      <c r="BZ456" s="464"/>
      <c r="CA456" s="464"/>
      <c r="CB456" s="464"/>
      <c r="CC456" s="464"/>
      <c r="CD456" s="464"/>
      <c r="CE456" s="464"/>
      <c r="CF456" s="464"/>
    </row>
    <row r="457" spans="72:84" ht="49.5" customHeight="1" x14ac:dyDescent="0.45">
      <c r="BT457" s="493"/>
      <c r="BW457" s="464"/>
      <c r="BX457" s="464"/>
      <c r="BY457" s="464"/>
      <c r="BZ457" s="464"/>
      <c r="CA457" s="464"/>
      <c r="CB457" s="464"/>
      <c r="CC457" s="464"/>
      <c r="CD457" s="464"/>
      <c r="CE457" s="464"/>
      <c r="CF457" s="464"/>
    </row>
    <row r="458" spans="72:84" ht="49.5" customHeight="1" x14ac:dyDescent="0.45">
      <c r="BT458" s="493"/>
      <c r="BW458" s="464"/>
      <c r="BX458" s="464"/>
      <c r="BY458" s="464"/>
      <c r="BZ458" s="464"/>
      <c r="CA458" s="464"/>
      <c r="CB458" s="464"/>
      <c r="CC458" s="464"/>
      <c r="CD458" s="464"/>
      <c r="CE458" s="464"/>
      <c r="CF458" s="464"/>
    </row>
    <row r="459" spans="72:84" ht="49.5" customHeight="1" x14ac:dyDescent="0.45">
      <c r="BT459" s="493"/>
      <c r="BW459" s="464"/>
      <c r="BX459" s="464"/>
      <c r="BY459" s="464"/>
      <c r="BZ459" s="464"/>
      <c r="CA459" s="464"/>
      <c r="CB459" s="464"/>
      <c r="CC459" s="464"/>
      <c r="CD459" s="464"/>
      <c r="CE459" s="464"/>
      <c r="CF459" s="464"/>
    </row>
    <row r="460" spans="72:84" ht="49.5" customHeight="1" x14ac:dyDescent="0.45">
      <c r="BT460" s="493"/>
      <c r="BW460" s="464"/>
      <c r="BX460" s="464"/>
      <c r="BY460" s="464"/>
      <c r="BZ460" s="464"/>
      <c r="CA460" s="464"/>
      <c r="CB460" s="464"/>
      <c r="CC460" s="464"/>
      <c r="CD460" s="464"/>
      <c r="CE460" s="464"/>
      <c r="CF460" s="464"/>
    </row>
    <row r="461" spans="72:84" ht="49.5" customHeight="1" x14ac:dyDescent="0.45">
      <c r="BT461" s="493"/>
      <c r="BW461" s="464"/>
      <c r="BX461" s="464"/>
      <c r="BY461" s="464"/>
      <c r="BZ461" s="464"/>
      <c r="CA461" s="464"/>
      <c r="CB461" s="464"/>
      <c r="CC461" s="464"/>
      <c r="CD461" s="464"/>
      <c r="CE461" s="464"/>
      <c r="CF461" s="464"/>
    </row>
    <row r="462" spans="72:84" ht="49.5" customHeight="1" x14ac:dyDescent="0.45">
      <c r="BT462" s="493"/>
      <c r="BW462" s="464"/>
      <c r="BX462" s="464"/>
      <c r="BY462" s="464"/>
      <c r="BZ462" s="464"/>
      <c r="CA462" s="464"/>
      <c r="CB462" s="464"/>
      <c r="CC462" s="464"/>
      <c r="CD462" s="464"/>
      <c r="CE462" s="464"/>
      <c r="CF462" s="464"/>
    </row>
    <row r="463" spans="72:84" ht="49.5" customHeight="1" x14ac:dyDescent="0.45">
      <c r="BT463" s="493"/>
      <c r="BW463" s="464"/>
      <c r="BX463" s="464"/>
      <c r="BY463" s="464"/>
      <c r="BZ463" s="464"/>
      <c r="CA463" s="464"/>
      <c r="CB463" s="464"/>
      <c r="CC463" s="464"/>
      <c r="CD463" s="464"/>
      <c r="CE463" s="464"/>
      <c r="CF463" s="464"/>
    </row>
    <row r="464" spans="72:84" ht="49.5" customHeight="1" x14ac:dyDescent="0.45">
      <c r="BT464" s="493"/>
      <c r="BW464" s="464"/>
      <c r="BX464" s="464"/>
      <c r="BY464" s="464"/>
      <c r="BZ464" s="464"/>
      <c r="CA464" s="464"/>
      <c r="CB464" s="464"/>
      <c r="CC464" s="464"/>
      <c r="CD464" s="464"/>
      <c r="CE464" s="464"/>
      <c r="CF464" s="464"/>
    </row>
    <row r="465" spans="72:84" ht="49.5" customHeight="1" x14ac:dyDescent="0.45">
      <c r="BT465" s="493"/>
      <c r="BW465" s="464"/>
      <c r="BX465" s="464"/>
      <c r="BY465" s="464"/>
      <c r="BZ465" s="464"/>
      <c r="CA465" s="464"/>
      <c r="CB465" s="464"/>
      <c r="CC465" s="464"/>
      <c r="CD465" s="464"/>
      <c r="CE465" s="464"/>
      <c r="CF465" s="464"/>
    </row>
    <row r="466" spans="72:84" ht="49.5" customHeight="1" x14ac:dyDescent="0.45">
      <c r="BT466" s="493"/>
      <c r="BW466" s="464"/>
      <c r="BX466" s="464"/>
      <c r="BY466" s="464"/>
      <c r="BZ466" s="464"/>
      <c r="CA466" s="464"/>
      <c r="CB466" s="464"/>
      <c r="CC466" s="464"/>
      <c r="CD466" s="464"/>
      <c r="CE466" s="464"/>
      <c r="CF466" s="464"/>
    </row>
    <row r="467" spans="72:84" ht="49.5" customHeight="1" x14ac:dyDescent="0.45">
      <c r="BT467" s="493"/>
      <c r="BW467" s="464"/>
      <c r="BX467" s="464"/>
      <c r="BY467" s="464"/>
      <c r="BZ467" s="464"/>
      <c r="CA467" s="464"/>
      <c r="CB467" s="464"/>
      <c r="CC467" s="464"/>
      <c r="CD467" s="464"/>
      <c r="CE467" s="464"/>
      <c r="CF467" s="464"/>
    </row>
    <row r="468" spans="72:84" ht="49.5" customHeight="1" x14ac:dyDescent="0.45">
      <c r="BT468" s="493"/>
      <c r="BW468" s="464"/>
      <c r="BX468" s="464"/>
      <c r="BY468" s="464"/>
      <c r="BZ468" s="464"/>
      <c r="CA468" s="464"/>
      <c r="CB468" s="464"/>
      <c r="CC468" s="464"/>
      <c r="CD468" s="464"/>
      <c r="CE468" s="464"/>
      <c r="CF468" s="464"/>
    </row>
    <row r="469" spans="72:84" ht="49.5" customHeight="1" x14ac:dyDescent="0.45">
      <c r="BT469" s="493"/>
      <c r="BW469" s="464"/>
      <c r="BX469" s="464"/>
      <c r="BY469" s="464"/>
      <c r="BZ469" s="464"/>
      <c r="CA469" s="464"/>
      <c r="CB469" s="464"/>
      <c r="CC469" s="464"/>
      <c r="CD469" s="464"/>
      <c r="CE469" s="464"/>
      <c r="CF469" s="464"/>
    </row>
    <row r="470" spans="72:84" ht="49.5" customHeight="1" x14ac:dyDescent="0.45">
      <c r="BT470" s="493"/>
      <c r="BW470" s="464"/>
      <c r="BX470" s="464"/>
      <c r="BY470" s="464"/>
      <c r="BZ470" s="464"/>
      <c r="CA470" s="464"/>
      <c r="CB470" s="464"/>
      <c r="CC470" s="464"/>
      <c r="CD470" s="464"/>
      <c r="CE470" s="464"/>
      <c r="CF470" s="464"/>
    </row>
    <row r="471" spans="72:84" ht="49.5" customHeight="1" x14ac:dyDescent="0.45">
      <c r="BT471" s="493"/>
      <c r="BW471" s="464"/>
      <c r="BX471" s="464"/>
      <c r="BY471" s="464"/>
      <c r="BZ471" s="464"/>
      <c r="CA471" s="464"/>
      <c r="CB471" s="464"/>
      <c r="CC471" s="464"/>
      <c r="CD471" s="464"/>
      <c r="CE471" s="464"/>
      <c r="CF471" s="464"/>
    </row>
    <row r="472" spans="72:84" ht="49.5" customHeight="1" x14ac:dyDescent="0.45">
      <c r="BT472" s="493"/>
      <c r="BW472" s="464"/>
      <c r="BX472" s="464"/>
      <c r="BY472" s="464"/>
      <c r="BZ472" s="464"/>
      <c r="CA472" s="464"/>
      <c r="CB472" s="464"/>
      <c r="CC472" s="464"/>
      <c r="CD472" s="464"/>
      <c r="CE472" s="464"/>
      <c r="CF472" s="464"/>
    </row>
    <row r="473" spans="72:84" ht="49.5" customHeight="1" x14ac:dyDescent="0.45">
      <c r="BT473" s="493"/>
      <c r="BW473" s="464"/>
      <c r="BX473" s="464"/>
      <c r="BY473" s="464"/>
      <c r="BZ473" s="464"/>
      <c r="CA473" s="464"/>
      <c r="CB473" s="464"/>
      <c r="CC473" s="464"/>
      <c r="CD473" s="464"/>
      <c r="CE473" s="464"/>
      <c r="CF473" s="464"/>
    </row>
    <row r="474" spans="72:84" ht="49.5" customHeight="1" x14ac:dyDescent="0.45">
      <c r="BT474" s="493"/>
      <c r="BW474" s="464"/>
      <c r="BX474" s="464"/>
      <c r="BY474" s="464"/>
      <c r="BZ474" s="464"/>
      <c r="CA474" s="464"/>
      <c r="CB474" s="464"/>
      <c r="CC474" s="464"/>
      <c r="CD474" s="464"/>
      <c r="CE474" s="464"/>
      <c r="CF474" s="464"/>
    </row>
    <row r="475" spans="72:84" ht="49.5" customHeight="1" x14ac:dyDescent="0.45">
      <c r="BT475" s="493"/>
      <c r="BW475" s="464"/>
      <c r="BX475" s="464"/>
      <c r="BY475" s="464"/>
      <c r="BZ475" s="464"/>
      <c r="CA475" s="464"/>
      <c r="CB475" s="464"/>
      <c r="CC475" s="464"/>
      <c r="CD475" s="464"/>
      <c r="CE475" s="464"/>
      <c r="CF475" s="464"/>
    </row>
    <row r="476" spans="72:84" ht="49.5" customHeight="1" x14ac:dyDescent="0.45">
      <c r="BT476" s="493"/>
      <c r="BW476" s="464"/>
      <c r="BX476" s="464"/>
      <c r="BY476" s="464"/>
      <c r="BZ476" s="464"/>
      <c r="CA476" s="464"/>
      <c r="CB476" s="464"/>
      <c r="CC476" s="464"/>
      <c r="CD476" s="464"/>
      <c r="CE476" s="464"/>
      <c r="CF476" s="464"/>
    </row>
    <row r="477" spans="72:84" ht="49.5" customHeight="1" x14ac:dyDescent="0.45">
      <c r="BT477" s="493"/>
      <c r="BW477" s="464"/>
      <c r="BX477" s="464"/>
      <c r="BY477" s="464"/>
      <c r="BZ477" s="464"/>
      <c r="CA477" s="464"/>
      <c r="CB477" s="464"/>
      <c r="CC477" s="464"/>
      <c r="CD477" s="464"/>
      <c r="CE477" s="464"/>
      <c r="CF477" s="464"/>
    </row>
    <row r="478" spans="72:84" ht="49.5" customHeight="1" x14ac:dyDescent="0.45">
      <c r="BT478" s="493"/>
      <c r="BW478" s="464"/>
      <c r="BX478" s="464"/>
      <c r="BY478" s="464"/>
      <c r="BZ478" s="464"/>
      <c r="CA478" s="464"/>
      <c r="CB478" s="464"/>
      <c r="CC478" s="464"/>
      <c r="CD478" s="464"/>
      <c r="CE478" s="464"/>
      <c r="CF478" s="464"/>
    </row>
    <row r="479" spans="72:84" ht="49.5" customHeight="1" x14ac:dyDescent="0.45">
      <c r="BT479" s="493"/>
      <c r="BW479" s="464"/>
      <c r="BX479" s="464"/>
      <c r="BY479" s="464"/>
      <c r="BZ479" s="464"/>
      <c r="CA479" s="464"/>
      <c r="CB479" s="464"/>
      <c r="CC479" s="464"/>
      <c r="CD479" s="464"/>
      <c r="CE479" s="464"/>
      <c r="CF479" s="464"/>
    </row>
    <row r="480" spans="72:84" ht="49.5" customHeight="1" x14ac:dyDescent="0.45">
      <c r="BT480" s="493"/>
      <c r="BW480" s="464"/>
      <c r="BX480" s="464"/>
      <c r="BY480" s="464"/>
      <c r="BZ480" s="464"/>
      <c r="CA480" s="464"/>
      <c r="CB480" s="464"/>
      <c r="CC480" s="464"/>
      <c r="CD480" s="464"/>
      <c r="CE480" s="464"/>
      <c r="CF480" s="464"/>
    </row>
    <row r="481" spans="72:84" ht="49.5" customHeight="1" x14ac:dyDescent="0.45">
      <c r="BT481" s="493"/>
      <c r="BW481" s="464"/>
      <c r="BX481" s="464"/>
      <c r="BY481" s="464"/>
      <c r="BZ481" s="464"/>
      <c r="CA481" s="464"/>
      <c r="CB481" s="464"/>
      <c r="CC481" s="464"/>
      <c r="CD481" s="464"/>
      <c r="CE481" s="464"/>
      <c r="CF481" s="464"/>
    </row>
    <row r="482" spans="72:84" ht="49.5" customHeight="1" x14ac:dyDescent="0.45">
      <c r="BT482" s="493"/>
      <c r="BW482" s="464"/>
      <c r="BX482" s="464"/>
      <c r="BY482" s="464"/>
      <c r="BZ482" s="464"/>
      <c r="CA482" s="464"/>
      <c r="CB482" s="464"/>
      <c r="CC482" s="464"/>
      <c r="CD482" s="464"/>
      <c r="CE482" s="464"/>
      <c r="CF482" s="464"/>
    </row>
    <row r="483" spans="72:84" ht="49.5" customHeight="1" x14ac:dyDescent="0.45">
      <c r="BT483" s="493"/>
      <c r="BW483" s="464"/>
      <c r="BX483" s="464"/>
      <c r="BY483" s="464"/>
      <c r="BZ483" s="464"/>
      <c r="CA483" s="464"/>
      <c r="CB483" s="464"/>
      <c r="CC483" s="464"/>
      <c r="CD483" s="464"/>
      <c r="CE483" s="464"/>
      <c r="CF483" s="464"/>
    </row>
    <row r="484" spans="72:84" ht="49.5" customHeight="1" x14ac:dyDescent="0.45">
      <c r="BT484" s="493"/>
      <c r="BW484" s="464"/>
      <c r="BX484" s="464"/>
      <c r="BY484" s="464"/>
      <c r="BZ484" s="464"/>
      <c r="CA484" s="464"/>
      <c r="CB484" s="464"/>
      <c r="CC484" s="464"/>
      <c r="CD484" s="464"/>
      <c r="CE484" s="464"/>
      <c r="CF484" s="464"/>
    </row>
    <row r="485" spans="72:84" ht="49.5" customHeight="1" x14ac:dyDescent="0.45">
      <c r="BT485" s="493"/>
      <c r="BW485" s="464"/>
      <c r="BX485" s="464"/>
      <c r="BY485" s="464"/>
      <c r="BZ485" s="464"/>
      <c r="CA485" s="464"/>
      <c r="CB485" s="464"/>
      <c r="CC485" s="464"/>
      <c r="CD485" s="464"/>
      <c r="CE485" s="464"/>
      <c r="CF485" s="464"/>
    </row>
    <row r="486" spans="72:84" ht="49.5" customHeight="1" x14ac:dyDescent="0.45">
      <c r="BT486" s="493"/>
      <c r="BW486" s="464"/>
      <c r="BX486" s="464"/>
      <c r="BY486" s="464"/>
      <c r="BZ486" s="464"/>
      <c r="CA486" s="464"/>
      <c r="CB486" s="464"/>
      <c r="CC486" s="464"/>
      <c r="CD486" s="464"/>
      <c r="CE486" s="464"/>
      <c r="CF486" s="464"/>
    </row>
    <row r="487" spans="72:84" ht="49.5" customHeight="1" x14ac:dyDescent="0.45">
      <c r="BT487" s="493"/>
      <c r="BW487" s="464"/>
      <c r="BX487" s="464"/>
      <c r="BY487" s="464"/>
      <c r="BZ487" s="464"/>
      <c r="CA487" s="464"/>
      <c r="CB487" s="464"/>
      <c r="CC487" s="464"/>
      <c r="CD487" s="464"/>
      <c r="CE487" s="464"/>
      <c r="CF487" s="464"/>
    </row>
    <row r="488" spans="72:84" ht="49.5" customHeight="1" x14ac:dyDescent="0.45">
      <c r="BT488" s="493"/>
      <c r="BW488" s="464"/>
      <c r="BX488" s="464"/>
      <c r="BY488" s="464"/>
      <c r="BZ488" s="464"/>
      <c r="CA488" s="464"/>
      <c r="CB488" s="464"/>
      <c r="CC488" s="464"/>
      <c r="CD488" s="464"/>
      <c r="CE488" s="464"/>
      <c r="CF488" s="464"/>
    </row>
    <row r="489" spans="72:84" ht="49.5" customHeight="1" x14ac:dyDescent="0.45">
      <c r="BT489" s="493"/>
      <c r="BW489" s="464"/>
      <c r="BX489" s="464"/>
      <c r="BY489" s="464"/>
      <c r="BZ489" s="464"/>
      <c r="CA489" s="464"/>
      <c r="CB489" s="464"/>
      <c r="CC489" s="464"/>
      <c r="CD489" s="464"/>
      <c r="CE489" s="464"/>
      <c r="CF489" s="464"/>
    </row>
    <row r="490" spans="72:84" ht="49.5" customHeight="1" x14ac:dyDescent="0.45">
      <c r="BT490" s="493"/>
      <c r="BW490" s="464"/>
      <c r="BX490" s="464"/>
      <c r="BY490" s="464"/>
      <c r="BZ490" s="464"/>
      <c r="CA490" s="464"/>
      <c r="CB490" s="464"/>
      <c r="CC490" s="464"/>
      <c r="CD490" s="464"/>
      <c r="CE490" s="464"/>
      <c r="CF490" s="464"/>
    </row>
    <row r="491" spans="72:84" ht="49.5" customHeight="1" x14ac:dyDescent="0.45">
      <c r="BT491" s="493"/>
      <c r="BW491" s="464"/>
      <c r="BX491" s="464"/>
      <c r="BY491" s="464"/>
      <c r="BZ491" s="464"/>
      <c r="CA491" s="464"/>
      <c r="CB491" s="464"/>
      <c r="CC491" s="464"/>
      <c r="CD491" s="464"/>
      <c r="CE491" s="464"/>
      <c r="CF491" s="464"/>
    </row>
    <row r="492" spans="72:84" ht="49.5" customHeight="1" x14ac:dyDescent="0.45">
      <c r="BT492" s="493"/>
      <c r="BW492" s="464"/>
      <c r="BX492" s="464"/>
      <c r="BY492" s="464"/>
      <c r="BZ492" s="464"/>
      <c r="CA492" s="464"/>
      <c r="CB492" s="464"/>
      <c r="CC492" s="464"/>
      <c r="CD492" s="464"/>
      <c r="CE492" s="464"/>
      <c r="CF492" s="464"/>
    </row>
    <row r="493" spans="72:84" ht="49.5" customHeight="1" x14ac:dyDescent="0.45">
      <c r="BT493" s="493"/>
      <c r="BW493" s="464"/>
      <c r="BX493" s="464"/>
      <c r="BY493" s="464"/>
      <c r="BZ493" s="464"/>
      <c r="CA493" s="464"/>
      <c r="CB493" s="464"/>
      <c r="CC493" s="464"/>
      <c r="CD493" s="464"/>
      <c r="CE493" s="464"/>
      <c r="CF493" s="464"/>
    </row>
    <row r="494" spans="72:84" ht="49.5" customHeight="1" x14ac:dyDescent="0.45">
      <c r="BT494" s="493"/>
      <c r="BW494" s="464"/>
      <c r="BX494" s="464"/>
      <c r="BY494" s="464"/>
      <c r="BZ494" s="464"/>
      <c r="CA494" s="464"/>
      <c r="CB494" s="464"/>
      <c r="CC494" s="464"/>
      <c r="CD494" s="464"/>
      <c r="CE494" s="464"/>
      <c r="CF494" s="464"/>
    </row>
    <row r="495" spans="72:84" ht="49.5" customHeight="1" x14ac:dyDescent="0.45">
      <c r="BT495" s="493"/>
      <c r="BW495" s="464"/>
      <c r="BX495" s="464"/>
      <c r="BY495" s="464"/>
      <c r="BZ495" s="464"/>
      <c r="CA495" s="464"/>
      <c r="CB495" s="464"/>
      <c r="CC495" s="464"/>
      <c r="CD495" s="464"/>
      <c r="CE495" s="464"/>
      <c r="CF495" s="464"/>
    </row>
    <row r="496" spans="72:84" ht="49.5" customHeight="1" x14ac:dyDescent="0.45">
      <c r="BT496" s="493"/>
      <c r="BW496" s="464"/>
      <c r="BX496" s="464"/>
      <c r="BY496" s="464"/>
      <c r="BZ496" s="464"/>
      <c r="CA496" s="464"/>
      <c r="CB496" s="464"/>
      <c r="CC496" s="464"/>
      <c r="CD496" s="464"/>
      <c r="CE496" s="464"/>
      <c r="CF496" s="464"/>
    </row>
    <row r="497" spans="72:84" ht="49.5" customHeight="1" x14ac:dyDescent="0.45">
      <c r="BT497" s="493"/>
      <c r="BW497" s="464"/>
      <c r="BX497" s="464"/>
      <c r="BY497" s="464"/>
      <c r="BZ497" s="464"/>
      <c r="CA497" s="464"/>
      <c r="CB497" s="464"/>
      <c r="CC497" s="464"/>
      <c r="CD497" s="464"/>
      <c r="CE497" s="464"/>
      <c r="CF497" s="464"/>
    </row>
    <row r="498" spans="72:84" ht="49.5" customHeight="1" x14ac:dyDescent="0.45">
      <c r="BT498" s="493"/>
      <c r="BW498" s="464"/>
      <c r="BX498" s="464"/>
      <c r="BY498" s="464"/>
      <c r="BZ498" s="464"/>
      <c r="CA498" s="464"/>
      <c r="CB498" s="464"/>
      <c r="CC498" s="464"/>
      <c r="CD498" s="464"/>
      <c r="CE498" s="464"/>
      <c r="CF498" s="464"/>
    </row>
    <row r="499" spans="72:84" ht="49.5" customHeight="1" x14ac:dyDescent="0.45">
      <c r="BT499" s="493"/>
      <c r="BW499" s="464"/>
      <c r="BX499" s="464"/>
      <c r="BY499" s="464"/>
      <c r="BZ499" s="464"/>
      <c r="CA499" s="464"/>
      <c r="CB499" s="464"/>
      <c r="CC499" s="464"/>
      <c r="CD499" s="464"/>
      <c r="CE499" s="464"/>
      <c r="CF499" s="464"/>
    </row>
    <row r="500" spans="72:84" ht="49.5" customHeight="1" x14ac:dyDescent="0.45">
      <c r="BT500" s="493"/>
      <c r="BW500" s="464"/>
      <c r="BX500" s="464"/>
      <c r="BY500" s="464"/>
      <c r="BZ500" s="464"/>
      <c r="CA500" s="464"/>
      <c r="CB500" s="464"/>
      <c r="CC500" s="464"/>
      <c r="CD500" s="464"/>
      <c r="CE500" s="464"/>
      <c r="CF500" s="464"/>
    </row>
    <row r="501" spans="72:84" ht="49.5" customHeight="1" x14ac:dyDescent="0.45">
      <c r="BT501" s="493"/>
      <c r="BW501" s="464"/>
      <c r="BX501" s="464"/>
      <c r="BY501" s="464"/>
      <c r="BZ501" s="464"/>
      <c r="CA501" s="464"/>
      <c r="CB501" s="464"/>
      <c r="CC501" s="464"/>
      <c r="CD501" s="464"/>
      <c r="CE501" s="464"/>
      <c r="CF501" s="464"/>
    </row>
    <row r="502" spans="72:84" ht="49.5" customHeight="1" x14ac:dyDescent="0.45">
      <c r="BT502" s="493"/>
      <c r="BW502" s="464"/>
      <c r="BX502" s="464"/>
      <c r="BY502" s="464"/>
      <c r="BZ502" s="464"/>
      <c r="CA502" s="464"/>
      <c r="CB502" s="464"/>
      <c r="CC502" s="464"/>
      <c r="CD502" s="464"/>
      <c r="CE502" s="464"/>
      <c r="CF502" s="464"/>
    </row>
    <row r="503" spans="72:84" ht="49.5" customHeight="1" x14ac:dyDescent="0.45">
      <c r="BT503" s="493"/>
      <c r="BW503" s="464"/>
      <c r="BX503" s="464"/>
      <c r="BY503" s="464"/>
      <c r="BZ503" s="464"/>
      <c r="CA503" s="464"/>
      <c r="CB503" s="464"/>
      <c r="CC503" s="464"/>
      <c r="CD503" s="464"/>
      <c r="CE503" s="464"/>
      <c r="CF503" s="464"/>
    </row>
    <row r="504" spans="72:84" ht="49.5" customHeight="1" x14ac:dyDescent="0.45">
      <c r="BT504" s="493"/>
      <c r="BW504" s="464"/>
      <c r="BX504" s="464"/>
      <c r="BY504" s="464"/>
      <c r="BZ504" s="464"/>
      <c r="CA504" s="464"/>
      <c r="CB504" s="464"/>
      <c r="CC504" s="464"/>
      <c r="CD504" s="464"/>
      <c r="CE504" s="464"/>
      <c r="CF504" s="464"/>
    </row>
    <row r="505" spans="72:84" ht="49.5" customHeight="1" x14ac:dyDescent="0.45">
      <c r="BT505" s="493"/>
      <c r="BW505" s="464"/>
      <c r="BX505" s="464"/>
      <c r="BY505" s="464"/>
      <c r="BZ505" s="464"/>
      <c r="CA505" s="464"/>
      <c r="CB505" s="464"/>
      <c r="CC505" s="464"/>
      <c r="CD505" s="464"/>
      <c r="CE505" s="464"/>
      <c r="CF505" s="464"/>
    </row>
    <row r="506" spans="72:84" ht="49.5" customHeight="1" x14ac:dyDescent="0.45">
      <c r="BT506" s="493"/>
      <c r="BW506" s="464"/>
      <c r="BX506" s="464"/>
      <c r="BY506" s="464"/>
      <c r="BZ506" s="464"/>
      <c r="CA506" s="464"/>
      <c r="CB506" s="464"/>
      <c r="CC506" s="464"/>
      <c r="CD506" s="464"/>
      <c r="CE506" s="464"/>
      <c r="CF506" s="464"/>
    </row>
    <row r="507" spans="72:84" ht="49.5" customHeight="1" x14ac:dyDescent="0.45">
      <c r="BT507" s="493"/>
      <c r="BW507" s="464"/>
      <c r="BX507" s="464"/>
      <c r="BY507" s="464"/>
      <c r="BZ507" s="464"/>
      <c r="CA507" s="464"/>
      <c r="CB507" s="464"/>
      <c r="CC507" s="464"/>
      <c r="CD507" s="464"/>
      <c r="CE507" s="464"/>
      <c r="CF507" s="464"/>
    </row>
    <row r="508" spans="72:84" ht="49.5" customHeight="1" x14ac:dyDescent="0.45">
      <c r="BT508" s="493"/>
      <c r="BW508" s="464"/>
      <c r="BX508" s="464"/>
      <c r="BY508" s="464"/>
      <c r="BZ508" s="464"/>
      <c r="CA508" s="464"/>
      <c r="CB508" s="464"/>
      <c r="CC508" s="464"/>
      <c r="CD508" s="464"/>
      <c r="CE508" s="464"/>
      <c r="CF508" s="464"/>
    </row>
    <row r="509" spans="72:84" ht="49.5" customHeight="1" x14ac:dyDescent="0.45">
      <c r="BT509" s="493"/>
      <c r="BW509" s="464"/>
      <c r="BX509" s="464"/>
      <c r="BY509" s="464"/>
      <c r="BZ509" s="464"/>
      <c r="CA509" s="464"/>
      <c r="CB509" s="464"/>
      <c r="CC509" s="464"/>
      <c r="CD509" s="464"/>
      <c r="CE509" s="464"/>
      <c r="CF509" s="464"/>
    </row>
    <row r="510" spans="72:84" ht="49.5" customHeight="1" x14ac:dyDescent="0.45">
      <c r="BT510" s="493"/>
      <c r="BW510" s="464"/>
      <c r="BX510" s="464"/>
      <c r="BY510" s="464"/>
      <c r="BZ510" s="464"/>
      <c r="CA510" s="464"/>
      <c r="CB510" s="464"/>
      <c r="CC510" s="464"/>
      <c r="CD510" s="464"/>
      <c r="CE510" s="464"/>
      <c r="CF510" s="464"/>
    </row>
    <row r="511" spans="72:84" ht="49.5" customHeight="1" x14ac:dyDescent="0.45">
      <c r="BT511" s="493"/>
      <c r="BW511" s="464"/>
      <c r="BX511" s="464"/>
      <c r="BY511" s="464"/>
      <c r="BZ511" s="464"/>
      <c r="CA511" s="464"/>
      <c r="CB511" s="464"/>
      <c r="CC511" s="464"/>
      <c r="CD511" s="464"/>
      <c r="CE511" s="464"/>
      <c r="CF511" s="464"/>
    </row>
    <row r="512" spans="72:84" ht="49.5" customHeight="1" x14ac:dyDescent="0.45">
      <c r="BT512" s="493"/>
      <c r="BW512" s="464"/>
      <c r="BX512" s="464"/>
      <c r="BY512" s="464"/>
      <c r="BZ512" s="464"/>
      <c r="CA512" s="464"/>
      <c r="CB512" s="464"/>
      <c r="CC512" s="464"/>
      <c r="CD512" s="464"/>
      <c r="CE512" s="464"/>
      <c r="CF512" s="464"/>
    </row>
    <row r="513" spans="72:84" ht="49.5" customHeight="1" x14ac:dyDescent="0.45">
      <c r="BT513" s="493"/>
      <c r="BW513" s="464"/>
      <c r="BX513" s="464"/>
      <c r="BY513" s="464"/>
      <c r="BZ513" s="464"/>
      <c r="CA513" s="464"/>
      <c r="CB513" s="464"/>
      <c r="CC513" s="464"/>
      <c r="CD513" s="464"/>
      <c r="CE513" s="464"/>
      <c r="CF513" s="464"/>
    </row>
    <row r="514" spans="72:84" ht="49.5" customHeight="1" x14ac:dyDescent="0.45">
      <c r="BT514" s="493"/>
      <c r="BW514" s="464"/>
      <c r="BX514" s="464"/>
      <c r="BY514" s="464"/>
      <c r="BZ514" s="464"/>
      <c r="CA514" s="464"/>
      <c r="CB514" s="464"/>
      <c r="CC514" s="464"/>
      <c r="CD514" s="464"/>
      <c r="CE514" s="464"/>
      <c r="CF514" s="464"/>
    </row>
    <row r="515" spans="72:84" ht="49.5" customHeight="1" x14ac:dyDescent="0.45">
      <c r="BT515" s="493"/>
      <c r="BW515" s="464"/>
      <c r="BX515" s="464"/>
      <c r="BY515" s="464"/>
      <c r="BZ515" s="464"/>
      <c r="CA515" s="464"/>
      <c r="CB515" s="464"/>
      <c r="CC515" s="464"/>
      <c r="CD515" s="464"/>
      <c r="CE515" s="464"/>
      <c r="CF515" s="464"/>
    </row>
    <row r="516" spans="72:84" ht="49.5" customHeight="1" x14ac:dyDescent="0.45">
      <c r="BT516" s="493"/>
      <c r="BW516" s="464"/>
      <c r="BX516" s="464"/>
      <c r="BY516" s="464"/>
      <c r="BZ516" s="464"/>
      <c r="CA516" s="464"/>
      <c r="CB516" s="464"/>
      <c r="CC516" s="464"/>
      <c r="CD516" s="464"/>
      <c r="CE516" s="464"/>
      <c r="CF516" s="464"/>
    </row>
    <row r="517" spans="72:84" ht="49.5" customHeight="1" x14ac:dyDescent="0.45">
      <c r="BT517" s="493"/>
      <c r="BW517" s="464"/>
      <c r="BX517" s="464"/>
      <c r="BY517" s="464"/>
      <c r="BZ517" s="464"/>
      <c r="CA517" s="464"/>
      <c r="CB517" s="464"/>
      <c r="CC517" s="464"/>
      <c r="CD517" s="464"/>
      <c r="CE517" s="464"/>
      <c r="CF517" s="464"/>
    </row>
    <row r="518" spans="72:84" ht="49.5" customHeight="1" x14ac:dyDescent="0.45">
      <c r="BT518" s="493"/>
      <c r="BW518" s="464"/>
      <c r="BX518" s="464"/>
      <c r="BY518" s="464"/>
      <c r="BZ518" s="464"/>
      <c r="CA518" s="464"/>
      <c r="CB518" s="464"/>
      <c r="CC518" s="464"/>
      <c r="CD518" s="464"/>
      <c r="CE518" s="464"/>
      <c r="CF518" s="464"/>
    </row>
    <row r="519" spans="72:84" ht="49.5" customHeight="1" x14ac:dyDescent="0.45">
      <c r="BT519" s="493"/>
      <c r="BW519" s="464"/>
      <c r="BX519" s="464"/>
      <c r="BY519" s="464"/>
      <c r="BZ519" s="464"/>
      <c r="CA519" s="464"/>
      <c r="CB519" s="464"/>
      <c r="CC519" s="464"/>
      <c r="CD519" s="464"/>
      <c r="CE519" s="464"/>
      <c r="CF519" s="464"/>
    </row>
    <row r="520" spans="72:84" ht="49.5" customHeight="1" x14ac:dyDescent="0.45">
      <c r="BT520" s="493"/>
      <c r="BW520" s="464"/>
      <c r="BX520" s="464"/>
      <c r="BY520" s="464"/>
      <c r="BZ520" s="464"/>
      <c r="CA520" s="464"/>
      <c r="CB520" s="464"/>
      <c r="CC520" s="464"/>
      <c r="CD520" s="464"/>
      <c r="CE520" s="464"/>
      <c r="CF520" s="464"/>
    </row>
    <row r="521" spans="72:84" ht="49.5" customHeight="1" x14ac:dyDescent="0.45">
      <c r="BT521" s="493"/>
      <c r="BW521" s="464"/>
      <c r="BX521" s="464"/>
      <c r="BY521" s="464"/>
      <c r="BZ521" s="464"/>
      <c r="CA521" s="464"/>
      <c r="CB521" s="464"/>
      <c r="CC521" s="464"/>
      <c r="CD521" s="464"/>
      <c r="CE521" s="464"/>
      <c r="CF521" s="464"/>
    </row>
    <row r="522" spans="72:84" ht="49.5" customHeight="1" x14ac:dyDescent="0.45">
      <c r="BT522" s="493"/>
      <c r="BW522" s="464"/>
      <c r="BX522" s="464"/>
      <c r="BY522" s="464"/>
      <c r="BZ522" s="464"/>
      <c r="CA522" s="464"/>
      <c r="CB522" s="464"/>
      <c r="CC522" s="464"/>
      <c r="CD522" s="464"/>
      <c r="CE522" s="464"/>
      <c r="CF522" s="464"/>
    </row>
    <row r="523" spans="72:84" ht="49.5" customHeight="1" x14ac:dyDescent="0.45">
      <c r="BT523" s="493"/>
      <c r="BW523" s="464"/>
      <c r="BX523" s="464"/>
      <c r="BY523" s="464"/>
      <c r="BZ523" s="464"/>
      <c r="CA523" s="464"/>
      <c r="CB523" s="464"/>
      <c r="CC523" s="464"/>
      <c r="CD523" s="464"/>
      <c r="CE523" s="464"/>
      <c r="CF523" s="464"/>
    </row>
    <row r="524" spans="72:84" ht="49.5" customHeight="1" x14ac:dyDescent="0.45">
      <c r="BT524" s="493"/>
      <c r="BW524" s="464"/>
      <c r="BX524" s="464"/>
      <c r="BY524" s="464"/>
      <c r="BZ524" s="464"/>
      <c r="CA524" s="464"/>
      <c r="CB524" s="464"/>
      <c r="CC524" s="464"/>
      <c r="CD524" s="464"/>
      <c r="CE524" s="464"/>
      <c r="CF524" s="464"/>
    </row>
    <row r="525" spans="72:84" ht="49.5" customHeight="1" x14ac:dyDescent="0.45">
      <c r="BT525" s="493"/>
      <c r="BW525" s="464"/>
      <c r="BX525" s="464"/>
      <c r="BY525" s="464"/>
      <c r="BZ525" s="464"/>
      <c r="CA525" s="464"/>
      <c r="CB525" s="464"/>
      <c r="CC525" s="464"/>
      <c r="CD525" s="464"/>
      <c r="CE525" s="464"/>
      <c r="CF525" s="464"/>
    </row>
    <row r="526" spans="72:84" ht="49.5" customHeight="1" x14ac:dyDescent="0.45">
      <c r="BT526" s="493"/>
      <c r="BW526" s="464"/>
      <c r="BX526" s="464"/>
      <c r="BY526" s="464"/>
      <c r="BZ526" s="464"/>
      <c r="CA526" s="464"/>
      <c r="CB526" s="464"/>
      <c r="CC526" s="464"/>
      <c r="CD526" s="464"/>
      <c r="CE526" s="464"/>
      <c r="CF526" s="464"/>
    </row>
    <row r="527" spans="72:84" ht="49.5" customHeight="1" x14ac:dyDescent="0.45">
      <c r="BT527" s="493"/>
      <c r="BW527" s="464"/>
      <c r="BX527" s="464"/>
      <c r="BY527" s="464"/>
      <c r="BZ527" s="464"/>
      <c r="CA527" s="464"/>
      <c r="CB527" s="464"/>
      <c r="CC527" s="464"/>
      <c r="CD527" s="464"/>
      <c r="CE527" s="464"/>
      <c r="CF527" s="464"/>
    </row>
    <row r="528" spans="72:84" ht="49.5" customHeight="1" x14ac:dyDescent="0.45">
      <c r="BT528" s="493"/>
      <c r="BW528" s="464"/>
      <c r="BX528" s="464"/>
      <c r="BY528" s="464"/>
      <c r="BZ528" s="464"/>
      <c r="CA528" s="464"/>
      <c r="CB528" s="464"/>
      <c r="CC528" s="464"/>
      <c r="CD528" s="464"/>
      <c r="CE528" s="464"/>
      <c r="CF528" s="464"/>
    </row>
    <row r="529" spans="72:84" ht="49.5" customHeight="1" x14ac:dyDescent="0.45">
      <c r="BT529" s="493"/>
      <c r="BW529" s="464"/>
      <c r="BX529" s="464"/>
      <c r="BY529" s="464"/>
      <c r="BZ529" s="464"/>
      <c r="CA529" s="464"/>
      <c r="CB529" s="464"/>
      <c r="CC529" s="464"/>
      <c r="CD529" s="464"/>
      <c r="CE529" s="464"/>
      <c r="CF529" s="464"/>
    </row>
    <row r="530" spans="72:84" ht="49.5" customHeight="1" x14ac:dyDescent="0.45">
      <c r="BT530" s="493"/>
      <c r="BW530" s="464"/>
      <c r="BX530" s="464"/>
      <c r="BY530" s="464"/>
      <c r="BZ530" s="464"/>
      <c r="CA530" s="464"/>
      <c r="CB530" s="464"/>
      <c r="CC530" s="464"/>
      <c r="CD530" s="464"/>
      <c r="CE530" s="464"/>
      <c r="CF530" s="464"/>
    </row>
    <row r="531" spans="72:84" ht="49.5" customHeight="1" x14ac:dyDescent="0.45">
      <c r="BT531" s="493"/>
      <c r="BW531" s="464"/>
      <c r="BX531" s="464"/>
      <c r="BY531" s="464"/>
      <c r="BZ531" s="464"/>
      <c r="CA531" s="464"/>
      <c r="CB531" s="464"/>
      <c r="CC531" s="464"/>
      <c r="CD531" s="464"/>
      <c r="CE531" s="464"/>
      <c r="CF531" s="464"/>
    </row>
    <row r="532" spans="72:84" ht="49.5" customHeight="1" x14ac:dyDescent="0.45">
      <c r="BT532" s="493"/>
      <c r="BW532" s="464"/>
      <c r="BX532" s="464"/>
      <c r="BY532" s="464"/>
      <c r="BZ532" s="464"/>
      <c r="CA532" s="464"/>
      <c r="CB532" s="464"/>
      <c r="CC532" s="464"/>
      <c r="CD532" s="464"/>
      <c r="CE532" s="464"/>
      <c r="CF532" s="464"/>
    </row>
    <row r="533" spans="72:84" ht="49.5" customHeight="1" x14ac:dyDescent="0.45">
      <c r="BT533" s="493"/>
      <c r="BW533" s="464"/>
      <c r="BX533" s="464"/>
      <c r="BY533" s="464"/>
      <c r="BZ533" s="464"/>
      <c r="CA533" s="464"/>
      <c r="CB533" s="464"/>
      <c r="CC533" s="464"/>
      <c r="CD533" s="464"/>
      <c r="CE533" s="464"/>
      <c r="CF533" s="464"/>
    </row>
    <row r="534" spans="72:84" ht="49.5" customHeight="1" x14ac:dyDescent="0.45">
      <c r="BT534" s="493"/>
      <c r="BW534" s="464"/>
      <c r="BX534" s="464"/>
      <c r="BY534" s="464"/>
      <c r="BZ534" s="464"/>
      <c r="CA534" s="464"/>
      <c r="CB534" s="464"/>
      <c r="CC534" s="464"/>
      <c r="CD534" s="464"/>
      <c r="CE534" s="464"/>
      <c r="CF534" s="464"/>
    </row>
    <row r="535" spans="72:84" ht="49.5" customHeight="1" x14ac:dyDescent="0.45">
      <c r="BT535" s="493"/>
      <c r="BW535" s="464"/>
      <c r="BX535" s="464"/>
      <c r="BY535" s="464"/>
      <c r="BZ535" s="464"/>
      <c r="CA535" s="464"/>
      <c r="CB535" s="464"/>
      <c r="CC535" s="464"/>
      <c r="CD535" s="464"/>
      <c r="CE535" s="464"/>
      <c r="CF535" s="464"/>
    </row>
    <row r="536" spans="72:84" ht="49.5" customHeight="1" x14ac:dyDescent="0.45">
      <c r="BT536" s="493"/>
      <c r="BW536" s="464"/>
      <c r="BX536" s="464"/>
      <c r="BY536" s="464"/>
      <c r="BZ536" s="464"/>
      <c r="CA536" s="464"/>
      <c r="CB536" s="464"/>
      <c r="CC536" s="464"/>
      <c r="CD536" s="464"/>
      <c r="CE536" s="464"/>
      <c r="CF536" s="464"/>
    </row>
    <row r="537" spans="72:84" ht="49.5" customHeight="1" x14ac:dyDescent="0.45">
      <c r="BT537" s="493"/>
      <c r="BW537" s="464"/>
      <c r="BX537" s="464"/>
      <c r="BY537" s="464"/>
      <c r="BZ537" s="464"/>
      <c r="CA537" s="464"/>
      <c r="CB537" s="464"/>
      <c r="CC537" s="464"/>
      <c r="CD537" s="464"/>
      <c r="CE537" s="464"/>
      <c r="CF537" s="464"/>
    </row>
    <row r="538" spans="72:84" ht="49.5" customHeight="1" x14ac:dyDescent="0.45">
      <c r="BT538" s="493"/>
      <c r="BW538" s="464"/>
      <c r="BX538" s="464"/>
      <c r="BY538" s="464"/>
      <c r="BZ538" s="464"/>
      <c r="CA538" s="464"/>
      <c r="CB538" s="464"/>
      <c r="CC538" s="464"/>
      <c r="CD538" s="464"/>
      <c r="CE538" s="464"/>
      <c r="CF538" s="464"/>
    </row>
    <row r="539" spans="72:84" ht="49.5" customHeight="1" x14ac:dyDescent="0.45">
      <c r="BT539" s="493"/>
      <c r="BW539" s="464"/>
      <c r="BX539" s="464"/>
      <c r="BY539" s="464"/>
      <c r="BZ539" s="464"/>
      <c r="CA539" s="464"/>
      <c r="CB539" s="464"/>
      <c r="CC539" s="464"/>
      <c r="CD539" s="464"/>
      <c r="CE539" s="464"/>
      <c r="CF539" s="464"/>
    </row>
    <row r="540" spans="72:84" ht="49.5" customHeight="1" x14ac:dyDescent="0.45">
      <c r="BT540" s="493"/>
      <c r="BW540" s="464"/>
      <c r="BX540" s="464"/>
      <c r="BY540" s="464"/>
      <c r="BZ540" s="464"/>
      <c r="CA540" s="464"/>
      <c r="CB540" s="464"/>
      <c r="CC540" s="464"/>
      <c r="CD540" s="464"/>
      <c r="CE540" s="464"/>
      <c r="CF540" s="464"/>
    </row>
    <row r="541" spans="72:84" ht="49.5" customHeight="1" x14ac:dyDescent="0.45">
      <c r="BT541" s="493"/>
      <c r="BW541" s="464"/>
      <c r="BX541" s="464"/>
      <c r="BY541" s="464"/>
      <c r="BZ541" s="464"/>
      <c r="CA541" s="464"/>
      <c r="CB541" s="464"/>
      <c r="CC541" s="464"/>
      <c r="CD541" s="464"/>
      <c r="CE541" s="464"/>
      <c r="CF541" s="464"/>
    </row>
    <row r="542" spans="72:84" ht="49.5" customHeight="1" x14ac:dyDescent="0.45">
      <c r="BT542" s="493"/>
      <c r="BW542" s="464"/>
      <c r="BX542" s="464"/>
      <c r="BY542" s="464"/>
      <c r="BZ542" s="464"/>
      <c r="CA542" s="464"/>
      <c r="CB542" s="464"/>
      <c r="CC542" s="464"/>
      <c r="CD542" s="464"/>
      <c r="CE542" s="464"/>
      <c r="CF542" s="464"/>
    </row>
    <row r="543" spans="72:84" ht="49.5" customHeight="1" x14ac:dyDescent="0.45">
      <c r="BT543" s="493"/>
      <c r="BW543" s="464"/>
      <c r="BX543" s="464"/>
      <c r="BY543" s="464"/>
      <c r="BZ543" s="464"/>
      <c r="CA543" s="464"/>
      <c r="CB543" s="464"/>
      <c r="CC543" s="464"/>
      <c r="CD543" s="464"/>
      <c r="CE543" s="464"/>
      <c r="CF543" s="464"/>
    </row>
    <row r="544" spans="72:84" ht="49.5" customHeight="1" x14ac:dyDescent="0.45">
      <c r="BT544" s="493"/>
      <c r="BW544" s="464"/>
      <c r="BX544" s="464"/>
      <c r="BY544" s="464"/>
      <c r="BZ544" s="464"/>
      <c r="CA544" s="464"/>
      <c r="CB544" s="464"/>
      <c r="CC544" s="464"/>
      <c r="CD544" s="464"/>
      <c r="CE544" s="464"/>
      <c r="CF544" s="464"/>
    </row>
    <row r="545" spans="72:84" ht="49.5" customHeight="1" x14ac:dyDescent="0.45">
      <c r="BT545" s="493"/>
      <c r="BW545" s="464"/>
      <c r="BX545" s="464"/>
      <c r="BY545" s="464"/>
      <c r="BZ545" s="464"/>
      <c r="CA545" s="464"/>
      <c r="CB545" s="464"/>
      <c r="CC545" s="464"/>
      <c r="CD545" s="464"/>
      <c r="CE545" s="464"/>
      <c r="CF545" s="464"/>
    </row>
    <row r="546" spans="72:84" ht="49.5" customHeight="1" x14ac:dyDescent="0.45">
      <c r="BT546" s="493"/>
      <c r="BW546" s="464"/>
      <c r="BX546" s="464"/>
      <c r="BY546" s="464"/>
      <c r="BZ546" s="464"/>
      <c r="CA546" s="464"/>
      <c r="CB546" s="464"/>
      <c r="CC546" s="464"/>
      <c r="CD546" s="464"/>
      <c r="CE546" s="464"/>
      <c r="CF546" s="464"/>
    </row>
    <row r="547" spans="72:84" ht="49.5" customHeight="1" x14ac:dyDescent="0.45">
      <c r="BT547" s="493"/>
      <c r="BW547" s="464"/>
      <c r="BX547" s="464"/>
      <c r="BY547" s="464"/>
      <c r="BZ547" s="464"/>
      <c r="CA547" s="464"/>
      <c r="CB547" s="464"/>
      <c r="CC547" s="464"/>
      <c r="CD547" s="464"/>
      <c r="CE547" s="464"/>
      <c r="CF547" s="464"/>
    </row>
    <row r="548" spans="72:84" ht="49.5" customHeight="1" x14ac:dyDescent="0.45">
      <c r="BT548" s="493"/>
      <c r="BW548" s="464"/>
      <c r="BX548" s="464"/>
      <c r="BY548" s="464"/>
      <c r="BZ548" s="464"/>
      <c r="CA548" s="464"/>
      <c r="CB548" s="464"/>
      <c r="CC548" s="464"/>
      <c r="CD548" s="464"/>
      <c r="CE548" s="464"/>
      <c r="CF548" s="464"/>
    </row>
    <row r="549" spans="72:84" ht="49.5" customHeight="1" x14ac:dyDescent="0.45">
      <c r="BT549" s="493"/>
      <c r="BW549" s="464"/>
      <c r="BX549" s="464"/>
      <c r="BY549" s="464"/>
      <c r="BZ549" s="464"/>
      <c r="CA549" s="464"/>
      <c r="CB549" s="464"/>
      <c r="CC549" s="464"/>
      <c r="CD549" s="464"/>
      <c r="CE549" s="464"/>
      <c r="CF549" s="464"/>
    </row>
    <row r="550" spans="72:84" ht="49.5" customHeight="1" x14ac:dyDescent="0.45">
      <c r="BT550" s="493"/>
      <c r="BW550" s="464"/>
      <c r="BX550" s="464"/>
      <c r="BY550" s="464"/>
      <c r="BZ550" s="464"/>
      <c r="CA550" s="464"/>
      <c r="CB550" s="464"/>
      <c r="CC550" s="464"/>
      <c r="CD550" s="464"/>
      <c r="CE550" s="464"/>
      <c r="CF550" s="464"/>
    </row>
    <row r="551" spans="72:84" ht="49.5" customHeight="1" x14ac:dyDescent="0.45">
      <c r="BT551" s="493"/>
      <c r="BW551" s="464"/>
      <c r="BX551" s="464"/>
      <c r="BY551" s="464"/>
      <c r="BZ551" s="464"/>
      <c r="CA551" s="464"/>
      <c r="CB551" s="464"/>
      <c r="CC551" s="464"/>
      <c r="CD551" s="464"/>
      <c r="CE551" s="464"/>
      <c r="CF551" s="464"/>
    </row>
    <row r="552" spans="72:84" ht="49.5" customHeight="1" x14ac:dyDescent="0.45">
      <c r="BT552" s="493"/>
      <c r="BW552" s="464"/>
      <c r="BX552" s="464"/>
      <c r="BY552" s="464"/>
      <c r="BZ552" s="464"/>
      <c r="CA552" s="464"/>
      <c r="CB552" s="464"/>
      <c r="CC552" s="464"/>
      <c r="CD552" s="464"/>
      <c r="CE552" s="464"/>
      <c r="CF552" s="464"/>
    </row>
    <row r="553" spans="72:84" ht="49.5" customHeight="1" x14ac:dyDescent="0.45">
      <c r="BT553" s="493"/>
      <c r="BW553" s="464"/>
      <c r="BX553" s="464"/>
      <c r="BY553" s="464"/>
      <c r="BZ553" s="464"/>
      <c r="CA553" s="464"/>
      <c r="CB553" s="464"/>
      <c r="CC553" s="464"/>
      <c r="CD553" s="464"/>
      <c r="CE553" s="464"/>
      <c r="CF553" s="464"/>
    </row>
    <row r="554" spans="72:84" ht="49.5" customHeight="1" x14ac:dyDescent="0.45">
      <c r="BT554" s="493"/>
      <c r="BW554" s="464"/>
      <c r="BX554" s="464"/>
      <c r="BY554" s="464"/>
      <c r="BZ554" s="464"/>
      <c r="CA554" s="464"/>
      <c r="CB554" s="464"/>
      <c r="CC554" s="464"/>
      <c r="CD554" s="464"/>
      <c r="CE554" s="464"/>
      <c r="CF554" s="464"/>
    </row>
    <row r="555" spans="72:84" ht="49.5" customHeight="1" x14ac:dyDescent="0.45">
      <c r="BT555" s="493"/>
      <c r="BW555" s="464"/>
      <c r="BX555" s="464"/>
      <c r="BY555" s="464"/>
      <c r="BZ555" s="464"/>
      <c r="CA555" s="464"/>
      <c r="CB555" s="464"/>
      <c r="CC555" s="464"/>
      <c r="CD555" s="464"/>
      <c r="CE555" s="464"/>
      <c r="CF555" s="464"/>
    </row>
    <row r="556" spans="72:84" ht="49.5" customHeight="1" x14ac:dyDescent="0.45">
      <c r="BT556" s="493"/>
      <c r="BW556" s="464"/>
      <c r="BX556" s="464"/>
      <c r="BY556" s="464"/>
      <c r="BZ556" s="464"/>
      <c r="CA556" s="464"/>
      <c r="CB556" s="464"/>
      <c r="CC556" s="464"/>
      <c r="CD556" s="464"/>
      <c r="CE556" s="464"/>
      <c r="CF556" s="464"/>
    </row>
    <row r="557" spans="72:84" ht="49.5" customHeight="1" x14ac:dyDescent="0.45">
      <c r="BT557" s="493"/>
      <c r="BW557" s="464"/>
      <c r="BX557" s="464"/>
      <c r="BY557" s="464"/>
      <c r="BZ557" s="464"/>
      <c r="CA557" s="464"/>
      <c r="CB557" s="464"/>
      <c r="CC557" s="464"/>
      <c r="CD557" s="464"/>
      <c r="CE557" s="464"/>
      <c r="CF557" s="464"/>
    </row>
    <row r="558" spans="72:84" ht="49.5" customHeight="1" x14ac:dyDescent="0.45">
      <c r="BT558" s="493"/>
      <c r="BW558" s="464"/>
      <c r="BX558" s="464"/>
      <c r="BY558" s="464"/>
      <c r="BZ558" s="464"/>
      <c r="CA558" s="464"/>
      <c r="CB558" s="464"/>
      <c r="CC558" s="464"/>
      <c r="CD558" s="464"/>
      <c r="CE558" s="464"/>
      <c r="CF558" s="464"/>
    </row>
    <row r="559" spans="72:84" ht="49.5" customHeight="1" x14ac:dyDescent="0.45">
      <c r="BT559" s="493"/>
      <c r="BW559" s="464"/>
      <c r="BX559" s="464"/>
      <c r="BY559" s="464"/>
      <c r="BZ559" s="464"/>
      <c r="CA559" s="464"/>
      <c r="CB559" s="464"/>
      <c r="CC559" s="464"/>
      <c r="CD559" s="464"/>
      <c r="CE559" s="464"/>
      <c r="CF559" s="464"/>
    </row>
    <row r="560" spans="72:84" ht="49.5" customHeight="1" x14ac:dyDescent="0.45">
      <c r="BT560" s="493"/>
      <c r="BW560" s="464"/>
      <c r="BX560" s="464"/>
      <c r="BY560" s="464"/>
      <c r="BZ560" s="464"/>
      <c r="CA560" s="464"/>
      <c r="CB560" s="464"/>
      <c r="CC560" s="464"/>
      <c r="CD560" s="464"/>
      <c r="CE560" s="464"/>
      <c r="CF560" s="464"/>
    </row>
    <row r="561" spans="72:84" ht="49.5" customHeight="1" x14ac:dyDescent="0.45">
      <c r="BT561" s="493"/>
      <c r="BW561" s="464"/>
      <c r="BX561" s="464"/>
      <c r="BY561" s="464"/>
      <c r="BZ561" s="464"/>
      <c r="CA561" s="464"/>
      <c r="CB561" s="464"/>
      <c r="CC561" s="464"/>
      <c r="CD561" s="464"/>
      <c r="CE561" s="464"/>
      <c r="CF561" s="464"/>
    </row>
    <row r="562" spans="72:84" ht="49.5" customHeight="1" x14ac:dyDescent="0.45">
      <c r="BT562" s="493"/>
      <c r="BW562" s="464"/>
      <c r="BX562" s="464"/>
      <c r="BY562" s="464"/>
      <c r="BZ562" s="464"/>
      <c r="CA562" s="464"/>
      <c r="CB562" s="464"/>
      <c r="CC562" s="464"/>
      <c r="CD562" s="464"/>
      <c r="CE562" s="464"/>
      <c r="CF562" s="464"/>
    </row>
    <row r="563" spans="72:84" ht="49.5" customHeight="1" x14ac:dyDescent="0.45">
      <c r="BT563" s="493"/>
      <c r="BW563" s="464"/>
      <c r="BX563" s="464"/>
      <c r="BY563" s="464"/>
      <c r="BZ563" s="464"/>
      <c r="CA563" s="464"/>
      <c r="CB563" s="464"/>
      <c r="CC563" s="464"/>
      <c r="CD563" s="464"/>
      <c r="CE563" s="464"/>
      <c r="CF563" s="464"/>
    </row>
    <row r="564" spans="72:84" ht="49.5" customHeight="1" x14ac:dyDescent="0.45">
      <c r="BT564" s="493"/>
      <c r="BW564" s="464"/>
      <c r="BX564" s="464"/>
      <c r="BY564" s="464"/>
      <c r="BZ564" s="464"/>
      <c r="CA564" s="464"/>
      <c r="CB564" s="464"/>
      <c r="CC564" s="464"/>
      <c r="CD564" s="464"/>
      <c r="CE564" s="464"/>
      <c r="CF564" s="464"/>
    </row>
    <row r="565" spans="72:84" ht="49.5" customHeight="1" x14ac:dyDescent="0.45">
      <c r="BT565" s="493"/>
      <c r="BW565" s="464"/>
      <c r="BX565" s="464"/>
      <c r="BY565" s="464"/>
      <c r="BZ565" s="464"/>
      <c r="CA565" s="464"/>
      <c r="CB565" s="464"/>
      <c r="CC565" s="464"/>
      <c r="CD565" s="464"/>
      <c r="CE565" s="464"/>
      <c r="CF565" s="464"/>
    </row>
    <row r="566" spans="72:84" ht="49.5" customHeight="1" x14ac:dyDescent="0.45">
      <c r="BT566" s="493"/>
      <c r="BW566" s="464"/>
      <c r="BX566" s="464"/>
      <c r="BY566" s="464"/>
      <c r="BZ566" s="464"/>
      <c r="CA566" s="464"/>
      <c r="CB566" s="464"/>
      <c r="CC566" s="464"/>
      <c r="CD566" s="464"/>
      <c r="CE566" s="464"/>
      <c r="CF566" s="464"/>
    </row>
    <row r="567" spans="72:84" ht="49.5" customHeight="1" x14ac:dyDescent="0.45">
      <c r="BT567" s="493"/>
      <c r="BW567" s="464"/>
      <c r="BX567" s="464"/>
      <c r="BY567" s="464"/>
      <c r="BZ567" s="464"/>
      <c r="CA567" s="464"/>
      <c r="CB567" s="464"/>
      <c r="CC567" s="464"/>
      <c r="CD567" s="464"/>
      <c r="CE567" s="464"/>
      <c r="CF567" s="464"/>
    </row>
    <row r="568" spans="72:84" ht="49.5" customHeight="1" x14ac:dyDescent="0.45">
      <c r="BT568" s="493"/>
      <c r="BW568" s="464"/>
      <c r="BX568" s="464"/>
      <c r="BY568" s="464"/>
      <c r="BZ568" s="464"/>
      <c r="CA568" s="464"/>
      <c r="CB568" s="464"/>
      <c r="CC568" s="464"/>
      <c r="CD568" s="464"/>
      <c r="CE568" s="464"/>
      <c r="CF568" s="464"/>
    </row>
    <row r="569" spans="72:84" ht="49.5" customHeight="1" x14ac:dyDescent="0.45">
      <c r="BT569" s="493"/>
      <c r="BW569" s="464"/>
      <c r="BX569" s="464"/>
      <c r="BY569" s="464"/>
      <c r="BZ569" s="464"/>
      <c r="CA569" s="464"/>
      <c r="CB569" s="464"/>
      <c r="CC569" s="464"/>
      <c r="CD569" s="464"/>
      <c r="CE569" s="464"/>
      <c r="CF569" s="464"/>
    </row>
    <row r="570" spans="72:84" ht="49.5" customHeight="1" x14ac:dyDescent="0.45">
      <c r="BT570" s="493"/>
      <c r="BW570" s="464"/>
      <c r="BX570" s="464"/>
      <c r="BY570" s="464"/>
      <c r="BZ570" s="464"/>
      <c r="CA570" s="464"/>
      <c r="CB570" s="464"/>
      <c r="CC570" s="464"/>
      <c r="CD570" s="464"/>
      <c r="CE570" s="464"/>
      <c r="CF570" s="464"/>
    </row>
    <row r="571" spans="72:84" ht="49.5" customHeight="1" x14ac:dyDescent="0.45">
      <c r="BT571" s="493"/>
      <c r="BW571" s="464"/>
      <c r="BX571" s="464"/>
      <c r="BY571" s="464"/>
      <c r="BZ571" s="464"/>
      <c r="CA571" s="464"/>
      <c r="CB571" s="464"/>
      <c r="CC571" s="464"/>
      <c r="CD571" s="464"/>
      <c r="CE571" s="464"/>
      <c r="CF571" s="464"/>
    </row>
    <row r="572" spans="72:84" ht="49.5" customHeight="1" x14ac:dyDescent="0.45">
      <c r="BT572" s="493"/>
      <c r="BW572" s="464"/>
      <c r="BX572" s="464"/>
      <c r="BY572" s="464"/>
      <c r="BZ572" s="464"/>
      <c r="CA572" s="464"/>
      <c r="CB572" s="464"/>
      <c r="CC572" s="464"/>
      <c r="CD572" s="464"/>
      <c r="CE572" s="464"/>
      <c r="CF572" s="464"/>
    </row>
    <row r="573" spans="72:84" ht="49.5" customHeight="1" x14ac:dyDescent="0.45">
      <c r="BT573" s="493"/>
      <c r="BW573" s="464"/>
      <c r="BX573" s="464"/>
      <c r="BY573" s="464"/>
      <c r="BZ573" s="464"/>
      <c r="CA573" s="464"/>
      <c r="CB573" s="464"/>
      <c r="CC573" s="464"/>
      <c r="CD573" s="464"/>
      <c r="CE573" s="464"/>
      <c r="CF573" s="464"/>
    </row>
    <row r="574" spans="72:84" ht="49.5" customHeight="1" x14ac:dyDescent="0.45">
      <c r="BT574" s="493"/>
      <c r="BW574" s="464"/>
      <c r="BX574" s="464"/>
      <c r="BY574" s="464"/>
      <c r="BZ574" s="464"/>
      <c r="CA574" s="464"/>
      <c r="CB574" s="464"/>
      <c r="CC574" s="464"/>
      <c r="CD574" s="464"/>
      <c r="CE574" s="464"/>
      <c r="CF574" s="464"/>
    </row>
    <row r="575" spans="72:84" ht="49.5" customHeight="1" x14ac:dyDescent="0.45">
      <c r="BT575" s="493"/>
      <c r="BW575" s="464"/>
      <c r="BX575" s="464"/>
      <c r="BY575" s="464"/>
      <c r="BZ575" s="464"/>
      <c r="CA575" s="464"/>
      <c r="CB575" s="464"/>
      <c r="CC575" s="464"/>
      <c r="CD575" s="464"/>
      <c r="CE575" s="464"/>
      <c r="CF575" s="464"/>
    </row>
    <row r="576" spans="72:84" ht="49.5" customHeight="1" x14ac:dyDescent="0.45">
      <c r="BT576" s="493"/>
      <c r="BW576" s="464"/>
      <c r="BX576" s="464"/>
      <c r="BY576" s="464"/>
      <c r="BZ576" s="464"/>
      <c r="CA576" s="464"/>
      <c r="CB576" s="464"/>
      <c r="CC576" s="464"/>
      <c r="CD576" s="464"/>
      <c r="CE576" s="464"/>
      <c r="CF576" s="464"/>
    </row>
    <row r="577" spans="72:84" ht="49.5" customHeight="1" x14ac:dyDescent="0.45">
      <c r="BT577" s="493"/>
      <c r="BW577" s="464"/>
      <c r="BX577" s="464"/>
      <c r="BY577" s="464"/>
      <c r="BZ577" s="464"/>
      <c r="CA577" s="464"/>
      <c r="CB577" s="464"/>
      <c r="CC577" s="464"/>
      <c r="CD577" s="464"/>
      <c r="CE577" s="464"/>
      <c r="CF577" s="464"/>
    </row>
    <row r="578" spans="72:84" ht="49.5" customHeight="1" x14ac:dyDescent="0.45">
      <c r="BT578" s="493"/>
      <c r="BW578" s="464"/>
      <c r="BX578" s="464"/>
      <c r="BY578" s="464"/>
      <c r="BZ578" s="464"/>
      <c r="CA578" s="464"/>
      <c r="CB578" s="464"/>
      <c r="CC578" s="464"/>
      <c r="CD578" s="464"/>
      <c r="CE578" s="464"/>
      <c r="CF578" s="464"/>
    </row>
    <row r="579" spans="72:84" ht="49.5" customHeight="1" x14ac:dyDescent="0.45">
      <c r="BT579" s="493"/>
      <c r="BW579" s="464"/>
      <c r="BX579" s="464"/>
      <c r="BY579" s="464"/>
      <c r="BZ579" s="464"/>
      <c r="CA579" s="464"/>
      <c r="CB579" s="464"/>
      <c r="CC579" s="464"/>
      <c r="CD579" s="464"/>
      <c r="CE579" s="464"/>
      <c r="CF579" s="464"/>
    </row>
    <row r="580" spans="72:84" ht="49.5" customHeight="1" x14ac:dyDescent="0.45">
      <c r="BT580" s="493"/>
      <c r="BW580" s="464"/>
      <c r="BX580" s="464"/>
      <c r="BY580" s="464"/>
      <c r="BZ580" s="464"/>
      <c r="CA580" s="464"/>
      <c r="CB580" s="464"/>
      <c r="CC580" s="464"/>
      <c r="CD580" s="464"/>
      <c r="CE580" s="464"/>
      <c r="CF580" s="464"/>
    </row>
    <row r="581" spans="72:84" ht="49.5" customHeight="1" x14ac:dyDescent="0.45">
      <c r="BT581" s="493"/>
      <c r="BW581" s="464"/>
      <c r="BX581" s="464"/>
      <c r="BY581" s="464"/>
      <c r="BZ581" s="464"/>
      <c r="CA581" s="464"/>
      <c r="CB581" s="464"/>
      <c r="CC581" s="464"/>
      <c r="CD581" s="464"/>
      <c r="CE581" s="464"/>
      <c r="CF581" s="464"/>
    </row>
    <row r="582" spans="72:84" ht="49.5" customHeight="1" x14ac:dyDescent="0.45">
      <c r="BT582" s="493"/>
      <c r="BW582" s="464"/>
      <c r="BX582" s="464"/>
      <c r="BY582" s="464"/>
      <c r="BZ582" s="464"/>
      <c r="CA582" s="464"/>
      <c r="CB582" s="464"/>
      <c r="CC582" s="464"/>
      <c r="CD582" s="464"/>
      <c r="CE582" s="464"/>
      <c r="CF582" s="464"/>
    </row>
    <row r="583" spans="72:84" ht="49.5" customHeight="1" x14ac:dyDescent="0.45">
      <c r="BT583" s="493"/>
      <c r="BW583" s="464"/>
      <c r="BX583" s="464"/>
      <c r="BY583" s="464"/>
      <c r="BZ583" s="464"/>
      <c r="CA583" s="464"/>
      <c r="CB583" s="464"/>
      <c r="CC583" s="464"/>
      <c r="CD583" s="464"/>
      <c r="CE583" s="464"/>
      <c r="CF583" s="464"/>
    </row>
    <row r="584" spans="72:84" ht="49.5" customHeight="1" x14ac:dyDescent="0.45">
      <c r="BT584" s="493"/>
      <c r="BW584" s="464"/>
      <c r="BX584" s="464"/>
      <c r="BY584" s="464"/>
      <c r="BZ584" s="464"/>
      <c r="CA584" s="464"/>
      <c r="CB584" s="464"/>
      <c r="CC584" s="464"/>
      <c r="CD584" s="464"/>
      <c r="CE584" s="464"/>
      <c r="CF584" s="464"/>
    </row>
    <row r="585" spans="72:84" ht="49.5" customHeight="1" x14ac:dyDescent="0.45">
      <c r="BT585" s="493"/>
      <c r="BW585" s="464"/>
      <c r="BX585" s="464"/>
      <c r="BY585" s="464"/>
      <c r="BZ585" s="464"/>
      <c r="CA585" s="464"/>
      <c r="CB585" s="464"/>
      <c r="CC585" s="464"/>
      <c r="CD585" s="464"/>
      <c r="CE585" s="464"/>
      <c r="CF585" s="464"/>
    </row>
    <row r="586" spans="72:84" ht="49.5" customHeight="1" x14ac:dyDescent="0.45">
      <c r="BT586" s="493"/>
      <c r="BW586" s="464"/>
      <c r="BX586" s="464"/>
      <c r="BY586" s="464"/>
      <c r="BZ586" s="464"/>
      <c r="CA586" s="464"/>
      <c r="CB586" s="464"/>
      <c r="CC586" s="464"/>
      <c r="CD586" s="464"/>
      <c r="CE586" s="464"/>
      <c r="CF586" s="464"/>
    </row>
    <row r="587" spans="72:84" ht="49.5" customHeight="1" x14ac:dyDescent="0.45">
      <c r="BT587" s="493"/>
      <c r="BW587" s="464"/>
      <c r="BX587" s="464"/>
      <c r="BY587" s="464"/>
      <c r="BZ587" s="464"/>
      <c r="CA587" s="464"/>
      <c r="CB587" s="464"/>
      <c r="CC587" s="464"/>
      <c r="CD587" s="464"/>
      <c r="CE587" s="464"/>
      <c r="CF587" s="464"/>
    </row>
    <row r="588" spans="72:84" ht="49.5" customHeight="1" x14ac:dyDescent="0.45">
      <c r="BT588" s="493"/>
      <c r="BW588" s="464"/>
      <c r="BX588" s="464"/>
      <c r="BY588" s="464"/>
      <c r="BZ588" s="464"/>
      <c r="CA588" s="464"/>
      <c r="CB588" s="464"/>
      <c r="CC588" s="464"/>
      <c r="CD588" s="464"/>
      <c r="CE588" s="464"/>
      <c r="CF588" s="464"/>
    </row>
    <row r="589" spans="72:84" ht="49.5" customHeight="1" x14ac:dyDescent="0.45">
      <c r="BT589" s="493"/>
      <c r="BW589" s="464"/>
      <c r="BX589" s="464"/>
      <c r="BY589" s="464"/>
      <c r="BZ589" s="464"/>
      <c r="CA589" s="464"/>
      <c r="CB589" s="464"/>
      <c r="CC589" s="464"/>
      <c r="CD589" s="464"/>
      <c r="CE589" s="464"/>
      <c r="CF589" s="464"/>
    </row>
    <row r="590" spans="72:84" ht="49.5" customHeight="1" x14ac:dyDescent="0.45">
      <c r="BT590" s="493"/>
      <c r="BW590" s="464"/>
      <c r="BX590" s="464"/>
      <c r="BY590" s="464"/>
      <c r="BZ590" s="464"/>
      <c r="CA590" s="464"/>
      <c r="CB590" s="464"/>
      <c r="CC590" s="464"/>
      <c r="CD590" s="464"/>
      <c r="CE590" s="464"/>
      <c r="CF590" s="464"/>
    </row>
    <row r="591" spans="72:84" ht="49.5" customHeight="1" x14ac:dyDescent="0.45">
      <c r="BT591" s="493"/>
      <c r="BW591" s="464"/>
      <c r="BX591" s="464"/>
      <c r="BY591" s="464"/>
      <c r="BZ591" s="464"/>
      <c r="CA591" s="464"/>
      <c r="CB591" s="464"/>
      <c r="CC591" s="464"/>
      <c r="CD591" s="464"/>
      <c r="CE591" s="464"/>
      <c r="CF591" s="464"/>
    </row>
    <row r="592" spans="72:84" ht="49.5" customHeight="1" x14ac:dyDescent="0.45">
      <c r="BT592" s="493"/>
      <c r="BW592" s="464"/>
      <c r="BX592" s="464"/>
      <c r="BY592" s="464"/>
      <c r="BZ592" s="464"/>
      <c r="CA592" s="464"/>
      <c r="CB592" s="464"/>
      <c r="CC592" s="464"/>
      <c r="CD592" s="464"/>
      <c r="CE592" s="464"/>
      <c r="CF592" s="464"/>
    </row>
    <row r="593" spans="72:84" ht="49.5" customHeight="1" x14ac:dyDescent="0.45">
      <c r="BT593" s="493"/>
      <c r="BW593" s="464"/>
      <c r="BX593" s="464"/>
      <c r="BY593" s="464"/>
      <c r="BZ593" s="464"/>
      <c r="CA593" s="464"/>
      <c r="CB593" s="464"/>
      <c r="CC593" s="464"/>
      <c r="CD593" s="464"/>
      <c r="CE593" s="464"/>
      <c r="CF593" s="464"/>
    </row>
    <row r="594" spans="72:84" ht="49.5" customHeight="1" x14ac:dyDescent="0.45">
      <c r="BT594" s="493"/>
      <c r="BW594" s="464"/>
      <c r="BX594" s="464"/>
      <c r="BY594" s="464"/>
      <c r="BZ594" s="464"/>
      <c r="CA594" s="464"/>
      <c r="CB594" s="464"/>
      <c r="CC594" s="464"/>
      <c r="CD594" s="464"/>
      <c r="CE594" s="464"/>
      <c r="CF594" s="464"/>
    </row>
    <row r="595" spans="72:84" ht="49.5" customHeight="1" x14ac:dyDescent="0.45">
      <c r="BT595" s="493"/>
      <c r="BW595" s="464"/>
      <c r="BX595" s="464"/>
      <c r="BY595" s="464"/>
      <c r="BZ595" s="464"/>
      <c r="CA595" s="464"/>
      <c r="CB595" s="464"/>
      <c r="CC595" s="464"/>
      <c r="CD595" s="464"/>
      <c r="CE595" s="464"/>
      <c r="CF595" s="464"/>
    </row>
    <row r="596" spans="72:84" ht="49.5" customHeight="1" x14ac:dyDescent="0.45">
      <c r="BT596" s="493"/>
      <c r="BW596" s="464"/>
      <c r="BX596" s="464"/>
      <c r="BY596" s="464"/>
      <c r="BZ596" s="464"/>
      <c r="CA596" s="464"/>
      <c r="CB596" s="464"/>
      <c r="CC596" s="464"/>
      <c r="CD596" s="464"/>
      <c r="CE596" s="464"/>
      <c r="CF596" s="464"/>
    </row>
    <row r="597" spans="72:84" ht="49.5" customHeight="1" x14ac:dyDescent="0.45">
      <c r="BT597" s="493"/>
      <c r="BW597" s="464"/>
      <c r="BX597" s="464"/>
      <c r="BY597" s="464"/>
      <c r="BZ597" s="464"/>
      <c r="CA597" s="464"/>
      <c r="CB597" s="464"/>
      <c r="CC597" s="464"/>
      <c r="CD597" s="464"/>
      <c r="CE597" s="464"/>
      <c r="CF597" s="464"/>
    </row>
    <row r="598" spans="72:84" ht="49.5" customHeight="1" x14ac:dyDescent="0.45">
      <c r="BT598" s="493"/>
      <c r="BW598" s="464"/>
      <c r="BX598" s="464"/>
      <c r="BY598" s="464"/>
      <c r="BZ598" s="464"/>
      <c r="CA598" s="464"/>
      <c r="CB598" s="464"/>
      <c r="CC598" s="464"/>
      <c r="CD598" s="464"/>
      <c r="CE598" s="464"/>
      <c r="CF598" s="464"/>
    </row>
    <row r="599" spans="72:84" ht="49.5" customHeight="1" x14ac:dyDescent="0.45">
      <c r="BT599" s="493"/>
      <c r="BW599" s="464"/>
      <c r="BX599" s="464"/>
      <c r="BY599" s="464"/>
      <c r="BZ599" s="464"/>
      <c r="CA599" s="464"/>
      <c r="CB599" s="464"/>
      <c r="CC599" s="464"/>
      <c r="CD599" s="464"/>
      <c r="CE599" s="464"/>
      <c r="CF599" s="464"/>
    </row>
    <row r="600" spans="72:84" ht="49.5" customHeight="1" x14ac:dyDescent="0.45">
      <c r="BT600" s="493"/>
      <c r="BW600" s="464"/>
      <c r="BX600" s="464"/>
      <c r="BY600" s="464"/>
      <c r="BZ600" s="464"/>
      <c r="CA600" s="464"/>
      <c r="CB600" s="464"/>
      <c r="CC600" s="464"/>
      <c r="CD600" s="464"/>
      <c r="CE600" s="464"/>
      <c r="CF600" s="464"/>
    </row>
    <row r="601" spans="72:84" ht="49.5" customHeight="1" x14ac:dyDescent="0.45">
      <c r="BT601" s="493"/>
      <c r="BW601" s="464"/>
      <c r="BX601" s="464"/>
      <c r="BY601" s="464"/>
      <c r="BZ601" s="464"/>
      <c r="CA601" s="464"/>
      <c r="CB601" s="464"/>
      <c r="CC601" s="464"/>
      <c r="CD601" s="464"/>
      <c r="CE601" s="464"/>
      <c r="CF601" s="464"/>
    </row>
    <row r="602" spans="72:84" ht="49.5" customHeight="1" x14ac:dyDescent="0.45">
      <c r="BT602" s="493"/>
      <c r="BW602" s="464"/>
      <c r="BX602" s="464"/>
      <c r="BY602" s="464"/>
      <c r="BZ602" s="464"/>
      <c r="CA602" s="464"/>
      <c r="CB602" s="464"/>
      <c r="CC602" s="464"/>
      <c r="CD602" s="464"/>
      <c r="CE602" s="464"/>
      <c r="CF602" s="464"/>
    </row>
    <row r="603" spans="72:84" ht="49.5" customHeight="1" x14ac:dyDescent="0.45">
      <c r="BT603" s="493"/>
      <c r="BW603" s="464"/>
      <c r="BX603" s="464"/>
      <c r="BY603" s="464"/>
      <c r="BZ603" s="464"/>
      <c r="CA603" s="464"/>
      <c r="CB603" s="464"/>
      <c r="CC603" s="464"/>
      <c r="CD603" s="464"/>
      <c r="CE603" s="464"/>
      <c r="CF603" s="464"/>
    </row>
    <row r="604" spans="72:84" ht="49.5" customHeight="1" x14ac:dyDescent="0.45">
      <c r="BT604" s="493"/>
      <c r="BW604" s="464"/>
      <c r="BX604" s="464"/>
      <c r="BY604" s="464"/>
      <c r="BZ604" s="464"/>
      <c r="CA604" s="464"/>
      <c r="CB604" s="464"/>
      <c r="CC604" s="464"/>
      <c r="CD604" s="464"/>
      <c r="CE604" s="464"/>
      <c r="CF604" s="464"/>
    </row>
    <row r="605" spans="72:84" ht="49.5" customHeight="1" x14ac:dyDescent="0.45">
      <c r="BT605" s="493"/>
      <c r="BW605" s="464"/>
      <c r="BX605" s="464"/>
      <c r="BY605" s="464"/>
      <c r="BZ605" s="464"/>
      <c r="CA605" s="464"/>
      <c r="CB605" s="464"/>
      <c r="CC605" s="464"/>
      <c r="CD605" s="464"/>
      <c r="CE605" s="464"/>
      <c r="CF605" s="464"/>
    </row>
    <row r="606" spans="72:84" ht="49.5" customHeight="1" x14ac:dyDescent="0.45">
      <c r="BT606" s="493"/>
      <c r="BW606" s="464"/>
      <c r="BX606" s="464"/>
      <c r="BY606" s="464"/>
      <c r="BZ606" s="464"/>
      <c r="CA606" s="464"/>
      <c r="CB606" s="464"/>
      <c r="CC606" s="464"/>
      <c r="CD606" s="464"/>
      <c r="CE606" s="464"/>
      <c r="CF606" s="464"/>
    </row>
    <row r="607" spans="72:84" ht="49.5" customHeight="1" x14ac:dyDescent="0.45">
      <c r="BT607" s="493"/>
      <c r="BW607" s="464"/>
      <c r="BX607" s="464"/>
      <c r="BY607" s="464"/>
      <c r="BZ607" s="464"/>
      <c r="CA607" s="464"/>
      <c r="CB607" s="464"/>
      <c r="CC607" s="464"/>
      <c r="CD607" s="464"/>
      <c r="CE607" s="464"/>
      <c r="CF607" s="464"/>
    </row>
    <row r="608" spans="72:84" ht="49.5" customHeight="1" x14ac:dyDescent="0.45">
      <c r="BT608" s="493"/>
      <c r="BW608" s="464"/>
      <c r="BX608" s="464"/>
      <c r="BY608" s="464"/>
      <c r="BZ608" s="464"/>
      <c r="CA608" s="464"/>
      <c r="CB608" s="464"/>
      <c r="CC608" s="464"/>
      <c r="CD608" s="464"/>
      <c r="CE608" s="464"/>
      <c r="CF608" s="464"/>
    </row>
    <row r="609" spans="72:84" ht="49.5" customHeight="1" x14ac:dyDescent="0.45">
      <c r="BT609" s="493"/>
      <c r="BW609" s="464"/>
      <c r="BX609" s="464"/>
      <c r="BY609" s="464"/>
      <c r="BZ609" s="464"/>
      <c r="CA609" s="464"/>
      <c r="CB609" s="464"/>
      <c r="CC609" s="464"/>
      <c r="CD609" s="464"/>
      <c r="CE609" s="464"/>
      <c r="CF609" s="464"/>
    </row>
    <row r="610" spans="72:84" ht="49.5" customHeight="1" x14ac:dyDescent="0.45">
      <c r="BT610" s="493"/>
      <c r="BW610" s="464"/>
      <c r="BX610" s="464"/>
      <c r="BY610" s="464"/>
      <c r="BZ610" s="464"/>
      <c r="CA610" s="464"/>
      <c r="CB610" s="464"/>
      <c r="CC610" s="464"/>
      <c r="CD610" s="464"/>
      <c r="CE610" s="464"/>
      <c r="CF610" s="464"/>
    </row>
    <row r="611" spans="72:84" ht="49.5" customHeight="1" x14ac:dyDescent="0.45">
      <c r="BT611" s="493"/>
      <c r="BW611" s="464"/>
      <c r="BX611" s="464"/>
      <c r="BY611" s="464"/>
      <c r="BZ611" s="464"/>
      <c r="CA611" s="464"/>
      <c r="CB611" s="464"/>
      <c r="CC611" s="464"/>
      <c r="CD611" s="464"/>
      <c r="CE611" s="464"/>
      <c r="CF611" s="464"/>
    </row>
    <row r="612" spans="72:84" ht="49.5" customHeight="1" x14ac:dyDescent="0.45">
      <c r="BT612" s="493"/>
      <c r="BW612" s="464"/>
      <c r="BX612" s="464"/>
      <c r="BY612" s="464"/>
      <c r="BZ612" s="464"/>
      <c r="CA612" s="464"/>
      <c r="CB612" s="464"/>
      <c r="CC612" s="464"/>
      <c r="CD612" s="464"/>
      <c r="CE612" s="464"/>
      <c r="CF612" s="464"/>
    </row>
    <row r="613" spans="72:84" ht="49.5" customHeight="1" x14ac:dyDescent="0.45">
      <c r="BT613" s="493"/>
      <c r="BW613" s="464"/>
      <c r="BX613" s="464"/>
      <c r="BY613" s="464"/>
      <c r="BZ613" s="464"/>
      <c r="CA613" s="464"/>
      <c r="CB613" s="464"/>
      <c r="CC613" s="464"/>
      <c r="CD613" s="464"/>
      <c r="CE613" s="464"/>
      <c r="CF613" s="464"/>
    </row>
    <row r="614" spans="72:84" ht="49.5" customHeight="1" x14ac:dyDescent="0.45">
      <c r="BT614" s="493"/>
      <c r="BW614" s="464"/>
      <c r="BX614" s="464"/>
      <c r="BY614" s="464"/>
      <c r="BZ614" s="464"/>
      <c r="CA614" s="464"/>
      <c r="CB614" s="464"/>
      <c r="CC614" s="464"/>
      <c r="CD614" s="464"/>
      <c r="CE614" s="464"/>
      <c r="CF614" s="464"/>
    </row>
    <row r="615" spans="72:84" ht="49.5" customHeight="1" x14ac:dyDescent="0.45">
      <c r="BT615" s="493"/>
      <c r="BW615" s="464"/>
      <c r="BX615" s="464"/>
      <c r="BY615" s="464"/>
      <c r="BZ615" s="464"/>
      <c r="CA615" s="464"/>
      <c r="CB615" s="464"/>
      <c r="CC615" s="464"/>
      <c r="CD615" s="464"/>
      <c r="CE615" s="464"/>
      <c r="CF615" s="464"/>
    </row>
    <row r="616" spans="72:84" ht="49.5" customHeight="1" x14ac:dyDescent="0.45">
      <c r="BT616" s="493"/>
      <c r="BW616" s="464"/>
      <c r="BX616" s="464"/>
      <c r="BY616" s="464"/>
      <c r="BZ616" s="464"/>
      <c r="CA616" s="464"/>
      <c r="CB616" s="464"/>
      <c r="CC616" s="464"/>
      <c r="CD616" s="464"/>
      <c r="CE616" s="464"/>
      <c r="CF616" s="464"/>
    </row>
    <row r="617" spans="72:84" ht="49.5" customHeight="1" x14ac:dyDescent="0.45">
      <c r="BT617" s="493"/>
      <c r="BW617" s="464"/>
      <c r="BX617" s="464"/>
      <c r="BY617" s="464"/>
      <c r="BZ617" s="464"/>
      <c r="CA617" s="464"/>
      <c r="CB617" s="464"/>
      <c r="CC617" s="464"/>
      <c r="CD617" s="464"/>
      <c r="CE617" s="464"/>
      <c r="CF617" s="464"/>
    </row>
    <row r="618" spans="72:84" ht="49.5" customHeight="1" x14ac:dyDescent="0.45">
      <c r="BT618" s="493"/>
      <c r="BW618" s="464"/>
      <c r="BX618" s="464"/>
      <c r="BY618" s="464"/>
      <c r="BZ618" s="464"/>
      <c r="CA618" s="464"/>
      <c r="CB618" s="464"/>
      <c r="CC618" s="464"/>
      <c r="CD618" s="464"/>
      <c r="CE618" s="464"/>
      <c r="CF618" s="464"/>
    </row>
    <row r="619" spans="72:84" ht="49.5" customHeight="1" x14ac:dyDescent="0.45">
      <c r="BT619" s="493"/>
      <c r="BW619" s="464"/>
      <c r="BX619" s="464"/>
      <c r="BY619" s="464"/>
      <c r="BZ619" s="464"/>
      <c r="CA619" s="464"/>
      <c r="CB619" s="464"/>
      <c r="CC619" s="464"/>
      <c r="CD619" s="464"/>
      <c r="CE619" s="464"/>
      <c r="CF619" s="464"/>
    </row>
    <row r="620" spans="72:84" ht="49.5" customHeight="1" x14ac:dyDescent="0.45">
      <c r="BT620" s="493"/>
      <c r="BW620" s="464"/>
      <c r="BX620" s="464"/>
      <c r="BY620" s="464"/>
      <c r="BZ620" s="464"/>
      <c r="CA620" s="464"/>
      <c r="CB620" s="464"/>
      <c r="CC620" s="464"/>
      <c r="CD620" s="464"/>
      <c r="CE620" s="464"/>
      <c r="CF620" s="464"/>
    </row>
    <row r="621" spans="72:84" ht="49.5" customHeight="1" x14ac:dyDescent="0.45">
      <c r="BT621" s="493"/>
      <c r="BW621" s="464"/>
      <c r="BX621" s="464"/>
      <c r="BY621" s="464"/>
      <c r="BZ621" s="464"/>
      <c r="CA621" s="464"/>
      <c r="CB621" s="464"/>
      <c r="CC621" s="464"/>
      <c r="CD621" s="464"/>
      <c r="CE621" s="464"/>
      <c r="CF621" s="464"/>
    </row>
    <row r="622" spans="72:84" ht="49.5" customHeight="1" x14ac:dyDescent="0.45">
      <c r="BT622" s="493"/>
      <c r="BW622" s="464"/>
      <c r="BX622" s="464"/>
      <c r="BY622" s="464"/>
      <c r="BZ622" s="464"/>
      <c r="CA622" s="464"/>
      <c r="CB622" s="464"/>
      <c r="CC622" s="464"/>
      <c r="CD622" s="464"/>
      <c r="CE622" s="464"/>
      <c r="CF622" s="464"/>
    </row>
    <row r="623" spans="72:84" ht="49.5" customHeight="1" x14ac:dyDescent="0.45">
      <c r="BT623" s="493"/>
      <c r="BW623" s="464"/>
      <c r="BX623" s="464"/>
      <c r="BY623" s="464"/>
      <c r="BZ623" s="464"/>
      <c r="CA623" s="464"/>
      <c r="CB623" s="464"/>
      <c r="CC623" s="464"/>
      <c r="CD623" s="464"/>
      <c r="CE623" s="464"/>
      <c r="CF623" s="464"/>
    </row>
    <row r="624" spans="72:84" ht="49.5" customHeight="1" x14ac:dyDescent="0.45">
      <c r="BT624" s="493"/>
      <c r="BW624" s="464"/>
      <c r="BX624" s="464"/>
      <c r="BY624" s="464"/>
      <c r="BZ624" s="464"/>
      <c r="CA624" s="464"/>
      <c r="CB624" s="464"/>
      <c r="CC624" s="464"/>
      <c r="CD624" s="464"/>
      <c r="CE624" s="464"/>
      <c r="CF624" s="464"/>
    </row>
    <row r="625" spans="72:84" ht="49.5" customHeight="1" x14ac:dyDescent="0.45">
      <c r="BT625" s="493"/>
      <c r="BW625" s="464"/>
      <c r="BX625" s="464"/>
      <c r="BY625" s="464"/>
      <c r="BZ625" s="464"/>
      <c r="CA625" s="464"/>
      <c r="CB625" s="464"/>
      <c r="CC625" s="464"/>
      <c r="CD625" s="464"/>
      <c r="CE625" s="464"/>
      <c r="CF625" s="464"/>
    </row>
    <row r="626" spans="72:84" ht="49.5" customHeight="1" x14ac:dyDescent="0.45">
      <c r="BT626" s="493"/>
      <c r="BW626" s="464"/>
      <c r="BX626" s="464"/>
      <c r="BY626" s="464"/>
      <c r="BZ626" s="464"/>
      <c r="CA626" s="464"/>
      <c r="CB626" s="464"/>
      <c r="CC626" s="464"/>
      <c r="CD626" s="464"/>
      <c r="CE626" s="464"/>
      <c r="CF626" s="464"/>
    </row>
    <row r="627" spans="72:84" ht="49.5" customHeight="1" x14ac:dyDescent="0.45">
      <c r="BT627" s="493"/>
      <c r="BW627" s="464"/>
      <c r="BX627" s="464"/>
      <c r="BY627" s="464"/>
      <c r="BZ627" s="464"/>
      <c r="CA627" s="464"/>
      <c r="CB627" s="464"/>
      <c r="CC627" s="464"/>
      <c r="CD627" s="464"/>
      <c r="CE627" s="464"/>
      <c r="CF627" s="464"/>
    </row>
    <row r="628" spans="72:84" ht="49.5" customHeight="1" x14ac:dyDescent="0.45">
      <c r="BT628" s="493"/>
      <c r="BW628" s="464"/>
      <c r="BX628" s="464"/>
      <c r="BY628" s="464"/>
      <c r="BZ628" s="464"/>
      <c r="CA628" s="464"/>
      <c r="CB628" s="464"/>
      <c r="CC628" s="464"/>
      <c r="CD628" s="464"/>
      <c r="CE628" s="464"/>
      <c r="CF628" s="464"/>
    </row>
    <row r="629" spans="72:84" ht="49.5" customHeight="1" x14ac:dyDescent="0.45">
      <c r="BT629" s="493"/>
      <c r="BW629" s="464"/>
      <c r="BX629" s="464"/>
      <c r="BY629" s="464"/>
      <c r="BZ629" s="464"/>
      <c r="CA629" s="464"/>
      <c r="CB629" s="464"/>
      <c r="CC629" s="464"/>
      <c r="CD629" s="464"/>
      <c r="CE629" s="464"/>
      <c r="CF629" s="464"/>
    </row>
    <row r="630" spans="72:84" ht="49.5" customHeight="1" x14ac:dyDescent="0.45">
      <c r="BT630" s="493"/>
      <c r="BW630" s="464"/>
      <c r="BX630" s="464"/>
      <c r="BY630" s="464"/>
      <c r="BZ630" s="464"/>
      <c r="CA630" s="464"/>
      <c r="CB630" s="464"/>
      <c r="CC630" s="464"/>
      <c r="CD630" s="464"/>
      <c r="CE630" s="464"/>
      <c r="CF630" s="464"/>
    </row>
    <row r="631" spans="72:84" ht="49.5" customHeight="1" x14ac:dyDescent="0.45">
      <c r="BT631" s="493"/>
      <c r="BW631" s="464"/>
      <c r="BX631" s="464"/>
      <c r="BY631" s="464"/>
      <c r="BZ631" s="464"/>
      <c r="CA631" s="464"/>
      <c r="CB631" s="464"/>
      <c r="CC631" s="464"/>
      <c r="CD631" s="464"/>
      <c r="CE631" s="464"/>
      <c r="CF631" s="464"/>
    </row>
    <row r="632" spans="72:84" ht="49.5" customHeight="1" x14ac:dyDescent="0.45">
      <c r="BT632" s="493"/>
      <c r="BW632" s="464"/>
      <c r="BX632" s="464"/>
      <c r="BY632" s="464"/>
      <c r="BZ632" s="464"/>
      <c r="CA632" s="464"/>
      <c r="CB632" s="464"/>
      <c r="CC632" s="464"/>
      <c r="CD632" s="464"/>
      <c r="CE632" s="464"/>
      <c r="CF632" s="464"/>
    </row>
    <row r="633" spans="72:84" ht="49.5" customHeight="1" x14ac:dyDescent="0.45">
      <c r="BT633" s="493"/>
      <c r="BW633" s="464"/>
      <c r="BX633" s="464"/>
      <c r="BY633" s="464"/>
      <c r="BZ633" s="464"/>
      <c r="CA633" s="464"/>
      <c r="CB633" s="464"/>
      <c r="CC633" s="464"/>
      <c r="CD633" s="464"/>
      <c r="CE633" s="464"/>
      <c r="CF633" s="464"/>
    </row>
    <row r="634" spans="72:84" ht="49.5" customHeight="1" x14ac:dyDescent="0.45">
      <c r="BT634" s="493"/>
      <c r="BW634" s="464"/>
      <c r="BX634" s="464"/>
      <c r="BY634" s="464"/>
      <c r="BZ634" s="464"/>
      <c r="CA634" s="464"/>
      <c r="CB634" s="464"/>
      <c r="CC634" s="464"/>
      <c r="CD634" s="464"/>
      <c r="CE634" s="464"/>
      <c r="CF634" s="464"/>
    </row>
    <row r="635" spans="72:84" ht="49.5" customHeight="1" x14ac:dyDescent="0.45">
      <c r="BT635" s="493"/>
      <c r="BW635" s="464"/>
      <c r="BX635" s="464"/>
      <c r="BY635" s="464"/>
      <c r="BZ635" s="464"/>
      <c r="CA635" s="464"/>
      <c r="CB635" s="464"/>
      <c r="CC635" s="464"/>
      <c r="CD635" s="464"/>
      <c r="CE635" s="464"/>
      <c r="CF635" s="464"/>
    </row>
    <row r="636" spans="72:84" ht="49.5" customHeight="1" x14ac:dyDescent="0.45">
      <c r="BT636" s="493"/>
      <c r="BW636" s="464"/>
      <c r="BX636" s="464"/>
      <c r="BY636" s="464"/>
      <c r="BZ636" s="464"/>
      <c r="CA636" s="464"/>
      <c r="CB636" s="464"/>
      <c r="CC636" s="464"/>
      <c r="CD636" s="464"/>
      <c r="CE636" s="464"/>
      <c r="CF636" s="464"/>
    </row>
    <row r="637" spans="72:84" ht="49.5" customHeight="1" x14ac:dyDescent="0.45">
      <c r="BT637" s="493"/>
      <c r="BW637" s="464"/>
      <c r="BX637" s="464"/>
      <c r="BY637" s="464"/>
      <c r="BZ637" s="464"/>
      <c r="CA637" s="464"/>
      <c r="CB637" s="464"/>
      <c r="CC637" s="464"/>
      <c r="CD637" s="464"/>
      <c r="CE637" s="464"/>
      <c r="CF637" s="464"/>
    </row>
    <row r="638" spans="72:84" ht="49.5" customHeight="1" x14ac:dyDescent="0.45">
      <c r="BT638" s="493"/>
      <c r="BW638" s="464"/>
      <c r="BX638" s="464"/>
      <c r="BY638" s="464"/>
      <c r="BZ638" s="464"/>
      <c r="CA638" s="464"/>
      <c r="CB638" s="464"/>
      <c r="CC638" s="464"/>
      <c r="CD638" s="464"/>
      <c r="CE638" s="464"/>
      <c r="CF638" s="464"/>
    </row>
    <row r="639" spans="72:84" ht="49.5" customHeight="1" x14ac:dyDescent="0.45">
      <c r="BT639" s="493"/>
      <c r="BW639" s="464"/>
      <c r="BX639" s="464"/>
      <c r="BY639" s="464"/>
      <c r="BZ639" s="464"/>
      <c r="CA639" s="464"/>
      <c r="CB639" s="464"/>
      <c r="CC639" s="464"/>
      <c r="CD639" s="464"/>
      <c r="CE639" s="464"/>
      <c r="CF639" s="464"/>
    </row>
    <row r="640" spans="72:84" ht="49.5" customHeight="1" x14ac:dyDescent="0.45">
      <c r="BT640" s="493"/>
      <c r="BW640" s="464"/>
      <c r="BX640" s="464"/>
      <c r="BY640" s="464"/>
      <c r="BZ640" s="464"/>
      <c r="CA640" s="464"/>
      <c r="CB640" s="464"/>
      <c r="CC640" s="464"/>
      <c r="CD640" s="464"/>
      <c r="CE640" s="464"/>
      <c r="CF640" s="464"/>
    </row>
    <row r="641" spans="72:84" ht="49.5" customHeight="1" x14ac:dyDescent="0.45">
      <c r="BT641" s="493"/>
      <c r="BW641" s="464"/>
      <c r="BX641" s="464"/>
      <c r="BY641" s="464"/>
      <c r="BZ641" s="464"/>
      <c r="CA641" s="464"/>
      <c r="CB641" s="464"/>
      <c r="CC641" s="464"/>
      <c r="CD641" s="464"/>
      <c r="CE641" s="464"/>
      <c r="CF641" s="464"/>
    </row>
    <row r="642" spans="72:84" ht="49.5" customHeight="1" x14ac:dyDescent="0.45">
      <c r="BT642" s="493"/>
      <c r="BW642" s="464"/>
      <c r="BX642" s="464"/>
      <c r="BY642" s="464"/>
      <c r="BZ642" s="464"/>
      <c r="CA642" s="464"/>
      <c r="CB642" s="464"/>
      <c r="CC642" s="464"/>
      <c r="CD642" s="464"/>
      <c r="CE642" s="464"/>
      <c r="CF642" s="464"/>
    </row>
    <row r="643" spans="72:84" ht="49.5" customHeight="1" x14ac:dyDescent="0.45">
      <c r="BT643" s="493"/>
      <c r="BW643" s="464"/>
      <c r="BX643" s="464"/>
      <c r="BY643" s="464"/>
      <c r="BZ643" s="464"/>
      <c r="CA643" s="464"/>
      <c r="CB643" s="464"/>
      <c r="CC643" s="464"/>
      <c r="CD643" s="464"/>
      <c r="CE643" s="464"/>
      <c r="CF643" s="464"/>
    </row>
    <row r="644" spans="72:84" ht="49.5" customHeight="1" x14ac:dyDescent="0.45">
      <c r="BT644" s="493"/>
      <c r="BW644" s="464"/>
      <c r="BX644" s="464"/>
      <c r="BY644" s="464"/>
      <c r="BZ644" s="464"/>
      <c r="CA644" s="464"/>
      <c r="CB644" s="464"/>
      <c r="CC644" s="464"/>
      <c r="CD644" s="464"/>
      <c r="CE644" s="464"/>
      <c r="CF644" s="464"/>
    </row>
    <row r="645" spans="72:84" ht="49.5" customHeight="1" x14ac:dyDescent="0.45">
      <c r="BT645" s="493"/>
      <c r="BW645" s="464"/>
      <c r="BX645" s="464"/>
      <c r="BY645" s="464"/>
      <c r="BZ645" s="464"/>
      <c r="CA645" s="464"/>
      <c r="CB645" s="464"/>
      <c r="CC645" s="464"/>
      <c r="CD645" s="464"/>
      <c r="CE645" s="464"/>
      <c r="CF645" s="464"/>
    </row>
    <row r="646" spans="72:84" ht="49.5" customHeight="1" x14ac:dyDescent="0.45">
      <c r="BT646" s="493"/>
      <c r="BW646" s="464"/>
      <c r="BX646" s="464"/>
      <c r="BY646" s="464"/>
      <c r="BZ646" s="464"/>
      <c r="CA646" s="464"/>
      <c r="CB646" s="464"/>
      <c r="CC646" s="464"/>
      <c r="CD646" s="464"/>
      <c r="CE646" s="464"/>
      <c r="CF646" s="464"/>
    </row>
    <row r="647" spans="72:84" ht="49.5" customHeight="1" x14ac:dyDescent="0.45">
      <c r="BT647" s="493"/>
      <c r="BW647" s="464"/>
      <c r="BX647" s="464"/>
      <c r="BY647" s="464"/>
      <c r="BZ647" s="464"/>
      <c r="CA647" s="464"/>
      <c r="CB647" s="464"/>
      <c r="CC647" s="464"/>
      <c r="CD647" s="464"/>
      <c r="CE647" s="464"/>
      <c r="CF647" s="464"/>
    </row>
    <row r="648" spans="72:84" ht="49.5" customHeight="1" x14ac:dyDescent="0.45">
      <c r="BT648" s="493"/>
      <c r="BW648" s="464"/>
      <c r="BX648" s="464"/>
      <c r="BY648" s="464"/>
      <c r="BZ648" s="464"/>
      <c r="CA648" s="464"/>
      <c r="CB648" s="464"/>
      <c r="CC648" s="464"/>
      <c r="CD648" s="464"/>
      <c r="CE648" s="464"/>
      <c r="CF648" s="464"/>
    </row>
    <row r="649" spans="72:84" ht="49.5" customHeight="1" x14ac:dyDescent="0.45">
      <c r="BT649" s="493"/>
      <c r="BW649" s="464"/>
      <c r="BX649" s="464"/>
      <c r="BY649" s="464"/>
      <c r="BZ649" s="464"/>
      <c r="CA649" s="464"/>
      <c r="CB649" s="464"/>
      <c r="CC649" s="464"/>
      <c r="CD649" s="464"/>
      <c r="CE649" s="464"/>
      <c r="CF649" s="464"/>
    </row>
    <row r="650" spans="72:84" ht="49.5" customHeight="1" x14ac:dyDescent="0.45">
      <c r="BT650" s="493"/>
      <c r="BW650" s="464"/>
      <c r="BX650" s="464"/>
      <c r="BY650" s="464"/>
      <c r="BZ650" s="464"/>
      <c r="CA650" s="464"/>
      <c r="CB650" s="464"/>
      <c r="CC650" s="464"/>
      <c r="CD650" s="464"/>
      <c r="CE650" s="464"/>
      <c r="CF650" s="464"/>
    </row>
    <row r="651" spans="72:84" ht="49.5" customHeight="1" x14ac:dyDescent="0.45">
      <c r="BT651" s="493"/>
      <c r="BW651" s="464"/>
      <c r="BX651" s="464"/>
      <c r="BY651" s="464"/>
      <c r="BZ651" s="464"/>
      <c r="CA651" s="464"/>
      <c r="CB651" s="464"/>
      <c r="CC651" s="464"/>
      <c r="CD651" s="464"/>
      <c r="CE651" s="464"/>
      <c r="CF651" s="464"/>
    </row>
    <row r="652" spans="72:84" ht="49.5" customHeight="1" x14ac:dyDescent="0.45">
      <c r="BT652" s="493"/>
      <c r="BW652" s="464"/>
      <c r="BX652" s="464"/>
      <c r="BY652" s="464"/>
      <c r="BZ652" s="464"/>
      <c r="CA652" s="464"/>
      <c r="CB652" s="464"/>
      <c r="CC652" s="464"/>
      <c r="CD652" s="464"/>
      <c r="CE652" s="464"/>
      <c r="CF652" s="464"/>
    </row>
    <row r="653" spans="72:84" ht="49.5" customHeight="1" x14ac:dyDescent="0.45">
      <c r="BT653" s="493"/>
      <c r="BW653" s="464"/>
      <c r="BX653" s="464"/>
      <c r="BY653" s="464"/>
      <c r="BZ653" s="464"/>
      <c r="CA653" s="464"/>
      <c r="CB653" s="464"/>
      <c r="CC653" s="464"/>
      <c r="CD653" s="464"/>
      <c r="CE653" s="464"/>
      <c r="CF653" s="464"/>
    </row>
    <row r="654" spans="72:84" ht="49.5" customHeight="1" x14ac:dyDescent="0.45">
      <c r="BT654" s="493"/>
      <c r="BW654" s="464"/>
      <c r="BX654" s="464"/>
      <c r="BY654" s="464"/>
      <c r="BZ654" s="464"/>
      <c r="CA654" s="464"/>
      <c r="CB654" s="464"/>
      <c r="CC654" s="464"/>
      <c r="CD654" s="464"/>
      <c r="CE654" s="464"/>
      <c r="CF654" s="464"/>
    </row>
    <row r="655" spans="72:84" ht="49.5" customHeight="1" x14ac:dyDescent="0.45">
      <c r="BT655" s="493"/>
      <c r="BW655" s="464"/>
      <c r="BX655" s="464"/>
      <c r="BY655" s="464"/>
      <c r="BZ655" s="464"/>
      <c r="CA655" s="464"/>
      <c r="CB655" s="464"/>
      <c r="CC655" s="464"/>
      <c r="CD655" s="464"/>
      <c r="CE655" s="464"/>
      <c r="CF655" s="464"/>
    </row>
    <row r="656" spans="72:84" ht="49.5" customHeight="1" x14ac:dyDescent="0.45">
      <c r="BT656" s="493"/>
      <c r="BW656" s="464"/>
      <c r="BX656" s="464"/>
      <c r="BY656" s="464"/>
      <c r="BZ656" s="464"/>
      <c r="CA656" s="464"/>
      <c r="CB656" s="464"/>
      <c r="CC656" s="464"/>
      <c r="CD656" s="464"/>
      <c r="CE656" s="464"/>
      <c r="CF656" s="464"/>
    </row>
    <row r="657" spans="72:84" ht="49.5" customHeight="1" x14ac:dyDescent="0.45">
      <c r="BT657" s="493"/>
      <c r="BW657" s="464"/>
      <c r="BX657" s="464"/>
      <c r="BY657" s="464"/>
      <c r="BZ657" s="464"/>
      <c r="CA657" s="464"/>
      <c r="CB657" s="464"/>
      <c r="CC657" s="464"/>
      <c r="CD657" s="464"/>
      <c r="CE657" s="464"/>
      <c r="CF657" s="464"/>
    </row>
    <row r="658" spans="72:84" ht="49.5" customHeight="1" x14ac:dyDescent="0.45">
      <c r="BT658" s="493"/>
      <c r="BW658" s="464"/>
      <c r="BX658" s="464"/>
      <c r="BY658" s="464"/>
      <c r="BZ658" s="464"/>
      <c r="CA658" s="464"/>
      <c r="CB658" s="464"/>
      <c r="CC658" s="464"/>
      <c r="CD658" s="464"/>
      <c r="CE658" s="464"/>
      <c r="CF658" s="464"/>
    </row>
    <row r="659" spans="72:84" ht="49.5" customHeight="1" x14ac:dyDescent="0.45">
      <c r="BT659" s="493"/>
      <c r="BW659" s="464"/>
      <c r="BX659" s="464"/>
      <c r="BY659" s="464"/>
      <c r="BZ659" s="464"/>
      <c r="CA659" s="464"/>
      <c r="CB659" s="464"/>
      <c r="CC659" s="464"/>
      <c r="CD659" s="464"/>
      <c r="CE659" s="464"/>
      <c r="CF659" s="464"/>
    </row>
    <row r="660" spans="72:84" ht="49.5" customHeight="1" x14ac:dyDescent="0.45">
      <c r="BT660" s="493"/>
      <c r="BW660" s="464"/>
      <c r="BX660" s="464"/>
      <c r="BY660" s="464"/>
      <c r="BZ660" s="464"/>
      <c r="CA660" s="464"/>
      <c r="CB660" s="464"/>
      <c r="CC660" s="464"/>
      <c r="CD660" s="464"/>
      <c r="CE660" s="464"/>
      <c r="CF660" s="464"/>
    </row>
    <row r="661" spans="72:84" ht="49.5" customHeight="1" x14ac:dyDescent="0.45">
      <c r="BT661" s="493"/>
      <c r="BW661" s="464"/>
      <c r="BX661" s="464"/>
      <c r="BY661" s="464"/>
      <c r="BZ661" s="464"/>
      <c r="CA661" s="464"/>
      <c r="CB661" s="464"/>
      <c r="CC661" s="464"/>
      <c r="CD661" s="464"/>
      <c r="CE661" s="464"/>
      <c r="CF661" s="464"/>
    </row>
    <row r="662" spans="72:84" ht="49.5" customHeight="1" x14ac:dyDescent="0.45">
      <c r="BT662" s="493"/>
      <c r="BW662" s="464"/>
      <c r="BX662" s="464"/>
      <c r="BY662" s="464"/>
      <c r="BZ662" s="464"/>
      <c r="CA662" s="464"/>
      <c r="CB662" s="464"/>
      <c r="CC662" s="464"/>
      <c r="CD662" s="464"/>
      <c r="CE662" s="464"/>
      <c r="CF662" s="464"/>
    </row>
    <row r="663" spans="72:84" ht="49.5" customHeight="1" x14ac:dyDescent="0.45">
      <c r="BT663" s="493"/>
      <c r="BW663" s="464"/>
      <c r="BX663" s="464"/>
      <c r="BY663" s="464"/>
      <c r="BZ663" s="464"/>
      <c r="CA663" s="464"/>
      <c r="CB663" s="464"/>
      <c r="CC663" s="464"/>
      <c r="CD663" s="464"/>
      <c r="CE663" s="464"/>
      <c r="CF663" s="464"/>
    </row>
    <row r="664" spans="72:84" ht="49.5" customHeight="1" x14ac:dyDescent="0.45">
      <c r="BT664" s="493"/>
      <c r="BW664" s="464"/>
      <c r="BX664" s="464"/>
      <c r="BY664" s="464"/>
      <c r="BZ664" s="464"/>
      <c r="CA664" s="464"/>
      <c r="CB664" s="464"/>
      <c r="CC664" s="464"/>
      <c r="CD664" s="464"/>
      <c r="CE664" s="464"/>
      <c r="CF664" s="464"/>
    </row>
    <row r="665" spans="72:84" ht="49.5" customHeight="1" x14ac:dyDescent="0.45">
      <c r="BT665" s="493"/>
      <c r="BW665" s="464"/>
      <c r="BX665" s="464"/>
      <c r="BY665" s="464"/>
      <c r="BZ665" s="464"/>
      <c r="CA665" s="464"/>
      <c r="CB665" s="464"/>
      <c r="CC665" s="464"/>
      <c r="CD665" s="464"/>
      <c r="CE665" s="464"/>
      <c r="CF665" s="464"/>
    </row>
    <row r="666" spans="72:84" ht="49.5" customHeight="1" x14ac:dyDescent="0.45">
      <c r="BT666" s="493"/>
      <c r="BW666" s="464"/>
      <c r="BX666" s="464"/>
      <c r="BY666" s="464"/>
      <c r="BZ666" s="464"/>
      <c r="CA666" s="464"/>
      <c r="CB666" s="464"/>
      <c r="CC666" s="464"/>
      <c r="CD666" s="464"/>
      <c r="CE666" s="464"/>
      <c r="CF666" s="464"/>
    </row>
    <row r="667" spans="72:84" ht="49.5" customHeight="1" x14ac:dyDescent="0.45">
      <c r="BT667" s="493"/>
      <c r="BW667" s="464"/>
      <c r="BX667" s="464"/>
      <c r="BY667" s="464"/>
      <c r="BZ667" s="464"/>
      <c r="CA667" s="464"/>
      <c r="CB667" s="464"/>
      <c r="CC667" s="464"/>
      <c r="CD667" s="464"/>
      <c r="CE667" s="464"/>
      <c r="CF667" s="464"/>
    </row>
    <row r="668" spans="72:84" ht="49.5" customHeight="1" x14ac:dyDescent="0.45">
      <c r="BT668" s="493"/>
      <c r="BW668" s="464"/>
      <c r="BX668" s="464"/>
      <c r="BY668" s="464"/>
      <c r="BZ668" s="464"/>
      <c r="CA668" s="464"/>
      <c r="CB668" s="464"/>
      <c r="CC668" s="464"/>
      <c r="CD668" s="464"/>
      <c r="CE668" s="464"/>
      <c r="CF668" s="464"/>
    </row>
    <row r="669" spans="72:84" ht="49.5" customHeight="1" x14ac:dyDescent="0.45">
      <c r="BT669" s="493"/>
      <c r="BW669" s="464"/>
      <c r="BX669" s="464"/>
      <c r="BY669" s="464"/>
      <c r="BZ669" s="464"/>
      <c r="CA669" s="464"/>
      <c r="CB669" s="464"/>
      <c r="CC669" s="464"/>
      <c r="CD669" s="464"/>
      <c r="CE669" s="464"/>
      <c r="CF669" s="464"/>
    </row>
    <row r="670" spans="72:84" ht="49.5" customHeight="1" x14ac:dyDescent="0.45">
      <c r="BT670" s="493"/>
      <c r="BW670" s="464"/>
      <c r="BX670" s="464"/>
      <c r="BY670" s="464"/>
      <c r="BZ670" s="464"/>
      <c r="CA670" s="464"/>
      <c r="CB670" s="464"/>
      <c r="CC670" s="464"/>
      <c r="CD670" s="464"/>
      <c r="CE670" s="464"/>
      <c r="CF670" s="464"/>
    </row>
    <row r="671" spans="72:84" ht="49.5" customHeight="1" x14ac:dyDescent="0.45">
      <c r="BT671" s="493"/>
      <c r="BW671" s="464"/>
      <c r="BX671" s="464"/>
      <c r="BY671" s="464"/>
      <c r="BZ671" s="464"/>
      <c r="CA671" s="464"/>
      <c r="CB671" s="464"/>
      <c r="CC671" s="464"/>
      <c r="CD671" s="464"/>
      <c r="CE671" s="464"/>
      <c r="CF671" s="464"/>
    </row>
    <row r="672" spans="72:84" ht="49.5" customHeight="1" x14ac:dyDescent="0.45">
      <c r="BT672" s="493"/>
      <c r="BW672" s="464"/>
      <c r="BX672" s="464"/>
      <c r="BY672" s="464"/>
      <c r="BZ672" s="464"/>
      <c r="CA672" s="464"/>
      <c r="CB672" s="464"/>
      <c r="CC672" s="464"/>
      <c r="CD672" s="464"/>
      <c r="CE672" s="464"/>
      <c r="CF672" s="464"/>
    </row>
    <row r="673" spans="72:84" ht="49.5" customHeight="1" x14ac:dyDescent="0.45">
      <c r="BT673" s="493"/>
      <c r="BW673" s="464"/>
      <c r="BX673" s="464"/>
      <c r="BY673" s="464"/>
      <c r="BZ673" s="464"/>
      <c r="CA673" s="464"/>
      <c r="CB673" s="464"/>
      <c r="CC673" s="464"/>
      <c r="CD673" s="464"/>
      <c r="CE673" s="464"/>
      <c r="CF673" s="464"/>
    </row>
    <row r="674" spans="72:84" ht="49.5" customHeight="1" x14ac:dyDescent="0.45">
      <c r="BT674" s="493"/>
      <c r="BW674" s="464"/>
      <c r="BX674" s="464"/>
      <c r="BY674" s="464"/>
      <c r="BZ674" s="464"/>
      <c r="CA674" s="464"/>
      <c r="CB674" s="464"/>
      <c r="CC674" s="464"/>
      <c r="CD674" s="464"/>
      <c r="CE674" s="464"/>
      <c r="CF674" s="464"/>
    </row>
    <row r="675" spans="72:84" ht="49.5" customHeight="1" x14ac:dyDescent="0.45">
      <c r="BT675" s="493"/>
      <c r="BW675" s="464"/>
      <c r="BX675" s="464"/>
      <c r="BY675" s="464"/>
      <c r="BZ675" s="464"/>
      <c r="CA675" s="464"/>
      <c r="CB675" s="464"/>
      <c r="CC675" s="464"/>
      <c r="CD675" s="464"/>
      <c r="CE675" s="464"/>
      <c r="CF675" s="464"/>
    </row>
    <row r="676" spans="72:84" ht="49.5" customHeight="1" x14ac:dyDescent="0.45">
      <c r="BT676" s="493"/>
      <c r="BW676" s="464"/>
      <c r="BX676" s="464"/>
      <c r="BY676" s="464"/>
      <c r="BZ676" s="464"/>
      <c r="CA676" s="464"/>
      <c r="CB676" s="464"/>
      <c r="CC676" s="464"/>
      <c r="CD676" s="464"/>
      <c r="CE676" s="464"/>
      <c r="CF676" s="464"/>
    </row>
    <row r="677" spans="72:84" ht="49.5" customHeight="1" x14ac:dyDescent="0.45">
      <c r="BT677" s="493"/>
      <c r="BW677" s="464"/>
      <c r="BX677" s="464"/>
      <c r="BY677" s="464"/>
      <c r="BZ677" s="464"/>
      <c r="CA677" s="464"/>
      <c r="CB677" s="464"/>
      <c r="CC677" s="464"/>
      <c r="CD677" s="464"/>
      <c r="CE677" s="464"/>
      <c r="CF677" s="464"/>
    </row>
    <row r="678" spans="72:84" ht="49.5" customHeight="1" x14ac:dyDescent="0.45">
      <c r="BT678" s="493"/>
      <c r="BW678" s="464"/>
      <c r="BX678" s="464"/>
      <c r="BY678" s="464"/>
      <c r="BZ678" s="464"/>
      <c r="CA678" s="464"/>
      <c r="CB678" s="464"/>
      <c r="CC678" s="464"/>
      <c r="CD678" s="464"/>
      <c r="CE678" s="464"/>
      <c r="CF678" s="464"/>
    </row>
    <row r="679" spans="72:84" ht="49.5" customHeight="1" x14ac:dyDescent="0.45">
      <c r="BT679" s="493"/>
      <c r="BW679" s="464"/>
      <c r="BX679" s="464"/>
      <c r="BY679" s="464"/>
      <c r="BZ679" s="464"/>
      <c r="CA679" s="464"/>
      <c r="CB679" s="464"/>
      <c r="CC679" s="464"/>
      <c r="CD679" s="464"/>
      <c r="CE679" s="464"/>
      <c r="CF679" s="464"/>
    </row>
    <row r="680" spans="72:84" ht="49.5" customHeight="1" x14ac:dyDescent="0.45">
      <c r="BT680" s="493"/>
      <c r="BW680" s="464"/>
      <c r="BX680" s="464"/>
      <c r="BY680" s="464"/>
      <c r="BZ680" s="464"/>
      <c r="CA680" s="464"/>
      <c r="CB680" s="464"/>
      <c r="CC680" s="464"/>
      <c r="CD680" s="464"/>
      <c r="CE680" s="464"/>
      <c r="CF680" s="464"/>
    </row>
    <row r="681" spans="72:84" ht="49.5" customHeight="1" x14ac:dyDescent="0.45">
      <c r="BT681" s="493"/>
      <c r="BW681" s="464"/>
      <c r="BX681" s="464"/>
      <c r="BY681" s="464"/>
      <c r="BZ681" s="464"/>
      <c r="CA681" s="464"/>
      <c r="CB681" s="464"/>
      <c r="CC681" s="464"/>
      <c r="CD681" s="464"/>
      <c r="CE681" s="464"/>
      <c r="CF681" s="464"/>
    </row>
    <row r="682" spans="72:84" ht="49.5" customHeight="1" x14ac:dyDescent="0.45">
      <c r="BT682" s="493"/>
      <c r="BW682" s="464"/>
      <c r="BX682" s="464"/>
      <c r="BY682" s="464"/>
      <c r="BZ682" s="464"/>
      <c r="CA682" s="464"/>
      <c r="CB682" s="464"/>
      <c r="CC682" s="464"/>
      <c r="CD682" s="464"/>
      <c r="CE682" s="464"/>
      <c r="CF682" s="464"/>
    </row>
    <row r="683" spans="72:84" ht="49.5" customHeight="1" x14ac:dyDescent="0.45">
      <c r="BT683" s="493"/>
      <c r="BW683" s="464"/>
      <c r="BX683" s="464"/>
      <c r="BY683" s="464"/>
      <c r="BZ683" s="464"/>
      <c r="CA683" s="464"/>
      <c r="CB683" s="464"/>
      <c r="CC683" s="464"/>
      <c r="CD683" s="464"/>
      <c r="CE683" s="464"/>
      <c r="CF683" s="464"/>
    </row>
    <row r="684" spans="72:84" ht="49.5" customHeight="1" x14ac:dyDescent="0.45">
      <c r="BT684" s="493"/>
      <c r="BW684" s="464"/>
      <c r="BX684" s="464"/>
      <c r="BY684" s="464"/>
      <c r="BZ684" s="464"/>
      <c r="CA684" s="464"/>
      <c r="CB684" s="464"/>
      <c r="CC684" s="464"/>
      <c r="CD684" s="464"/>
      <c r="CE684" s="464"/>
      <c r="CF684" s="464"/>
    </row>
    <row r="685" spans="72:84" ht="49.5" customHeight="1" x14ac:dyDescent="0.45">
      <c r="BT685" s="493"/>
      <c r="BW685" s="464"/>
      <c r="BX685" s="464"/>
      <c r="BY685" s="464"/>
      <c r="BZ685" s="464"/>
      <c r="CA685" s="464"/>
      <c r="CB685" s="464"/>
      <c r="CC685" s="464"/>
      <c r="CD685" s="464"/>
      <c r="CE685" s="464"/>
      <c r="CF685" s="464"/>
    </row>
    <row r="686" spans="72:84" ht="49.5" customHeight="1" x14ac:dyDescent="0.45">
      <c r="BT686" s="493"/>
      <c r="BW686" s="464"/>
      <c r="BX686" s="464"/>
      <c r="BY686" s="464"/>
      <c r="BZ686" s="464"/>
      <c r="CA686" s="464"/>
      <c r="CB686" s="464"/>
      <c r="CC686" s="464"/>
      <c r="CD686" s="464"/>
      <c r="CE686" s="464"/>
      <c r="CF686" s="464"/>
    </row>
    <row r="687" spans="72:84" ht="49.5" customHeight="1" x14ac:dyDescent="0.45">
      <c r="BT687" s="493"/>
      <c r="BW687" s="464"/>
      <c r="BX687" s="464"/>
      <c r="BY687" s="464"/>
      <c r="BZ687" s="464"/>
      <c r="CA687" s="464"/>
      <c r="CB687" s="464"/>
      <c r="CC687" s="464"/>
      <c r="CD687" s="464"/>
      <c r="CE687" s="464"/>
      <c r="CF687" s="464"/>
    </row>
    <row r="688" spans="72:84" ht="49.5" customHeight="1" x14ac:dyDescent="0.45">
      <c r="BT688" s="493"/>
      <c r="BW688" s="464"/>
      <c r="BX688" s="464"/>
      <c r="BY688" s="464"/>
      <c r="BZ688" s="464"/>
      <c r="CA688" s="464"/>
      <c r="CB688" s="464"/>
      <c r="CC688" s="464"/>
      <c r="CD688" s="464"/>
      <c r="CE688" s="464"/>
      <c r="CF688" s="464"/>
    </row>
    <row r="689" spans="72:84" ht="49.5" customHeight="1" x14ac:dyDescent="0.45">
      <c r="BT689" s="493"/>
      <c r="BW689" s="464"/>
      <c r="BX689" s="464"/>
      <c r="BY689" s="464"/>
      <c r="BZ689" s="464"/>
      <c r="CA689" s="464"/>
      <c r="CB689" s="464"/>
      <c r="CC689" s="464"/>
      <c r="CD689" s="464"/>
      <c r="CE689" s="464"/>
      <c r="CF689" s="464"/>
    </row>
    <row r="690" spans="72:84" ht="49.5" customHeight="1" x14ac:dyDescent="0.45">
      <c r="BT690" s="493"/>
      <c r="BW690" s="464"/>
      <c r="BX690" s="464"/>
      <c r="BY690" s="464"/>
      <c r="BZ690" s="464"/>
      <c r="CA690" s="464"/>
      <c r="CB690" s="464"/>
      <c r="CC690" s="464"/>
      <c r="CD690" s="464"/>
      <c r="CE690" s="464"/>
      <c r="CF690" s="464"/>
    </row>
    <row r="691" spans="72:84" ht="49.5" customHeight="1" x14ac:dyDescent="0.45">
      <c r="BT691" s="493"/>
      <c r="BW691" s="464"/>
      <c r="BX691" s="464"/>
      <c r="BY691" s="464"/>
      <c r="BZ691" s="464"/>
      <c r="CA691" s="464"/>
      <c r="CB691" s="464"/>
      <c r="CC691" s="464"/>
      <c r="CD691" s="464"/>
      <c r="CE691" s="464"/>
      <c r="CF691" s="464"/>
    </row>
    <row r="692" spans="72:84" ht="49.5" customHeight="1" x14ac:dyDescent="0.45">
      <c r="BT692" s="493"/>
      <c r="BW692" s="464"/>
      <c r="BX692" s="464"/>
      <c r="BY692" s="464"/>
      <c r="BZ692" s="464"/>
      <c r="CA692" s="464"/>
      <c r="CB692" s="464"/>
      <c r="CC692" s="464"/>
      <c r="CD692" s="464"/>
      <c r="CE692" s="464"/>
      <c r="CF692" s="464"/>
    </row>
    <row r="693" spans="72:84" ht="49.5" customHeight="1" x14ac:dyDescent="0.45">
      <c r="BT693" s="493"/>
      <c r="BW693" s="464"/>
      <c r="BX693" s="464"/>
      <c r="BY693" s="464"/>
      <c r="BZ693" s="464"/>
      <c r="CA693" s="464"/>
      <c r="CB693" s="464"/>
      <c r="CC693" s="464"/>
      <c r="CD693" s="464"/>
      <c r="CE693" s="464"/>
      <c r="CF693" s="464"/>
    </row>
    <row r="694" spans="72:84" ht="49.5" customHeight="1" x14ac:dyDescent="0.45">
      <c r="BT694" s="493"/>
      <c r="BW694" s="464"/>
      <c r="BX694" s="464"/>
      <c r="BY694" s="464"/>
      <c r="BZ694" s="464"/>
      <c r="CA694" s="464"/>
      <c r="CB694" s="464"/>
      <c r="CC694" s="464"/>
      <c r="CD694" s="464"/>
      <c r="CE694" s="464"/>
      <c r="CF694" s="464"/>
    </row>
    <row r="695" spans="72:84" ht="49.5" customHeight="1" x14ac:dyDescent="0.45">
      <c r="BT695" s="493"/>
      <c r="BW695" s="464"/>
      <c r="BX695" s="464"/>
      <c r="BY695" s="464"/>
      <c r="BZ695" s="464"/>
      <c r="CA695" s="464"/>
      <c r="CB695" s="464"/>
      <c r="CC695" s="464"/>
      <c r="CD695" s="464"/>
      <c r="CE695" s="464"/>
      <c r="CF695" s="464"/>
    </row>
    <row r="696" spans="72:84" ht="49.5" customHeight="1" x14ac:dyDescent="0.45">
      <c r="BT696" s="493"/>
      <c r="BW696" s="464"/>
      <c r="BX696" s="464"/>
      <c r="BY696" s="464"/>
      <c r="BZ696" s="464"/>
      <c r="CA696" s="464"/>
      <c r="CB696" s="464"/>
      <c r="CC696" s="464"/>
      <c r="CD696" s="464"/>
      <c r="CE696" s="464"/>
      <c r="CF696" s="464"/>
    </row>
    <row r="697" spans="72:84" ht="49.5" customHeight="1" x14ac:dyDescent="0.45">
      <c r="BT697" s="493"/>
      <c r="BW697" s="464"/>
      <c r="BX697" s="464"/>
      <c r="BY697" s="464"/>
      <c r="BZ697" s="464"/>
      <c r="CA697" s="464"/>
      <c r="CB697" s="464"/>
      <c r="CC697" s="464"/>
      <c r="CD697" s="464"/>
      <c r="CE697" s="464"/>
      <c r="CF697" s="464"/>
    </row>
    <row r="698" spans="72:84" ht="49.5" customHeight="1" x14ac:dyDescent="0.45">
      <c r="BT698" s="493"/>
      <c r="BW698" s="464"/>
      <c r="BX698" s="464"/>
      <c r="BY698" s="464"/>
      <c r="BZ698" s="464"/>
      <c r="CA698" s="464"/>
      <c r="CB698" s="464"/>
      <c r="CC698" s="464"/>
      <c r="CD698" s="464"/>
      <c r="CE698" s="464"/>
      <c r="CF698" s="464"/>
    </row>
    <row r="699" spans="72:84" ht="49.5" customHeight="1" x14ac:dyDescent="0.45">
      <c r="BT699" s="493"/>
      <c r="BW699" s="464"/>
      <c r="BX699" s="464"/>
      <c r="BY699" s="464"/>
      <c r="BZ699" s="464"/>
      <c r="CA699" s="464"/>
      <c r="CB699" s="464"/>
      <c r="CC699" s="464"/>
      <c r="CD699" s="464"/>
      <c r="CE699" s="464"/>
      <c r="CF699" s="464"/>
    </row>
    <row r="700" spans="72:84" ht="49.5" customHeight="1" x14ac:dyDescent="0.45">
      <c r="BT700" s="493"/>
      <c r="BW700" s="464"/>
      <c r="BX700" s="464"/>
      <c r="BY700" s="464"/>
      <c r="BZ700" s="464"/>
      <c r="CA700" s="464"/>
      <c r="CB700" s="464"/>
      <c r="CC700" s="464"/>
      <c r="CD700" s="464"/>
      <c r="CE700" s="464"/>
      <c r="CF700" s="464"/>
    </row>
    <row r="701" spans="72:84" ht="49.5" customHeight="1" x14ac:dyDescent="0.45">
      <c r="BT701" s="493"/>
      <c r="BW701" s="464"/>
      <c r="BX701" s="464"/>
      <c r="BY701" s="464"/>
      <c r="BZ701" s="464"/>
      <c r="CA701" s="464"/>
      <c r="CB701" s="464"/>
      <c r="CC701" s="464"/>
      <c r="CD701" s="464"/>
      <c r="CE701" s="464"/>
      <c r="CF701" s="464"/>
    </row>
    <row r="702" spans="72:84" ht="49.5" customHeight="1" x14ac:dyDescent="0.45">
      <c r="BT702" s="493"/>
      <c r="BW702" s="464"/>
      <c r="BX702" s="464"/>
      <c r="BY702" s="464"/>
      <c r="BZ702" s="464"/>
      <c r="CA702" s="464"/>
      <c r="CB702" s="464"/>
      <c r="CC702" s="464"/>
      <c r="CD702" s="464"/>
      <c r="CE702" s="464"/>
      <c r="CF702" s="464"/>
    </row>
    <row r="703" spans="72:84" ht="49.5" customHeight="1" x14ac:dyDescent="0.45">
      <c r="BT703" s="493"/>
      <c r="BW703" s="464"/>
      <c r="BX703" s="464"/>
      <c r="BY703" s="464"/>
      <c r="BZ703" s="464"/>
      <c r="CA703" s="464"/>
      <c r="CB703" s="464"/>
      <c r="CC703" s="464"/>
      <c r="CD703" s="464"/>
      <c r="CE703" s="464"/>
      <c r="CF703" s="464"/>
    </row>
    <row r="704" spans="72:84" ht="49.5" customHeight="1" x14ac:dyDescent="0.45">
      <c r="BT704" s="493"/>
      <c r="BW704" s="464"/>
      <c r="BX704" s="464"/>
      <c r="BY704" s="464"/>
      <c r="BZ704" s="464"/>
      <c r="CA704" s="464"/>
      <c r="CB704" s="464"/>
      <c r="CC704" s="464"/>
      <c r="CD704" s="464"/>
      <c r="CE704" s="464"/>
      <c r="CF704" s="464"/>
    </row>
    <row r="705" spans="72:84" ht="49.5" customHeight="1" x14ac:dyDescent="0.45">
      <c r="BT705" s="493"/>
      <c r="BW705" s="464"/>
      <c r="BX705" s="464"/>
      <c r="BY705" s="464"/>
      <c r="BZ705" s="464"/>
      <c r="CA705" s="464"/>
      <c r="CB705" s="464"/>
      <c r="CC705" s="464"/>
      <c r="CD705" s="464"/>
      <c r="CE705" s="464"/>
      <c r="CF705" s="464"/>
    </row>
    <row r="706" spans="72:84" ht="49.5" customHeight="1" x14ac:dyDescent="0.45">
      <c r="BT706" s="493"/>
      <c r="BW706" s="464"/>
      <c r="BX706" s="464"/>
      <c r="BY706" s="464"/>
      <c r="BZ706" s="464"/>
      <c r="CA706" s="464"/>
      <c r="CB706" s="464"/>
      <c r="CC706" s="464"/>
      <c r="CD706" s="464"/>
      <c r="CE706" s="464"/>
      <c r="CF706" s="464"/>
    </row>
    <row r="707" spans="72:84" ht="49.5" customHeight="1" x14ac:dyDescent="0.45">
      <c r="BT707" s="493"/>
      <c r="BW707" s="464"/>
      <c r="BX707" s="464"/>
      <c r="BY707" s="464"/>
      <c r="BZ707" s="464"/>
      <c r="CA707" s="464"/>
      <c r="CB707" s="464"/>
      <c r="CC707" s="464"/>
      <c r="CD707" s="464"/>
      <c r="CE707" s="464"/>
      <c r="CF707" s="464"/>
    </row>
    <row r="708" spans="72:84" ht="49.5" customHeight="1" x14ac:dyDescent="0.45">
      <c r="BT708" s="493"/>
      <c r="BW708" s="464"/>
      <c r="BX708" s="464"/>
      <c r="BY708" s="464"/>
      <c r="BZ708" s="464"/>
      <c r="CA708" s="464"/>
      <c r="CB708" s="464"/>
      <c r="CC708" s="464"/>
      <c r="CD708" s="464"/>
      <c r="CE708" s="464"/>
      <c r="CF708" s="464"/>
    </row>
    <row r="709" spans="72:84" ht="49.5" customHeight="1" x14ac:dyDescent="0.45">
      <c r="BT709" s="493"/>
      <c r="BW709" s="464"/>
      <c r="BX709" s="464"/>
      <c r="BY709" s="464"/>
      <c r="BZ709" s="464"/>
      <c r="CA709" s="464"/>
      <c r="CB709" s="464"/>
      <c r="CC709" s="464"/>
      <c r="CD709" s="464"/>
      <c r="CE709" s="464"/>
      <c r="CF709" s="464"/>
    </row>
    <row r="710" spans="72:84" ht="49.5" customHeight="1" x14ac:dyDescent="0.45">
      <c r="BT710" s="493"/>
      <c r="BW710" s="464"/>
      <c r="BX710" s="464"/>
      <c r="BY710" s="464"/>
      <c r="BZ710" s="464"/>
      <c r="CA710" s="464"/>
      <c r="CB710" s="464"/>
      <c r="CC710" s="464"/>
      <c r="CD710" s="464"/>
      <c r="CE710" s="464"/>
      <c r="CF710" s="464"/>
    </row>
    <row r="711" spans="72:84" ht="49.5" customHeight="1" x14ac:dyDescent="0.45">
      <c r="BT711" s="493"/>
      <c r="BW711" s="464"/>
      <c r="BX711" s="464"/>
      <c r="BY711" s="464"/>
      <c r="BZ711" s="464"/>
      <c r="CA711" s="464"/>
      <c r="CB711" s="464"/>
      <c r="CC711" s="464"/>
      <c r="CD711" s="464"/>
      <c r="CE711" s="464"/>
      <c r="CF711" s="464"/>
    </row>
    <row r="712" spans="72:84" ht="49.5" customHeight="1" x14ac:dyDescent="0.45">
      <c r="BT712" s="493"/>
      <c r="BW712" s="464"/>
      <c r="BX712" s="464"/>
      <c r="BY712" s="464"/>
      <c r="BZ712" s="464"/>
      <c r="CA712" s="464"/>
      <c r="CB712" s="464"/>
      <c r="CC712" s="464"/>
      <c r="CD712" s="464"/>
      <c r="CE712" s="464"/>
      <c r="CF712" s="464"/>
    </row>
    <row r="713" spans="72:84" ht="49.5" customHeight="1" x14ac:dyDescent="0.45">
      <c r="BT713" s="493"/>
      <c r="BW713" s="464"/>
      <c r="BX713" s="464"/>
      <c r="BY713" s="464"/>
      <c r="BZ713" s="464"/>
      <c r="CA713" s="464"/>
      <c r="CB713" s="464"/>
      <c r="CC713" s="464"/>
      <c r="CD713" s="464"/>
      <c r="CE713" s="464"/>
      <c r="CF713" s="464"/>
    </row>
    <row r="714" spans="72:84" ht="49.5" customHeight="1" x14ac:dyDescent="0.45">
      <c r="BT714" s="493"/>
      <c r="BW714" s="464"/>
      <c r="BX714" s="464"/>
      <c r="BY714" s="464"/>
      <c r="BZ714" s="464"/>
      <c r="CA714" s="464"/>
      <c r="CB714" s="464"/>
      <c r="CC714" s="464"/>
      <c r="CD714" s="464"/>
      <c r="CE714" s="464"/>
      <c r="CF714" s="464"/>
    </row>
    <row r="715" spans="72:84" ht="49.5" customHeight="1" x14ac:dyDescent="0.45">
      <c r="BT715" s="493"/>
      <c r="BW715" s="464"/>
      <c r="BX715" s="464"/>
      <c r="BY715" s="464"/>
      <c r="BZ715" s="464"/>
      <c r="CA715" s="464"/>
      <c r="CB715" s="464"/>
      <c r="CC715" s="464"/>
      <c r="CD715" s="464"/>
      <c r="CE715" s="464"/>
      <c r="CF715" s="464"/>
    </row>
    <row r="716" spans="72:84" ht="49.5" customHeight="1" x14ac:dyDescent="0.45">
      <c r="BT716" s="493"/>
      <c r="BW716" s="464"/>
      <c r="BX716" s="464"/>
      <c r="BY716" s="464"/>
      <c r="BZ716" s="464"/>
      <c r="CA716" s="464"/>
      <c r="CB716" s="464"/>
      <c r="CC716" s="464"/>
      <c r="CD716" s="464"/>
      <c r="CE716" s="464"/>
      <c r="CF716" s="464"/>
    </row>
    <row r="717" spans="72:84" ht="49.5" customHeight="1" x14ac:dyDescent="0.45">
      <c r="BT717" s="493"/>
      <c r="BW717" s="464"/>
      <c r="BX717" s="464"/>
      <c r="BY717" s="464"/>
      <c r="BZ717" s="464"/>
      <c r="CA717" s="464"/>
      <c r="CB717" s="464"/>
      <c r="CC717" s="464"/>
      <c r="CD717" s="464"/>
      <c r="CE717" s="464"/>
      <c r="CF717" s="464"/>
    </row>
    <row r="718" spans="72:84" ht="49.5" customHeight="1" x14ac:dyDescent="0.45">
      <c r="BT718" s="493"/>
      <c r="BW718" s="464"/>
      <c r="BX718" s="464"/>
      <c r="BY718" s="464"/>
      <c r="BZ718" s="464"/>
      <c r="CA718" s="464"/>
      <c r="CB718" s="464"/>
      <c r="CC718" s="464"/>
      <c r="CD718" s="464"/>
      <c r="CE718" s="464"/>
      <c r="CF718" s="464"/>
    </row>
    <row r="719" spans="72:84" ht="49.5" customHeight="1" x14ac:dyDescent="0.45">
      <c r="BT719" s="493"/>
      <c r="BW719" s="464"/>
      <c r="BX719" s="464"/>
      <c r="BY719" s="464"/>
      <c r="BZ719" s="464"/>
      <c r="CA719" s="464"/>
      <c r="CB719" s="464"/>
      <c r="CC719" s="464"/>
      <c r="CD719" s="464"/>
      <c r="CE719" s="464"/>
      <c r="CF719" s="464"/>
    </row>
    <row r="720" spans="72:84" ht="49.5" customHeight="1" x14ac:dyDescent="0.45">
      <c r="BT720" s="493"/>
      <c r="BW720" s="464"/>
      <c r="BX720" s="464"/>
      <c r="BY720" s="464"/>
      <c r="BZ720" s="464"/>
      <c r="CA720" s="464"/>
      <c r="CB720" s="464"/>
      <c r="CC720" s="464"/>
      <c r="CD720" s="464"/>
      <c r="CE720" s="464"/>
      <c r="CF720" s="464"/>
    </row>
    <row r="721" spans="72:84" ht="49.5" customHeight="1" x14ac:dyDescent="0.45">
      <c r="BT721" s="493"/>
      <c r="BW721" s="464"/>
      <c r="BX721" s="464"/>
      <c r="BY721" s="464"/>
      <c r="BZ721" s="464"/>
      <c r="CA721" s="464"/>
      <c r="CB721" s="464"/>
      <c r="CC721" s="464"/>
      <c r="CD721" s="464"/>
      <c r="CE721" s="464"/>
      <c r="CF721" s="464"/>
    </row>
    <row r="722" spans="72:84" ht="49.5" customHeight="1" x14ac:dyDescent="0.45">
      <c r="BT722" s="493"/>
      <c r="BW722" s="464"/>
      <c r="BX722" s="464"/>
      <c r="BY722" s="464"/>
      <c r="BZ722" s="464"/>
      <c r="CA722" s="464"/>
      <c r="CB722" s="464"/>
      <c r="CC722" s="464"/>
      <c r="CD722" s="464"/>
      <c r="CE722" s="464"/>
      <c r="CF722" s="464"/>
    </row>
    <row r="723" spans="72:84" ht="49.5" customHeight="1" x14ac:dyDescent="0.45">
      <c r="BT723" s="493"/>
      <c r="BW723" s="464"/>
      <c r="BX723" s="464"/>
      <c r="BY723" s="464"/>
      <c r="BZ723" s="464"/>
      <c r="CA723" s="464"/>
      <c r="CB723" s="464"/>
      <c r="CC723" s="464"/>
      <c r="CD723" s="464"/>
      <c r="CE723" s="464"/>
      <c r="CF723" s="464"/>
    </row>
    <row r="724" spans="72:84" ht="49.5" customHeight="1" x14ac:dyDescent="0.45">
      <c r="BT724" s="493"/>
      <c r="BW724" s="464"/>
      <c r="BX724" s="464"/>
      <c r="BY724" s="464"/>
      <c r="BZ724" s="464"/>
      <c r="CA724" s="464"/>
      <c r="CB724" s="464"/>
      <c r="CC724" s="464"/>
      <c r="CD724" s="464"/>
      <c r="CE724" s="464"/>
      <c r="CF724" s="464"/>
    </row>
    <row r="725" spans="72:84" ht="49.5" customHeight="1" x14ac:dyDescent="0.45">
      <c r="BT725" s="493"/>
      <c r="BW725" s="464"/>
      <c r="BX725" s="464"/>
      <c r="BY725" s="464"/>
      <c r="BZ725" s="464"/>
      <c r="CA725" s="464"/>
      <c r="CB725" s="464"/>
      <c r="CC725" s="464"/>
      <c r="CD725" s="464"/>
      <c r="CE725" s="464"/>
      <c r="CF725" s="464"/>
    </row>
    <row r="726" spans="72:84" ht="49.5" customHeight="1" x14ac:dyDescent="0.45">
      <c r="BT726" s="493"/>
      <c r="BW726" s="464"/>
      <c r="BX726" s="464"/>
      <c r="BY726" s="464"/>
      <c r="BZ726" s="464"/>
      <c r="CA726" s="464"/>
      <c r="CB726" s="464"/>
      <c r="CC726" s="464"/>
      <c r="CD726" s="464"/>
      <c r="CE726" s="464"/>
      <c r="CF726" s="464"/>
    </row>
    <row r="727" spans="72:84" ht="49.5" customHeight="1" x14ac:dyDescent="0.45">
      <c r="BT727" s="493"/>
      <c r="BW727" s="464"/>
      <c r="BX727" s="464"/>
      <c r="BY727" s="464"/>
      <c r="BZ727" s="464"/>
      <c r="CA727" s="464"/>
      <c r="CB727" s="464"/>
      <c r="CC727" s="464"/>
      <c r="CD727" s="464"/>
      <c r="CE727" s="464"/>
      <c r="CF727" s="464"/>
    </row>
    <row r="728" spans="72:84" ht="49.5" customHeight="1" x14ac:dyDescent="0.45">
      <c r="BT728" s="493"/>
      <c r="BW728" s="464"/>
      <c r="BX728" s="464"/>
      <c r="BY728" s="464"/>
      <c r="BZ728" s="464"/>
      <c r="CA728" s="464"/>
      <c r="CB728" s="464"/>
      <c r="CC728" s="464"/>
      <c r="CD728" s="464"/>
      <c r="CE728" s="464"/>
      <c r="CF728" s="464"/>
    </row>
    <row r="729" spans="72:84" ht="49.5" customHeight="1" x14ac:dyDescent="0.45">
      <c r="BT729" s="493"/>
      <c r="BW729" s="464"/>
      <c r="BX729" s="464"/>
      <c r="BY729" s="464"/>
      <c r="BZ729" s="464"/>
      <c r="CA729" s="464"/>
      <c r="CB729" s="464"/>
      <c r="CC729" s="464"/>
      <c r="CD729" s="464"/>
      <c r="CE729" s="464"/>
      <c r="CF729" s="464"/>
    </row>
    <row r="730" spans="72:84" ht="49.5" customHeight="1" x14ac:dyDescent="0.45">
      <c r="BT730" s="493"/>
      <c r="BW730" s="464"/>
      <c r="BX730" s="464"/>
      <c r="BY730" s="464"/>
      <c r="BZ730" s="464"/>
      <c r="CA730" s="464"/>
      <c r="CB730" s="464"/>
      <c r="CC730" s="464"/>
      <c r="CD730" s="464"/>
      <c r="CE730" s="464"/>
      <c r="CF730" s="464"/>
    </row>
    <row r="731" spans="72:84" ht="49.5" customHeight="1" x14ac:dyDescent="0.45">
      <c r="BT731" s="493"/>
      <c r="BW731" s="464"/>
      <c r="BX731" s="464"/>
      <c r="BY731" s="464"/>
      <c r="BZ731" s="464"/>
      <c r="CA731" s="464"/>
      <c r="CB731" s="464"/>
      <c r="CC731" s="464"/>
      <c r="CD731" s="464"/>
      <c r="CE731" s="464"/>
      <c r="CF731" s="464"/>
    </row>
    <row r="732" spans="72:84" ht="49.5" customHeight="1" x14ac:dyDescent="0.45">
      <c r="BT732" s="493"/>
      <c r="BW732" s="464"/>
      <c r="BX732" s="464"/>
      <c r="BY732" s="464"/>
      <c r="BZ732" s="464"/>
      <c r="CA732" s="464"/>
      <c r="CB732" s="464"/>
      <c r="CC732" s="464"/>
      <c r="CD732" s="464"/>
      <c r="CE732" s="464"/>
      <c r="CF732" s="464"/>
    </row>
    <row r="733" spans="72:84" ht="49.5" customHeight="1" x14ac:dyDescent="0.45">
      <c r="BT733" s="493"/>
      <c r="BW733" s="464"/>
      <c r="BX733" s="464"/>
      <c r="BY733" s="464"/>
      <c r="BZ733" s="464"/>
      <c r="CA733" s="464"/>
      <c r="CB733" s="464"/>
      <c r="CC733" s="464"/>
      <c r="CD733" s="464"/>
      <c r="CE733" s="464"/>
      <c r="CF733" s="464"/>
    </row>
    <row r="734" spans="72:84" ht="49.5" customHeight="1" x14ac:dyDescent="0.45">
      <c r="BT734" s="493"/>
      <c r="BW734" s="464"/>
      <c r="BX734" s="464"/>
      <c r="BY734" s="464"/>
      <c r="BZ734" s="464"/>
      <c r="CA734" s="464"/>
      <c r="CB734" s="464"/>
      <c r="CC734" s="464"/>
      <c r="CD734" s="464"/>
      <c r="CE734" s="464"/>
      <c r="CF734" s="464"/>
    </row>
    <row r="735" spans="72:84" ht="49.5" customHeight="1" x14ac:dyDescent="0.45">
      <c r="BT735" s="493"/>
      <c r="BW735" s="464"/>
      <c r="BX735" s="464"/>
      <c r="BY735" s="464"/>
      <c r="BZ735" s="464"/>
      <c r="CA735" s="464"/>
      <c r="CB735" s="464"/>
      <c r="CC735" s="464"/>
      <c r="CD735" s="464"/>
      <c r="CE735" s="464"/>
      <c r="CF735" s="464"/>
    </row>
    <row r="736" spans="72:84" ht="49.5" customHeight="1" x14ac:dyDescent="0.45">
      <c r="BT736" s="493"/>
      <c r="BW736" s="464"/>
      <c r="BX736" s="464"/>
      <c r="BY736" s="464"/>
      <c r="BZ736" s="464"/>
      <c r="CA736" s="464"/>
      <c r="CB736" s="464"/>
      <c r="CC736" s="464"/>
      <c r="CD736" s="464"/>
      <c r="CE736" s="464"/>
      <c r="CF736" s="464"/>
    </row>
    <row r="737" spans="72:84" ht="49.5" customHeight="1" x14ac:dyDescent="0.45">
      <c r="BT737" s="493"/>
      <c r="BW737" s="464"/>
      <c r="BX737" s="464"/>
      <c r="BY737" s="464"/>
      <c r="BZ737" s="464"/>
      <c r="CA737" s="464"/>
      <c r="CB737" s="464"/>
      <c r="CC737" s="464"/>
      <c r="CD737" s="464"/>
      <c r="CE737" s="464"/>
      <c r="CF737" s="464"/>
    </row>
    <row r="738" spans="72:84" ht="49.5" customHeight="1" x14ac:dyDescent="0.45">
      <c r="BT738" s="493"/>
      <c r="BW738" s="464"/>
      <c r="BX738" s="464"/>
      <c r="BY738" s="464"/>
      <c r="BZ738" s="464"/>
      <c r="CA738" s="464"/>
      <c r="CB738" s="464"/>
      <c r="CC738" s="464"/>
      <c r="CD738" s="464"/>
      <c r="CE738" s="464"/>
      <c r="CF738" s="464"/>
    </row>
    <row r="739" spans="72:84" ht="49.5" customHeight="1" x14ac:dyDescent="0.45">
      <c r="BT739" s="493"/>
      <c r="BW739" s="464"/>
      <c r="BX739" s="464"/>
      <c r="BY739" s="464"/>
      <c r="BZ739" s="464"/>
      <c r="CA739" s="464"/>
      <c r="CB739" s="464"/>
      <c r="CC739" s="464"/>
      <c r="CD739" s="464"/>
      <c r="CE739" s="464"/>
      <c r="CF739" s="464"/>
    </row>
    <row r="740" spans="72:84" ht="49.5" customHeight="1" x14ac:dyDescent="0.45">
      <c r="BT740" s="493"/>
      <c r="BW740" s="464"/>
      <c r="BX740" s="464"/>
      <c r="BY740" s="464"/>
      <c r="BZ740" s="464"/>
      <c r="CA740" s="464"/>
      <c r="CB740" s="464"/>
      <c r="CC740" s="464"/>
      <c r="CD740" s="464"/>
      <c r="CE740" s="464"/>
      <c r="CF740" s="464"/>
    </row>
    <row r="741" spans="72:84" ht="49.5" customHeight="1" x14ac:dyDescent="0.45">
      <c r="BT741" s="493"/>
      <c r="BW741" s="464"/>
      <c r="BX741" s="464"/>
      <c r="BY741" s="464"/>
      <c r="BZ741" s="464"/>
      <c r="CA741" s="464"/>
      <c r="CB741" s="464"/>
      <c r="CC741" s="464"/>
      <c r="CD741" s="464"/>
      <c r="CE741" s="464"/>
      <c r="CF741" s="464"/>
    </row>
    <row r="742" spans="72:84" ht="49.5" customHeight="1" x14ac:dyDescent="0.45">
      <c r="BT742" s="493"/>
      <c r="BW742" s="464"/>
      <c r="BX742" s="464"/>
      <c r="BY742" s="464"/>
      <c r="BZ742" s="464"/>
      <c r="CA742" s="464"/>
      <c r="CB742" s="464"/>
      <c r="CC742" s="464"/>
      <c r="CD742" s="464"/>
      <c r="CE742" s="464"/>
      <c r="CF742" s="464"/>
    </row>
    <row r="743" spans="72:84" ht="49.5" customHeight="1" x14ac:dyDescent="0.45">
      <c r="BT743" s="493"/>
      <c r="BW743" s="464"/>
      <c r="BX743" s="464"/>
      <c r="BY743" s="464"/>
      <c r="BZ743" s="464"/>
      <c r="CA743" s="464"/>
      <c r="CB743" s="464"/>
      <c r="CC743" s="464"/>
      <c r="CD743" s="464"/>
      <c r="CE743" s="464"/>
      <c r="CF743" s="464"/>
    </row>
    <row r="744" spans="72:84" ht="49.5" customHeight="1" x14ac:dyDescent="0.45">
      <c r="BT744" s="493"/>
      <c r="BW744" s="464"/>
      <c r="BX744" s="464"/>
      <c r="BY744" s="464"/>
      <c r="BZ744" s="464"/>
      <c r="CA744" s="464"/>
      <c r="CB744" s="464"/>
      <c r="CC744" s="464"/>
      <c r="CD744" s="464"/>
      <c r="CE744" s="464"/>
      <c r="CF744" s="464"/>
    </row>
    <row r="745" spans="72:84" ht="49.5" customHeight="1" x14ac:dyDescent="0.45">
      <c r="BT745" s="493"/>
      <c r="BW745" s="464"/>
      <c r="BX745" s="464"/>
      <c r="BY745" s="464"/>
      <c r="BZ745" s="464"/>
      <c r="CA745" s="464"/>
      <c r="CB745" s="464"/>
      <c r="CC745" s="464"/>
      <c r="CD745" s="464"/>
      <c r="CE745" s="464"/>
      <c r="CF745" s="464"/>
    </row>
    <row r="746" spans="72:84" ht="49.5" customHeight="1" x14ac:dyDescent="0.45">
      <c r="BT746" s="493"/>
      <c r="BW746" s="464"/>
      <c r="BX746" s="464"/>
      <c r="BY746" s="464"/>
      <c r="BZ746" s="464"/>
      <c r="CA746" s="464"/>
      <c r="CB746" s="464"/>
      <c r="CC746" s="464"/>
      <c r="CD746" s="464"/>
      <c r="CE746" s="464"/>
      <c r="CF746" s="464"/>
    </row>
    <row r="747" spans="72:84" ht="49.5" customHeight="1" x14ac:dyDescent="0.45">
      <c r="BT747" s="493"/>
      <c r="BW747" s="464"/>
      <c r="BX747" s="464"/>
      <c r="BY747" s="464"/>
      <c r="BZ747" s="464"/>
      <c r="CA747" s="464"/>
      <c r="CB747" s="464"/>
      <c r="CC747" s="464"/>
      <c r="CD747" s="464"/>
      <c r="CE747" s="464"/>
      <c r="CF747" s="464"/>
    </row>
    <row r="748" spans="72:84" ht="49.5" customHeight="1" x14ac:dyDescent="0.45">
      <c r="BT748" s="493"/>
      <c r="BW748" s="464"/>
      <c r="BX748" s="464"/>
      <c r="BY748" s="464"/>
      <c r="BZ748" s="464"/>
      <c r="CA748" s="464"/>
      <c r="CB748" s="464"/>
      <c r="CC748" s="464"/>
      <c r="CD748" s="464"/>
      <c r="CE748" s="464"/>
      <c r="CF748" s="464"/>
    </row>
    <row r="749" spans="72:84" ht="49.5" customHeight="1" x14ac:dyDescent="0.45">
      <c r="BT749" s="493"/>
      <c r="BW749" s="464"/>
      <c r="BX749" s="464"/>
      <c r="BY749" s="464"/>
      <c r="BZ749" s="464"/>
      <c r="CA749" s="464"/>
      <c r="CB749" s="464"/>
      <c r="CC749" s="464"/>
      <c r="CD749" s="464"/>
      <c r="CE749" s="464"/>
      <c r="CF749" s="464"/>
    </row>
    <row r="750" spans="72:84" ht="49.5" customHeight="1" x14ac:dyDescent="0.45">
      <c r="BT750" s="493"/>
      <c r="BW750" s="464"/>
      <c r="BX750" s="464"/>
      <c r="BY750" s="464"/>
      <c r="BZ750" s="464"/>
      <c r="CA750" s="464"/>
      <c r="CB750" s="464"/>
      <c r="CC750" s="464"/>
      <c r="CD750" s="464"/>
      <c r="CE750" s="464"/>
      <c r="CF750" s="464"/>
    </row>
    <row r="751" spans="72:84" ht="49.5" customHeight="1" x14ac:dyDescent="0.45">
      <c r="BT751" s="493"/>
      <c r="BW751" s="464"/>
      <c r="BX751" s="464"/>
      <c r="BY751" s="464"/>
      <c r="BZ751" s="464"/>
      <c r="CA751" s="464"/>
      <c r="CB751" s="464"/>
      <c r="CC751" s="464"/>
      <c r="CD751" s="464"/>
      <c r="CE751" s="464"/>
      <c r="CF751" s="464"/>
    </row>
    <row r="752" spans="72:84" ht="49.5" customHeight="1" x14ac:dyDescent="0.45">
      <c r="BT752" s="493"/>
      <c r="BW752" s="464"/>
      <c r="BX752" s="464"/>
      <c r="BY752" s="464"/>
      <c r="BZ752" s="464"/>
      <c r="CA752" s="464"/>
      <c r="CB752" s="464"/>
      <c r="CC752" s="464"/>
      <c r="CD752" s="464"/>
      <c r="CE752" s="464"/>
      <c r="CF752" s="464"/>
    </row>
    <row r="753" spans="72:84" ht="49.5" customHeight="1" x14ac:dyDescent="0.45">
      <c r="BT753" s="493"/>
      <c r="BW753" s="464"/>
      <c r="BX753" s="464"/>
      <c r="BY753" s="464"/>
      <c r="BZ753" s="464"/>
      <c r="CA753" s="464"/>
      <c r="CB753" s="464"/>
      <c r="CC753" s="464"/>
      <c r="CD753" s="464"/>
      <c r="CE753" s="464"/>
      <c r="CF753" s="464"/>
    </row>
    <row r="754" spans="72:84" ht="49.5" customHeight="1" x14ac:dyDescent="0.45">
      <c r="BT754" s="493"/>
      <c r="BW754" s="464"/>
      <c r="BX754" s="464"/>
      <c r="BY754" s="464"/>
      <c r="BZ754" s="464"/>
      <c r="CA754" s="464"/>
      <c r="CB754" s="464"/>
      <c r="CC754" s="464"/>
      <c r="CD754" s="464"/>
      <c r="CE754" s="464"/>
      <c r="CF754" s="464"/>
    </row>
    <row r="755" spans="72:84" ht="49.5" customHeight="1" x14ac:dyDescent="0.45">
      <c r="BT755" s="493"/>
      <c r="BW755" s="464"/>
      <c r="BX755" s="464"/>
      <c r="BY755" s="464"/>
      <c r="BZ755" s="464"/>
      <c r="CA755" s="464"/>
      <c r="CB755" s="464"/>
      <c r="CC755" s="464"/>
      <c r="CD755" s="464"/>
      <c r="CE755" s="464"/>
      <c r="CF755" s="464"/>
    </row>
    <row r="756" spans="72:84" ht="49.5" customHeight="1" x14ac:dyDescent="0.45">
      <c r="BT756" s="493"/>
      <c r="BW756" s="464"/>
      <c r="BX756" s="464"/>
      <c r="BY756" s="464"/>
      <c r="BZ756" s="464"/>
      <c r="CA756" s="464"/>
      <c r="CB756" s="464"/>
      <c r="CC756" s="464"/>
      <c r="CD756" s="464"/>
      <c r="CE756" s="464"/>
      <c r="CF756" s="464"/>
    </row>
    <row r="757" spans="72:84" ht="49.5" customHeight="1" x14ac:dyDescent="0.45">
      <c r="BT757" s="493"/>
      <c r="BW757" s="464"/>
      <c r="BX757" s="464"/>
      <c r="BY757" s="464"/>
      <c r="BZ757" s="464"/>
      <c r="CA757" s="464"/>
      <c r="CB757" s="464"/>
      <c r="CC757" s="464"/>
      <c r="CD757" s="464"/>
      <c r="CE757" s="464"/>
      <c r="CF757" s="464"/>
    </row>
    <row r="758" spans="72:84" ht="49.5" customHeight="1" x14ac:dyDescent="0.45">
      <c r="BT758" s="493"/>
      <c r="BW758" s="464"/>
      <c r="BX758" s="464"/>
      <c r="BY758" s="464"/>
      <c r="BZ758" s="464"/>
      <c r="CA758" s="464"/>
      <c r="CB758" s="464"/>
      <c r="CC758" s="464"/>
      <c r="CD758" s="464"/>
      <c r="CE758" s="464"/>
      <c r="CF758" s="464"/>
    </row>
    <row r="759" spans="72:84" ht="49.5" customHeight="1" x14ac:dyDescent="0.45">
      <c r="BT759" s="493"/>
      <c r="BW759" s="464"/>
      <c r="BX759" s="464"/>
      <c r="BY759" s="464"/>
      <c r="BZ759" s="464"/>
      <c r="CA759" s="464"/>
      <c r="CB759" s="464"/>
      <c r="CC759" s="464"/>
      <c r="CD759" s="464"/>
      <c r="CE759" s="464"/>
      <c r="CF759" s="464"/>
    </row>
    <row r="760" spans="72:84" ht="49.5" customHeight="1" x14ac:dyDescent="0.45">
      <c r="BT760" s="493"/>
      <c r="BW760" s="464"/>
      <c r="BX760" s="464"/>
      <c r="BY760" s="464"/>
      <c r="BZ760" s="464"/>
      <c r="CA760" s="464"/>
      <c r="CB760" s="464"/>
      <c r="CC760" s="464"/>
      <c r="CD760" s="464"/>
      <c r="CE760" s="464"/>
      <c r="CF760" s="464"/>
    </row>
    <row r="761" spans="72:84" ht="49.5" customHeight="1" x14ac:dyDescent="0.45">
      <c r="BT761" s="493"/>
      <c r="BW761" s="464"/>
      <c r="BX761" s="464"/>
      <c r="BY761" s="464"/>
      <c r="BZ761" s="464"/>
      <c r="CA761" s="464"/>
      <c r="CB761" s="464"/>
      <c r="CC761" s="464"/>
      <c r="CD761" s="464"/>
      <c r="CE761" s="464"/>
      <c r="CF761" s="464"/>
    </row>
    <row r="762" spans="72:84" ht="49.5" customHeight="1" x14ac:dyDescent="0.45">
      <c r="BT762" s="493"/>
      <c r="BW762" s="464"/>
      <c r="BX762" s="464"/>
      <c r="BY762" s="464"/>
      <c r="BZ762" s="464"/>
      <c r="CA762" s="464"/>
      <c r="CB762" s="464"/>
      <c r="CC762" s="464"/>
      <c r="CD762" s="464"/>
      <c r="CE762" s="464"/>
      <c r="CF762" s="464"/>
    </row>
    <row r="763" spans="72:84" ht="49.5" customHeight="1" x14ac:dyDescent="0.45">
      <c r="BT763" s="493"/>
      <c r="BW763" s="464"/>
      <c r="BX763" s="464"/>
      <c r="BY763" s="464"/>
      <c r="BZ763" s="464"/>
      <c r="CA763" s="464"/>
      <c r="CB763" s="464"/>
      <c r="CC763" s="464"/>
      <c r="CD763" s="464"/>
      <c r="CE763" s="464"/>
      <c r="CF763" s="464"/>
    </row>
    <row r="764" spans="72:84" ht="49.5" customHeight="1" x14ac:dyDescent="0.45">
      <c r="BT764" s="493"/>
      <c r="BW764" s="464"/>
      <c r="BX764" s="464"/>
      <c r="BY764" s="464"/>
      <c r="BZ764" s="464"/>
      <c r="CA764" s="464"/>
      <c r="CB764" s="464"/>
      <c r="CC764" s="464"/>
      <c r="CD764" s="464"/>
      <c r="CE764" s="464"/>
      <c r="CF764" s="464"/>
    </row>
    <row r="765" spans="72:84" ht="49.5" customHeight="1" x14ac:dyDescent="0.45">
      <c r="BT765" s="493"/>
      <c r="BW765" s="464"/>
      <c r="BX765" s="464"/>
      <c r="BY765" s="464"/>
      <c r="BZ765" s="464"/>
      <c r="CA765" s="464"/>
      <c r="CB765" s="464"/>
      <c r="CC765" s="464"/>
      <c r="CD765" s="464"/>
      <c r="CE765" s="464"/>
      <c r="CF765" s="464"/>
    </row>
    <row r="766" spans="72:84" ht="49.5" customHeight="1" x14ac:dyDescent="0.45">
      <c r="BT766" s="493"/>
      <c r="BW766" s="464"/>
      <c r="BX766" s="464"/>
      <c r="BY766" s="464"/>
      <c r="BZ766" s="464"/>
      <c r="CA766" s="464"/>
      <c r="CB766" s="464"/>
      <c r="CC766" s="464"/>
      <c r="CD766" s="464"/>
      <c r="CE766" s="464"/>
      <c r="CF766" s="464"/>
    </row>
    <row r="767" spans="72:84" ht="49.5" customHeight="1" x14ac:dyDescent="0.45">
      <c r="BT767" s="493"/>
      <c r="BW767" s="464"/>
      <c r="BX767" s="464"/>
      <c r="BY767" s="464"/>
      <c r="BZ767" s="464"/>
      <c r="CA767" s="464"/>
      <c r="CB767" s="464"/>
      <c r="CC767" s="464"/>
      <c r="CD767" s="464"/>
      <c r="CE767" s="464"/>
      <c r="CF767" s="464"/>
    </row>
    <row r="768" spans="72:84" ht="49.5" customHeight="1" x14ac:dyDescent="0.45">
      <c r="BT768" s="493"/>
      <c r="BW768" s="464"/>
      <c r="BX768" s="464"/>
      <c r="BY768" s="464"/>
      <c r="BZ768" s="464"/>
      <c r="CA768" s="464"/>
      <c r="CB768" s="464"/>
      <c r="CC768" s="464"/>
      <c r="CD768" s="464"/>
      <c r="CE768" s="464"/>
      <c r="CF768" s="464"/>
    </row>
    <row r="769" spans="72:84" ht="49.5" customHeight="1" x14ac:dyDescent="0.45">
      <c r="BT769" s="493"/>
      <c r="BW769" s="464"/>
      <c r="BX769" s="464"/>
      <c r="BY769" s="464"/>
      <c r="BZ769" s="464"/>
      <c r="CA769" s="464"/>
      <c r="CB769" s="464"/>
      <c r="CC769" s="464"/>
      <c r="CD769" s="464"/>
      <c r="CE769" s="464"/>
      <c r="CF769" s="464"/>
    </row>
    <row r="770" spans="72:84" ht="49.5" customHeight="1" x14ac:dyDescent="0.45">
      <c r="BT770" s="493"/>
      <c r="BW770" s="464"/>
      <c r="BX770" s="464"/>
      <c r="BY770" s="464"/>
      <c r="BZ770" s="464"/>
      <c r="CA770" s="464"/>
      <c r="CB770" s="464"/>
      <c r="CC770" s="464"/>
      <c r="CD770" s="464"/>
      <c r="CE770" s="464"/>
      <c r="CF770" s="464"/>
    </row>
    <row r="771" spans="72:84" ht="49.5" customHeight="1" x14ac:dyDescent="0.45">
      <c r="BT771" s="493"/>
      <c r="BW771" s="464"/>
      <c r="BX771" s="464"/>
      <c r="BY771" s="464"/>
      <c r="BZ771" s="464"/>
      <c r="CA771" s="464"/>
      <c r="CB771" s="464"/>
      <c r="CC771" s="464"/>
      <c r="CD771" s="464"/>
      <c r="CE771" s="464"/>
      <c r="CF771" s="464"/>
    </row>
    <row r="772" spans="72:84" ht="49.5" customHeight="1" x14ac:dyDescent="0.45">
      <c r="BT772" s="493"/>
      <c r="BW772" s="464"/>
      <c r="BX772" s="464"/>
      <c r="BY772" s="464"/>
      <c r="BZ772" s="464"/>
      <c r="CA772" s="464"/>
      <c r="CB772" s="464"/>
      <c r="CC772" s="464"/>
      <c r="CD772" s="464"/>
      <c r="CE772" s="464"/>
      <c r="CF772" s="464"/>
    </row>
    <row r="773" spans="72:84" ht="49.5" customHeight="1" x14ac:dyDescent="0.45">
      <c r="BT773" s="493"/>
      <c r="BW773" s="464"/>
      <c r="BX773" s="464"/>
      <c r="BY773" s="464"/>
      <c r="BZ773" s="464"/>
      <c r="CA773" s="464"/>
      <c r="CB773" s="464"/>
      <c r="CC773" s="464"/>
      <c r="CD773" s="464"/>
      <c r="CE773" s="464"/>
      <c r="CF773" s="464"/>
    </row>
    <row r="774" spans="72:84" ht="49.5" customHeight="1" x14ac:dyDescent="0.45">
      <c r="BT774" s="493"/>
      <c r="BW774" s="464"/>
      <c r="BX774" s="464"/>
      <c r="BY774" s="464"/>
      <c r="BZ774" s="464"/>
      <c r="CA774" s="464"/>
      <c r="CB774" s="464"/>
      <c r="CC774" s="464"/>
      <c r="CD774" s="464"/>
      <c r="CE774" s="464"/>
      <c r="CF774" s="464"/>
    </row>
    <row r="775" spans="72:84" ht="49.5" customHeight="1" x14ac:dyDescent="0.45">
      <c r="BT775" s="493"/>
      <c r="BW775" s="464"/>
      <c r="BX775" s="464"/>
      <c r="BY775" s="464"/>
      <c r="BZ775" s="464"/>
      <c r="CA775" s="464"/>
      <c r="CB775" s="464"/>
      <c r="CC775" s="464"/>
      <c r="CD775" s="464"/>
      <c r="CE775" s="464"/>
      <c r="CF775" s="464"/>
    </row>
    <row r="776" spans="72:84" ht="49.5" customHeight="1" x14ac:dyDescent="0.45">
      <c r="BT776" s="493"/>
      <c r="BW776" s="464"/>
      <c r="BX776" s="464"/>
      <c r="BY776" s="464"/>
      <c r="BZ776" s="464"/>
      <c r="CA776" s="464"/>
      <c r="CB776" s="464"/>
      <c r="CC776" s="464"/>
      <c r="CD776" s="464"/>
      <c r="CE776" s="464"/>
      <c r="CF776" s="464"/>
    </row>
    <row r="777" spans="72:84" ht="49.5" customHeight="1" x14ac:dyDescent="0.45">
      <c r="BT777" s="493"/>
      <c r="BW777" s="464"/>
      <c r="BX777" s="464"/>
      <c r="BY777" s="464"/>
      <c r="BZ777" s="464"/>
      <c r="CA777" s="464"/>
      <c r="CB777" s="464"/>
      <c r="CC777" s="464"/>
      <c r="CD777" s="464"/>
      <c r="CE777" s="464"/>
      <c r="CF777" s="464"/>
    </row>
    <row r="778" spans="72:84" ht="49.5" customHeight="1" x14ac:dyDescent="0.45">
      <c r="BT778" s="493"/>
      <c r="BW778" s="464"/>
      <c r="BX778" s="464"/>
      <c r="BY778" s="464"/>
      <c r="BZ778" s="464"/>
      <c r="CA778" s="464"/>
      <c r="CB778" s="464"/>
      <c r="CC778" s="464"/>
      <c r="CD778" s="464"/>
      <c r="CE778" s="464"/>
      <c r="CF778" s="464"/>
    </row>
    <row r="779" spans="72:84" ht="49.5" customHeight="1" x14ac:dyDescent="0.45">
      <c r="BT779" s="493"/>
      <c r="BW779" s="464"/>
      <c r="BX779" s="464"/>
      <c r="BY779" s="464"/>
      <c r="BZ779" s="464"/>
      <c r="CA779" s="464"/>
      <c r="CB779" s="464"/>
      <c r="CC779" s="464"/>
      <c r="CD779" s="464"/>
      <c r="CE779" s="464"/>
      <c r="CF779" s="464"/>
    </row>
    <row r="780" spans="72:84" ht="49.5" customHeight="1" x14ac:dyDescent="0.45">
      <c r="BT780" s="493"/>
      <c r="BW780" s="464"/>
      <c r="BX780" s="464"/>
      <c r="BY780" s="464"/>
      <c r="BZ780" s="464"/>
      <c r="CA780" s="464"/>
      <c r="CB780" s="464"/>
      <c r="CC780" s="464"/>
      <c r="CD780" s="464"/>
      <c r="CE780" s="464"/>
      <c r="CF780" s="464"/>
    </row>
    <row r="781" spans="72:84" ht="49.5" customHeight="1" x14ac:dyDescent="0.45">
      <c r="BT781" s="493"/>
      <c r="BW781" s="464"/>
      <c r="BX781" s="464"/>
      <c r="BY781" s="464"/>
      <c r="BZ781" s="464"/>
      <c r="CA781" s="464"/>
      <c r="CB781" s="464"/>
      <c r="CC781" s="464"/>
      <c r="CD781" s="464"/>
      <c r="CE781" s="464"/>
      <c r="CF781" s="464"/>
    </row>
    <row r="782" spans="72:84" ht="49.5" customHeight="1" x14ac:dyDescent="0.45">
      <c r="BT782" s="493"/>
      <c r="BW782" s="464"/>
      <c r="BX782" s="464"/>
      <c r="BY782" s="464"/>
      <c r="BZ782" s="464"/>
      <c r="CA782" s="464"/>
      <c r="CB782" s="464"/>
      <c r="CC782" s="464"/>
      <c r="CD782" s="464"/>
      <c r="CE782" s="464"/>
      <c r="CF782" s="464"/>
    </row>
    <row r="783" spans="72:84" ht="49.5" customHeight="1" x14ac:dyDescent="0.45">
      <c r="BT783" s="493"/>
      <c r="BW783" s="464"/>
      <c r="BX783" s="464"/>
      <c r="BY783" s="464"/>
      <c r="BZ783" s="464"/>
      <c r="CA783" s="464"/>
      <c r="CB783" s="464"/>
      <c r="CC783" s="464"/>
      <c r="CD783" s="464"/>
      <c r="CE783" s="464"/>
      <c r="CF783" s="464"/>
    </row>
    <row r="784" spans="72:84" ht="49.5" customHeight="1" x14ac:dyDescent="0.45">
      <c r="BT784" s="493"/>
      <c r="BW784" s="464"/>
      <c r="BX784" s="464"/>
      <c r="BY784" s="464"/>
      <c r="BZ784" s="464"/>
      <c r="CA784" s="464"/>
      <c r="CB784" s="464"/>
      <c r="CC784" s="464"/>
      <c r="CD784" s="464"/>
      <c r="CE784" s="464"/>
      <c r="CF784" s="464"/>
    </row>
    <row r="785" spans="72:84" ht="49.5" customHeight="1" x14ac:dyDescent="0.45">
      <c r="BT785" s="493"/>
      <c r="BW785" s="464"/>
      <c r="BX785" s="464"/>
      <c r="BY785" s="464"/>
      <c r="BZ785" s="464"/>
      <c r="CA785" s="464"/>
      <c r="CB785" s="464"/>
      <c r="CC785" s="464"/>
      <c r="CD785" s="464"/>
      <c r="CE785" s="464"/>
      <c r="CF785" s="464"/>
    </row>
    <row r="786" spans="72:84" ht="49.5" customHeight="1" x14ac:dyDescent="0.45">
      <c r="BT786" s="493"/>
      <c r="BW786" s="464"/>
      <c r="BX786" s="464"/>
      <c r="BY786" s="464"/>
      <c r="BZ786" s="464"/>
      <c r="CA786" s="464"/>
      <c r="CB786" s="464"/>
      <c r="CC786" s="464"/>
      <c r="CD786" s="464"/>
      <c r="CE786" s="464"/>
      <c r="CF786" s="464"/>
    </row>
    <row r="787" spans="72:84" ht="49.5" customHeight="1" x14ac:dyDescent="0.45">
      <c r="BT787" s="493"/>
      <c r="BW787" s="464"/>
      <c r="BX787" s="464"/>
      <c r="BY787" s="464"/>
      <c r="BZ787" s="464"/>
      <c r="CA787" s="464"/>
      <c r="CB787" s="464"/>
      <c r="CC787" s="464"/>
      <c r="CD787" s="464"/>
      <c r="CE787" s="464"/>
      <c r="CF787" s="464"/>
    </row>
    <row r="788" spans="72:84" ht="49.5" customHeight="1" x14ac:dyDescent="0.45">
      <c r="BT788" s="493"/>
      <c r="BW788" s="464"/>
      <c r="BX788" s="464"/>
      <c r="BY788" s="464"/>
      <c r="BZ788" s="464"/>
      <c r="CA788" s="464"/>
      <c r="CB788" s="464"/>
      <c r="CC788" s="464"/>
      <c r="CD788" s="464"/>
      <c r="CE788" s="464"/>
      <c r="CF788" s="464"/>
    </row>
    <row r="789" spans="72:84" ht="49.5" customHeight="1" x14ac:dyDescent="0.45">
      <c r="BT789" s="493"/>
      <c r="BW789" s="464"/>
      <c r="BX789" s="464"/>
      <c r="BY789" s="464"/>
      <c r="BZ789" s="464"/>
      <c r="CA789" s="464"/>
      <c r="CB789" s="464"/>
      <c r="CC789" s="464"/>
      <c r="CD789" s="464"/>
      <c r="CE789" s="464"/>
      <c r="CF789" s="464"/>
    </row>
    <row r="790" spans="72:84" ht="49.5" customHeight="1" x14ac:dyDescent="0.45">
      <c r="BT790" s="493"/>
      <c r="BW790" s="464"/>
      <c r="BX790" s="464"/>
      <c r="BY790" s="464"/>
      <c r="BZ790" s="464"/>
      <c r="CA790" s="464"/>
      <c r="CB790" s="464"/>
      <c r="CC790" s="464"/>
      <c r="CD790" s="464"/>
      <c r="CE790" s="464"/>
      <c r="CF790" s="464"/>
    </row>
    <row r="791" spans="72:84" ht="49.5" customHeight="1" x14ac:dyDescent="0.45">
      <c r="BT791" s="493"/>
      <c r="BW791" s="464"/>
      <c r="BX791" s="464"/>
      <c r="BY791" s="464"/>
      <c r="BZ791" s="464"/>
      <c r="CA791" s="464"/>
      <c r="CB791" s="464"/>
      <c r="CC791" s="464"/>
      <c r="CD791" s="464"/>
      <c r="CE791" s="464"/>
      <c r="CF791" s="464"/>
    </row>
    <row r="792" spans="72:84" ht="49.5" customHeight="1" x14ac:dyDescent="0.45">
      <c r="BT792" s="493"/>
      <c r="BW792" s="464"/>
      <c r="BX792" s="464"/>
      <c r="BY792" s="464"/>
      <c r="BZ792" s="464"/>
      <c r="CA792" s="464"/>
      <c r="CB792" s="464"/>
      <c r="CC792" s="464"/>
      <c r="CD792" s="464"/>
      <c r="CE792" s="464"/>
      <c r="CF792" s="464"/>
    </row>
    <row r="793" spans="72:84" ht="49.5" customHeight="1" x14ac:dyDescent="0.45">
      <c r="BT793" s="493"/>
      <c r="BW793" s="464"/>
      <c r="BX793" s="464"/>
      <c r="BY793" s="464"/>
      <c r="BZ793" s="464"/>
      <c r="CA793" s="464"/>
      <c r="CB793" s="464"/>
      <c r="CC793" s="464"/>
      <c r="CD793" s="464"/>
      <c r="CE793" s="464"/>
      <c r="CF793" s="464"/>
    </row>
    <row r="794" spans="72:84" ht="49.5" customHeight="1" x14ac:dyDescent="0.45">
      <c r="BT794" s="493"/>
      <c r="BW794" s="464"/>
      <c r="BX794" s="464"/>
      <c r="BY794" s="464"/>
      <c r="BZ794" s="464"/>
      <c r="CA794" s="464"/>
      <c r="CB794" s="464"/>
      <c r="CC794" s="464"/>
      <c r="CD794" s="464"/>
      <c r="CE794" s="464"/>
      <c r="CF794" s="464"/>
    </row>
    <row r="795" spans="72:84" ht="49.5" customHeight="1" x14ac:dyDescent="0.45">
      <c r="BT795" s="493"/>
      <c r="BW795" s="464"/>
      <c r="BX795" s="464"/>
      <c r="BY795" s="464"/>
      <c r="BZ795" s="464"/>
      <c r="CA795" s="464"/>
      <c r="CB795" s="464"/>
      <c r="CC795" s="464"/>
      <c r="CD795" s="464"/>
      <c r="CE795" s="464"/>
      <c r="CF795" s="464"/>
    </row>
    <row r="796" spans="72:84" ht="49.5" customHeight="1" x14ac:dyDescent="0.45">
      <c r="BT796" s="493"/>
      <c r="BW796" s="464"/>
      <c r="BX796" s="464"/>
      <c r="BY796" s="464"/>
      <c r="BZ796" s="464"/>
      <c r="CA796" s="464"/>
      <c r="CB796" s="464"/>
      <c r="CC796" s="464"/>
      <c r="CD796" s="464"/>
      <c r="CE796" s="464"/>
      <c r="CF796" s="464"/>
    </row>
    <row r="797" spans="72:84" ht="49.5" customHeight="1" x14ac:dyDescent="0.45">
      <c r="BT797" s="493"/>
      <c r="BW797" s="464"/>
      <c r="BX797" s="464"/>
      <c r="BY797" s="464"/>
      <c r="BZ797" s="464"/>
      <c r="CA797" s="464"/>
      <c r="CB797" s="464"/>
      <c r="CC797" s="464"/>
      <c r="CD797" s="464"/>
      <c r="CE797" s="464"/>
      <c r="CF797" s="464"/>
    </row>
    <row r="798" spans="72:84" ht="49.5" customHeight="1" x14ac:dyDescent="0.45">
      <c r="BT798" s="493"/>
      <c r="BW798" s="464"/>
      <c r="BX798" s="464"/>
      <c r="BY798" s="464"/>
      <c r="BZ798" s="464"/>
      <c r="CA798" s="464"/>
      <c r="CB798" s="464"/>
      <c r="CC798" s="464"/>
      <c r="CD798" s="464"/>
      <c r="CE798" s="464"/>
      <c r="CF798" s="464"/>
    </row>
    <row r="799" spans="72:84" ht="49.5" customHeight="1" x14ac:dyDescent="0.45">
      <c r="BT799" s="493"/>
      <c r="BW799" s="464"/>
      <c r="BX799" s="464"/>
      <c r="BY799" s="464"/>
      <c r="BZ799" s="464"/>
      <c r="CA799" s="464"/>
      <c r="CB799" s="464"/>
      <c r="CC799" s="464"/>
      <c r="CD799" s="464"/>
      <c r="CE799" s="464"/>
      <c r="CF799" s="464"/>
    </row>
    <row r="800" spans="72:84" ht="49.5" customHeight="1" x14ac:dyDescent="0.45">
      <c r="BT800" s="493"/>
      <c r="BW800" s="464"/>
      <c r="BX800" s="464"/>
      <c r="BY800" s="464"/>
      <c r="BZ800" s="464"/>
      <c r="CA800" s="464"/>
      <c r="CB800" s="464"/>
      <c r="CC800" s="464"/>
      <c r="CD800" s="464"/>
      <c r="CE800" s="464"/>
      <c r="CF800" s="464"/>
    </row>
    <row r="801" spans="72:84" ht="49.5" customHeight="1" x14ac:dyDescent="0.45">
      <c r="BT801" s="493"/>
      <c r="BW801" s="464"/>
      <c r="BX801" s="464"/>
      <c r="BY801" s="464"/>
      <c r="BZ801" s="464"/>
      <c r="CA801" s="464"/>
      <c r="CB801" s="464"/>
      <c r="CC801" s="464"/>
      <c r="CD801" s="464"/>
      <c r="CE801" s="464"/>
      <c r="CF801" s="464"/>
    </row>
    <row r="802" spans="72:84" ht="49.5" customHeight="1" x14ac:dyDescent="0.45">
      <c r="BT802" s="493"/>
      <c r="BW802" s="464"/>
      <c r="BX802" s="464"/>
      <c r="BY802" s="464"/>
      <c r="BZ802" s="464"/>
      <c r="CA802" s="464"/>
      <c r="CB802" s="464"/>
      <c r="CC802" s="464"/>
      <c r="CD802" s="464"/>
      <c r="CE802" s="464"/>
      <c r="CF802" s="464"/>
    </row>
    <row r="803" spans="72:84" ht="49.5" customHeight="1" x14ac:dyDescent="0.45">
      <c r="BT803" s="493"/>
      <c r="BW803" s="464"/>
      <c r="BX803" s="464"/>
      <c r="BY803" s="464"/>
      <c r="BZ803" s="464"/>
      <c r="CA803" s="464"/>
      <c r="CB803" s="464"/>
      <c r="CC803" s="464"/>
      <c r="CD803" s="464"/>
      <c r="CE803" s="464"/>
      <c r="CF803" s="464"/>
    </row>
    <row r="804" spans="72:84" ht="49.5" customHeight="1" x14ac:dyDescent="0.45">
      <c r="BT804" s="493"/>
      <c r="BW804" s="464"/>
      <c r="BX804" s="464"/>
      <c r="BY804" s="464"/>
      <c r="BZ804" s="464"/>
      <c r="CA804" s="464"/>
      <c r="CB804" s="464"/>
      <c r="CC804" s="464"/>
      <c r="CD804" s="464"/>
      <c r="CE804" s="464"/>
      <c r="CF804" s="464"/>
    </row>
    <row r="805" spans="72:84" ht="49.5" customHeight="1" x14ac:dyDescent="0.45">
      <c r="BT805" s="493"/>
      <c r="BW805" s="464"/>
      <c r="BX805" s="464"/>
      <c r="BY805" s="464"/>
      <c r="BZ805" s="464"/>
      <c r="CA805" s="464"/>
      <c r="CB805" s="464"/>
      <c r="CC805" s="464"/>
      <c r="CD805" s="464"/>
      <c r="CE805" s="464"/>
      <c r="CF805" s="464"/>
    </row>
    <row r="806" spans="72:84" ht="49.5" customHeight="1" x14ac:dyDescent="0.45">
      <c r="BT806" s="493"/>
      <c r="BW806" s="464"/>
      <c r="BX806" s="464"/>
      <c r="BY806" s="464"/>
      <c r="BZ806" s="464"/>
      <c r="CA806" s="464"/>
      <c r="CB806" s="464"/>
      <c r="CC806" s="464"/>
      <c r="CD806" s="464"/>
      <c r="CE806" s="464"/>
      <c r="CF806" s="464"/>
    </row>
    <row r="807" spans="72:84" ht="49.5" customHeight="1" x14ac:dyDescent="0.45">
      <c r="BT807" s="493"/>
      <c r="BW807" s="464"/>
      <c r="BX807" s="464"/>
      <c r="BY807" s="464"/>
      <c r="BZ807" s="464"/>
      <c r="CA807" s="464"/>
      <c r="CB807" s="464"/>
      <c r="CC807" s="464"/>
      <c r="CD807" s="464"/>
      <c r="CE807" s="464"/>
      <c r="CF807" s="464"/>
    </row>
    <row r="808" spans="72:84" ht="49.5" customHeight="1" x14ac:dyDescent="0.45">
      <c r="BT808" s="493"/>
      <c r="BW808" s="464"/>
      <c r="BX808" s="464"/>
      <c r="BY808" s="464"/>
      <c r="BZ808" s="464"/>
      <c r="CA808" s="464"/>
      <c r="CB808" s="464"/>
      <c r="CC808" s="464"/>
      <c r="CD808" s="464"/>
      <c r="CE808" s="464"/>
      <c r="CF808" s="464"/>
    </row>
    <row r="809" spans="72:84" ht="49.5" customHeight="1" x14ac:dyDescent="0.45">
      <c r="BT809" s="493"/>
      <c r="BW809" s="464"/>
      <c r="BX809" s="464"/>
      <c r="BY809" s="464"/>
      <c r="BZ809" s="464"/>
      <c r="CA809" s="464"/>
      <c r="CB809" s="464"/>
      <c r="CC809" s="464"/>
      <c r="CD809" s="464"/>
      <c r="CE809" s="464"/>
      <c r="CF809" s="464"/>
    </row>
    <row r="810" spans="72:84" ht="49.5" customHeight="1" x14ac:dyDescent="0.45">
      <c r="BT810" s="493"/>
      <c r="BW810" s="464"/>
      <c r="BX810" s="464"/>
      <c r="BY810" s="464"/>
      <c r="BZ810" s="464"/>
      <c r="CA810" s="464"/>
      <c r="CB810" s="464"/>
      <c r="CC810" s="464"/>
      <c r="CD810" s="464"/>
      <c r="CE810" s="464"/>
      <c r="CF810" s="464"/>
    </row>
    <row r="811" spans="72:84" ht="49.5" customHeight="1" x14ac:dyDescent="0.45">
      <c r="BT811" s="493"/>
      <c r="BW811" s="464"/>
      <c r="BX811" s="464"/>
      <c r="BY811" s="464"/>
      <c r="BZ811" s="464"/>
      <c r="CA811" s="464"/>
      <c r="CB811" s="464"/>
      <c r="CC811" s="464"/>
      <c r="CD811" s="464"/>
      <c r="CE811" s="464"/>
      <c r="CF811" s="464"/>
    </row>
    <row r="812" spans="72:84" ht="49.5" customHeight="1" x14ac:dyDescent="0.45">
      <c r="BT812" s="493"/>
      <c r="BW812" s="464"/>
      <c r="BX812" s="464"/>
      <c r="BY812" s="464"/>
      <c r="BZ812" s="464"/>
      <c r="CA812" s="464"/>
      <c r="CB812" s="464"/>
      <c r="CC812" s="464"/>
      <c r="CD812" s="464"/>
      <c r="CE812" s="464"/>
      <c r="CF812" s="464"/>
    </row>
    <row r="813" spans="72:84" ht="49.5" customHeight="1" x14ac:dyDescent="0.45">
      <c r="BT813" s="493"/>
      <c r="BW813" s="464"/>
      <c r="BX813" s="464"/>
      <c r="BY813" s="464"/>
      <c r="BZ813" s="464"/>
      <c r="CA813" s="464"/>
      <c r="CB813" s="464"/>
      <c r="CC813" s="464"/>
      <c r="CD813" s="464"/>
      <c r="CE813" s="464"/>
      <c r="CF813" s="464"/>
    </row>
    <row r="814" spans="72:84" ht="49.5" customHeight="1" x14ac:dyDescent="0.45">
      <c r="BT814" s="493"/>
      <c r="BW814" s="464"/>
      <c r="BX814" s="464"/>
      <c r="BY814" s="464"/>
      <c r="BZ814" s="464"/>
      <c r="CA814" s="464"/>
      <c r="CB814" s="464"/>
      <c r="CC814" s="464"/>
      <c r="CD814" s="464"/>
      <c r="CE814" s="464"/>
      <c r="CF814" s="464"/>
    </row>
    <row r="815" spans="72:84" ht="49.5" customHeight="1" x14ac:dyDescent="0.45">
      <c r="BT815" s="493"/>
      <c r="BW815" s="464"/>
      <c r="BX815" s="464"/>
      <c r="BY815" s="464"/>
      <c r="BZ815" s="464"/>
      <c r="CA815" s="464"/>
      <c r="CB815" s="464"/>
      <c r="CC815" s="464"/>
      <c r="CD815" s="464"/>
      <c r="CE815" s="464"/>
      <c r="CF815" s="464"/>
    </row>
    <row r="816" spans="72:84" ht="49.5" customHeight="1" x14ac:dyDescent="0.45">
      <c r="BT816" s="493"/>
      <c r="BW816" s="464"/>
      <c r="BX816" s="464"/>
      <c r="BY816" s="464"/>
      <c r="BZ816" s="464"/>
      <c r="CA816" s="464"/>
      <c r="CB816" s="464"/>
      <c r="CC816" s="464"/>
      <c r="CD816" s="464"/>
      <c r="CE816" s="464"/>
      <c r="CF816" s="464"/>
    </row>
    <row r="817" spans="72:84" ht="49.5" customHeight="1" x14ac:dyDescent="0.45">
      <c r="BT817" s="493"/>
      <c r="BW817" s="464"/>
      <c r="BX817" s="464"/>
      <c r="BY817" s="464"/>
      <c r="BZ817" s="464"/>
      <c r="CA817" s="464"/>
      <c r="CB817" s="464"/>
      <c r="CC817" s="464"/>
      <c r="CD817" s="464"/>
      <c r="CE817" s="464"/>
      <c r="CF817" s="464"/>
    </row>
    <row r="818" spans="72:84" ht="49.5" customHeight="1" x14ac:dyDescent="0.45">
      <c r="BT818" s="493"/>
      <c r="BW818" s="464"/>
      <c r="BX818" s="464"/>
      <c r="BY818" s="464"/>
      <c r="BZ818" s="464"/>
      <c r="CA818" s="464"/>
      <c r="CB818" s="464"/>
      <c r="CC818" s="464"/>
      <c r="CD818" s="464"/>
      <c r="CE818" s="464"/>
      <c r="CF818" s="464"/>
    </row>
    <row r="819" spans="72:84" ht="49.5" customHeight="1" x14ac:dyDescent="0.45">
      <c r="BT819" s="493"/>
      <c r="BW819" s="464"/>
      <c r="BX819" s="464"/>
      <c r="BY819" s="464"/>
      <c r="BZ819" s="464"/>
      <c r="CA819" s="464"/>
      <c r="CB819" s="464"/>
      <c r="CC819" s="464"/>
      <c r="CD819" s="464"/>
      <c r="CE819" s="464"/>
      <c r="CF819" s="464"/>
    </row>
    <row r="820" spans="72:84" ht="49.5" customHeight="1" x14ac:dyDescent="0.45">
      <c r="BT820" s="493"/>
      <c r="BW820" s="464"/>
      <c r="BX820" s="464"/>
      <c r="BY820" s="464"/>
      <c r="BZ820" s="464"/>
      <c r="CA820" s="464"/>
      <c r="CB820" s="464"/>
      <c r="CC820" s="464"/>
      <c r="CD820" s="464"/>
      <c r="CE820" s="464"/>
      <c r="CF820" s="464"/>
    </row>
    <row r="821" spans="72:84" ht="49.5" customHeight="1" x14ac:dyDescent="0.45">
      <c r="BT821" s="493"/>
      <c r="BW821" s="464"/>
      <c r="BX821" s="464"/>
      <c r="BY821" s="464"/>
      <c r="BZ821" s="464"/>
      <c r="CA821" s="464"/>
      <c r="CB821" s="464"/>
      <c r="CC821" s="464"/>
      <c r="CD821" s="464"/>
      <c r="CE821" s="464"/>
      <c r="CF821" s="464"/>
    </row>
    <row r="822" spans="72:84" ht="49.5" customHeight="1" x14ac:dyDescent="0.45">
      <c r="BT822" s="493"/>
      <c r="BW822" s="464"/>
      <c r="BX822" s="464"/>
      <c r="BY822" s="464"/>
      <c r="BZ822" s="464"/>
      <c r="CA822" s="464"/>
      <c r="CB822" s="464"/>
      <c r="CC822" s="464"/>
      <c r="CD822" s="464"/>
      <c r="CE822" s="464"/>
      <c r="CF822" s="464"/>
    </row>
    <row r="823" spans="72:84" ht="49.5" customHeight="1" x14ac:dyDescent="0.45">
      <c r="BT823" s="493"/>
      <c r="BW823" s="464"/>
      <c r="BX823" s="464"/>
      <c r="BY823" s="464"/>
      <c r="BZ823" s="464"/>
      <c r="CA823" s="464"/>
      <c r="CB823" s="464"/>
      <c r="CC823" s="464"/>
      <c r="CD823" s="464"/>
      <c r="CE823" s="464"/>
      <c r="CF823" s="464"/>
    </row>
    <row r="824" spans="72:84" ht="49.5" customHeight="1" x14ac:dyDescent="0.45">
      <c r="BT824" s="493"/>
      <c r="BW824" s="464"/>
      <c r="BX824" s="464"/>
      <c r="BY824" s="464"/>
      <c r="BZ824" s="464"/>
      <c r="CA824" s="464"/>
      <c r="CB824" s="464"/>
      <c r="CC824" s="464"/>
      <c r="CD824" s="464"/>
      <c r="CE824" s="464"/>
      <c r="CF824" s="464"/>
    </row>
    <row r="825" spans="72:84" ht="49.5" customHeight="1" x14ac:dyDescent="0.45">
      <c r="BT825" s="493"/>
      <c r="BW825" s="464"/>
      <c r="BX825" s="464"/>
      <c r="BY825" s="464"/>
      <c r="BZ825" s="464"/>
      <c r="CA825" s="464"/>
      <c r="CB825" s="464"/>
      <c r="CC825" s="464"/>
      <c r="CD825" s="464"/>
      <c r="CE825" s="464"/>
      <c r="CF825" s="464"/>
    </row>
    <row r="826" spans="72:84" ht="49.5" customHeight="1" x14ac:dyDescent="0.45">
      <c r="BT826" s="493"/>
      <c r="BW826" s="464"/>
      <c r="BX826" s="464"/>
      <c r="BY826" s="464"/>
      <c r="BZ826" s="464"/>
      <c r="CA826" s="464"/>
      <c r="CB826" s="464"/>
      <c r="CC826" s="464"/>
      <c r="CD826" s="464"/>
      <c r="CE826" s="464"/>
      <c r="CF826" s="464"/>
    </row>
    <row r="827" spans="72:84" ht="49.5" customHeight="1" x14ac:dyDescent="0.45">
      <c r="BT827" s="493"/>
      <c r="BW827" s="464"/>
      <c r="BX827" s="464"/>
      <c r="BY827" s="464"/>
      <c r="BZ827" s="464"/>
      <c r="CA827" s="464"/>
      <c r="CB827" s="464"/>
      <c r="CC827" s="464"/>
      <c r="CD827" s="464"/>
      <c r="CE827" s="464"/>
      <c r="CF827" s="464"/>
    </row>
    <row r="828" spans="72:84" ht="49.5" customHeight="1" x14ac:dyDescent="0.45">
      <c r="BT828" s="493"/>
      <c r="BW828" s="464"/>
      <c r="BX828" s="464"/>
      <c r="BY828" s="464"/>
      <c r="BZ828" s="464"/>
      <c r="CA828" s="464"/>
      <c r="CB828" s="464"/>
      <c r="CC828" s="464"/>
      <c r="CD828" s="464"/>
      <c r="CE828" s="464"/>
      <c r="CF828" s="464"/>
    </row>
    <row r="829" spans="72:84" ht="49.5" customHeight="1" x14ac:dyDescent="0.45">
      <c r="BT829" s="493"/>
      <c r="BW829" s="464"/>
      <c r="BX829" s="464"/>
      <c r="BY829" s="464"/>
      <c r="BZ829" s="464"/>
      <c r="CA829" s="464"/>
      <c r="CB829" s="464"/>
      <c r="CC829" s="464"/>
      <c r="CD829" s="464"/>
      <c r="CE829" s="464"/>
      <c r="CF829" s="464"/>
    </row>
    <row r="830" spans="72:84" ht="49.5" customHeight="1" x14ac:dyDescent="0.45">
      <c r="BT830" s="493"/>
      <c r="BW830" s="464"/>
      <c r="BX830" s="464"/>
      <c r="BY830" s="464"/>
      <c r="BZ830" s="464"/>
      <c r="CA830" s="464"/>
      <c r="CB830" s="464"/>
      <c r="CC830" s="464"/>
      <c r="CD830" s="464"/>
      <c r="CE830" s="464"/>
      <c r="CF830" s="464"/>
    </row>
    <row r="831" spans="72:84" ht="49.5" customHeight="1" x14ac:dyDescent="0.45">
      <c r="BT831" s="493"/>
      <c r="BW831" s="464"/>
      <c r="BX831" s="464"/>
      <c r="BY831" s="464"/>
      <c r="BZ831" s="464"/>
      <c r="CA831" s="464"/>
      <c r="CB831" s="464"/>
      <c r="CC831" s="464"/>
      <c r="CD831" s="464"/>
      <c r="CE831" s="464"/>
      <c r="CF831" s="464"/>
    </row>
    <row r="832" spans="72:84" ht="49.5" customHeight="1" x14ac:dyDescent="0.45">
      <c r="BT832" s="493"/>
      <c r="BW832" s="464"/>
      <c r="BX832" s="464"/>
      <c r="BY832" s="464"/>
      <c r="BZ832" s="464"/>
      <c r="CA832" s="464"/>
      <c r="CB832" s="464"/>
      <c r="CC832" s="464"/>
      <c r="CD832" s="464"/>
      <c r="CE832" s="464"/>
      <c r="CF832" s="464"/>
    </row>
    <row r="833" spans="72:84" ht="49.5" customHeight="1" x14ac:dyDescent="0.45">
      <c r="BT833" s="493"/>
      <c r="BW833" s="464"/>
      <c r="BX833" s="464"/>
      <c r="BY833" s="464"/>
      <c r="BZ833" s="464"/>
      <c r="CA833" s="464"/>
      <c r="CB833" s="464"/>
      <c r="CC833" s="464"/>
      <c r="CD833" s="464"/>
      <c r="CE833" s="464"/>
      <c r="CF833" s="464"/>
    </row>
    <row r="834" spans="72:84" ht="49.5" customHeight="1" x14ac:dyDescent="0.45">
      <c r="BT834" s="493"/>
      <c r="BW834" s="464"/>
      <c r="BX834" s="464"/>
      <c r="BY834" s="464"/>
      <c r="BZ834" s="464"/>
      <c r="CA834" s="464"/>
      <c r="CB834" s="464"/>
      <c r="CC834" s="464"/>
      <c r="CD834" s="464"/>
      <c r="CE834" s="464"/>
      <c r="CF834" s="464"/>
    </row>
    <row r="835" spans="72:84" ht="49.5" customHeight="1" x14ac:dyDescent="0.45">
      <c r="BT835" s="493"/>
      <c r="BW835" s="464"/>
      <c r="BX835" s="464"/>
      <c r="BY835" s="464"/>
      <c r="BZ835" s="464"/>
      <c r="CA835" s="464"/>
      <c r="CB835" s="464"/>
      <c r="CC835" s="464"/>
      <c r="CD835" s="464"/>
      <c r="CE835" s="464"/>
      <c r="CF835" s="464"/>
    </row>
    <row r="836" spans="72:84" ht="49.5" customHeight="1" x14ac:dyDescent="0.45">
      <c r="BT836" s="493"/>
      <c r="BW836" s="464"/>
      <c r="BX836" s="464"/>
      <c r="BY836" s="464"/>
      <c r="BZ836" s="464"/>
      <c r="CA836" s="464"/>
      <c r="CB836" s="464"/>
      <c r="CC836" s="464"/>
      <c r="CD836" s="464"/>
      <c r="CE836" s="464"/>
      <c r="CF836" s="464"/>
    </row>
    <row r="837" spans="72:84" ht="49.5" customHeight="1" x14ac:dyDescent="0.45">
      <c r="BT837" s="493"/>
      <c r="BW837" s="464"/>
      <c r="BX837" s="464"/>
      <c r="BY837" s="464"/>
      <c r="BZ837" s="464"/>
      <c r="CA837" s="464"/>
      <c r="CB837" s="464"/>
      <c r="CC837" s="464"/>
      <c r="CD837" s="464"/>
      <c r="CE837" s="464"/>
      <c r="CF837" s="464"/>
    </row>
    <row r="838" spans="72:84" ht="49.5" customHeight="1" x14ac:dyDescent="0.45">
      <c r="BT838" s="493"/>
      <c r="BW838" s="464"/>
      <c r="BX838" s="464"/>
      <c r="BY838" s="464"/>
      <c r="BZ838" s="464"/>
      <c r="CA838" s="464"/>
      <c r="CB838" s="464"/>
      <c r="CC838" s="464"/>
      <c r="CD838" s="464"/>
      <c r="CE838" s="464"/>
      <c r="CF838" s="464"/>
    </row>
    <row r="839" spans="72:84" ht="49.5" customHeight="1" x14ac:dyDescent="0.45">
      <c r="BT839" s="493"/>
      <c r="BW839" s="464"/>
      <c r="BX839" s="464"/>
      <c r="BY839" s="464"/>
      <c r="BZ839" s="464"/>
      <c r="CA839" s="464"/>
      <c r="CB839" s="464"/>
      <c r="CC839" s="464"/>
      <c r="CD839" s="464"/>
      <c r="CE839" s="464"/>
      <c r="CF839" s="464"/>
    </row>
    <row r="840" spans="72:84" ht="49.5" customHeight="1" x14ac:dyDescent="0.45">
      <c r="BT840" s="493"/>
      <c r="BW840" s="464"/>
      <c r="BX840" s="464"/>
      <c r="BY840" s="464"/>
      <c r="BZ840" s="464"/>
      <c r="CA840" s="464"/>
      <c r="CB840" s="464"/>
      <c r="CC840" s="464"/>
      <c r="CD840" s="464"/>
      <c r="CE840" s="464"/>
      <c r="CF840" s="464"/>
    </row>
    <row r="841" spans="72:84" ht="49.5" customHeight="1" x14ac:dyDescent="0.45">
      <c r="BT841" s="493"/>
      <c r="BW841" s="464"/>
      <c r="BX841" s="464"/>
      <c r="BY841" s="464"/>
      <c r="BZ841" s="464"/>
      <c r="CA841" s="464"/>
      <c r="CB841" s="464"/>
      <c r="CC841" s="464"/>
      <c r="CD841" s="464"/>
      <c r="CE841" s="464"/>
      <c r="CF841" s="464"/>
    </row>
    <row r="842" spans="72:84" ht="49.5" customHeight="1" x14ac:dyDescent="0.45">
      <c r="BT842" s="493"/>
      <c r="BW842" s="464"/>
      <c r="BX842" s="464"/>
      <c r="BY842" s="464"/>
      <c r="BZ842" s="464"/>
      <c r="CA842" s="464"/>
      <c r="CB842" s="464"/>
      <c r="CC842" s="464"/>
      <c r="CD842" s="464"/>
      <c r="CE842" s="464"/>
      <c r="CF842" s="464"/>
    </row>
    <row r="843" spans="72:84" ht="49.5" customHeight="1" x14ac:dyDescent="0.45">
      <c r="BT843" s="493"/>
      <c r="BW843" s="464"/>
      <c r="BX843" s="464"/>
      <c r="BY843" s="464"/>
      <c r="BZ843" s="464"/>
      <c r="CA843" s="464"/>
      <c r="CB843" s="464"/>
      <c r="CC843" s="464"/>
      <c r="CD843" s="464"/>
      <c r="CE843" s="464"/>
      <c r="CF843" s="464"/>
    </row>
    <row r="844" spans="72:84" ht="49.5" customHeight="1" x14ac:dyDescent="0.45">
      <c r="BT844" s="493"/>
      <c r="BW844" s="464"/>
      <c r="BX844" s="464"/>
      <c r="BY844" s="464"/>
      <c r="BZ844" s="464"/>
      <c r="CA844" s="464"/>
      <c r="CB844" s="464"/>
      <c r="CC844" s="464"/>
      <c r="CD844" s="464"/>
      <c r="CE844" s="464"/>
      <c r="CF844" s="464"/>
    </row>
    <row r="845" spans="72:84" ht="49.5" customHeight="1" x14ac:dyDescent="0.45">
      <c r="BT845" s="493"/>
      <c r="BW845" s="464"/>
      <c r="BX845" s="464"/>
      <c r="BY845" s="464"/>
      <c r="BZ845" s="464"/>
      <c r="CA845" s="464"/>
      <c r="CB845" s="464"/>
      <c r="CC845" s="464"/>
      <c r="CD845" s="464"/>
      <c r="CE845" s="464"/>
      <c r="CF845" s="464"/>
    </row>
    <row r="846" spans="72:84" ht="49.5" customHeight="1" x14ac:dyDescent="0.45">
      <c r="BT846" s="493"/>
      <c r="BW846" s="464"/>
      <c r="BX846" s="464"/>
      <c r="BY846" s="464"/>
      <c r="BZ846" s="464"/>
      <c r="CA846" s="464"/>
      <c r="CB846" s="464"/>
      <c r="CC846" s="464"/>
      <c r="CD846" s="464"/>
      <c r="CE846" s="464"/>
      <c r="CF846" s="464"/>
    </row>
    <row r="847" spans="72:84" ht="49.5" customHeight="1" x14ac:dyDescent="0.45">
      <c r="BT847" s="493"/>
      <c r="BW847" s="464"/>
      <c r="BX847" s="464"/>
      <c r="BY847" s="464"/>
      <c r="BZ847" s="464"/>
      <c r="CA847" s="464"/>
      <c r="CB847" s="464"/>
      <c r="CC847" s="464"/>
      <c r="CD847" s="464"/>
      <c r="CE847" s="464"/>
      <c r="CF847" s="464"/>
    </row>
    <row r="848" spans="72:84" ht="49.5" customHeight="1" x14ac:dyDescent="0.45">
      <c r="BT848" s="493"/>
      <c r="BW848" s="464"/>
      <c r="BX848" s="464"/>
      <c r="BY848" s="464"/>
      <c r="BZ848" s="464"/>
      <c r="CA848" s="464"/>
      <c r="CB848" s="464"/>
      <c r="CC848" s="464"/>
      <c r="CD848" s="464"/>
      <c r="CE848" s="464"/>
      <c r="CF848" s="464"/>
    </row>
    <row r="849" spans="72:84" ht="49.5" customHeight="1" x14ac:dyDescent="0.45">
      <c r="BT849" s="493"/>
      <c r="BW849" s="464"/>
      <c r="BX849" s="464"/>
      <c r="BY849" s="464"/>
      <c r="BZ849" s="464"/>
      <c r="CA849" s="464"/>
      <c r="CB849" s="464"/>
      <c r="CC849" s="464"/>
      <c r="CD849" s="464"/>
      <c r="CE849" s="464"/>
      <c r="CF849" s="464"/>
    </row>
    <row r="850" spans="72:84" ht="49.5" customHeight="1" x14ac:dyDescent="0.45">
      <c r="BT850" s="493"/>
      <c r="BW850" s="464"/>
      <c r="BX850" s="464"/>
      <c r="BY850" s="464"/>
      <c r="BZ850" s="464"/>
      <c r="CA850" s="464"/>
      <c r="CB850" s="464"/>
      <c r="CC850" s="464"/>
      <c r="CD850" s="464"/>
      <c r="CE850" s="464"/>
      <c r="CF850" s="464"/>
    </row>
    <row r="851" spans="72:84" ht="49.5" customHeight="1" x14ac:dyDescent="0.45">
      <c r="BT851" s="493"/>
      <c r="BW851" s="464"/>
      <c r="BX851" s="464"/>
      <c r="BY851" s="464"/>
      <c r="BZ851" s="464"/>
      <c r="CA851" s="464"/>
      <c r="CB851" s="464"/>
      <c r="CC851" s="464"/>
      <c r="CD851" s="464"/>
      <c r="CE851" s="464"/>
      <c r="CF851" s="464"/>
    </row>
    <row r="852" spans="72:84" ht="49.5" customHeight="1" x14ac:dyDescent="0.45">
      <c r="BT852" s="493"/>
      <c r="BW852" s="464"/>
      <c r="BX852" s="464"/>
      <c r="BY852" s="464"/>
      <c r="BZ852" s="464"/>
      <c r="CA852" s="464"/>
      <c r="CB852" s="464"/>
      <c r="CC852" s="464"/>
      <c r="CD852" s="464"/>
      <c r="CE852" s="464"/>
      <c r="CF852" s="464"/>
    </row>
    <row r="853" spans="72:84" ht="49.5" customHeight="1" x14ac:dyDescent="0.45">
      <c r="BT853" s="493"/>
      <c r="BW853" s="464"/>
      <c r="BX853" s="464"/>
      <c r="BY853" s="464"/>
      <c r="BZ853" s="464"/>
      <c r="CA853" s="464"/>
      <c r="CB853" s="464"/>
      <c r="CC853" s="464"/>
      <c r="CD853" s="464"/>
      <c r="CE853" s="464"/>
      <c r="CF853" s="464"/>
    </row>
    <row r="854" spans="72:84" ht="49.5" customHeight="1" x14ac:dyDescent="0.45">
      <c r="BT854" s="493"/>
      <c r="BW854" s="464"/>
      <c r="BX854" s="464"/>
      <c r="BY854" s="464"/>
      <c r="BZ854" s="464"/>
      <c r="CA854" s="464"/>
      <c r="CB854" s="464"/>
      <c r="CC854" s="464"/>
      <c r="CD854" s="464"/>
      <c r="CE854" s="464"/>
      <c r="CF854" s="464"/>
    </row>
    <row r="855" spans="72:84" ht="49.5" customHeight="1" x14ac:dyDescent="0.45">
      <c r="BT855" s="493"/>
      <c r="BW855" s="464"/>
      <c r="BX855" s="464"/>
      <c r="BY855" s="464"/>
      <c r="BZ855" s="464"/>
      <c r="CA855" s="464"/>
      <c r="CB855" s="464"/>
      <c r="CC855" s="464"/>
      <c r="CD855" s="464"/>
      <c r="CE855" s="464"/>
      <c r="CF855" s="464"/>
    </row>
    <row r="856" spans="72:84" ht="49.5" customHeight="1" x14ac:dyDescent="0.45">
      <c r="BT856" s="493"/>
      <c r="BW856" s="464"/>
      <c r="BX856" s="464"/>
      <c r="BY856" s="464"/>
      <c r="BZ856" s="464"/>
      <c r="CA856" s="464"/>
      <c r="CB856" s="464"/>
      <c r="CC856" s="464"/>
      <c r="CD856" s="464"/>
      <c r="CE856" s="464"/>
      <c r="CF856" s="464"/>
    </row>
    <row r="857" spans="72:84" ht="49.5" customHeight="1" x14ac:dyDescent="0.45">
      <c r="BT857" s="493"/>
      <c r="BW857" s="464"/>
      <c r="BX857" s="464"/>
      <c r="BY857" s="464"/>
      <c r="BZ857" s="464"/>
      <c r="CA857" s="464"/>
      <c r="CB857" s="464"/>
      <c r="CC857" s="464"/>
      <c r="CD857" s="464"/>
      <c r="CE857" s="464"/>
      <c r="CF857" s="464"/>
    </row>
    <row r="858" spans="72:84" ht="49.5" customHeight="1" x14ac:dyDescent="0.45">
      <c r="BT858" s="493"/>
      <c r="BW858" s="464"/>
      <c r="BX858" s="464"/>
      <c r="BY858" s="464"/>
      <c r="BZ858" s="464"/>
      <c r="CA858" s="464"/>
      <c r="CB858" s="464"/>
      <c r="CC858" s="464"/>
      <c r="CD858" s="464"/>
      <c r="CE858" s="464"/>
      <c r="CF858" s="464"/>
    </row>
    <row r="859" spans="72:84" ht="49.5" customHeight="1" x14ac:dyDescent="0.45">
      <c r="BT859" s="493"/>
      <c r="BW859" s="464"/>
      <c r="BX859" s="464"/>
      <c r="BY859" s="464"/>
      <c r="BZ859" s="464"/>
      <c r="CA859" s="464"/>
      <c r="CB859" s="464"/>
      <c r="CC859" s="464"/>
      <c r="CD859" s="464"/>
      <c r="CE859" s="464"/>
      <c r="CF859" s="464"/>
    </row>
    <row r="860" spans="72:84" ht="49.5" customHeight="1" x14ac:dyDescent="0.45">
      <c r="BT860" s="493"/>
      <c r="BW860" s="464"/>
      <c r="BX860" s="464"/>
      <c r="BY860" s="464"/>
      <c r="BZ860" s="464"/>
      <c r="CA860" s="464"/>
      <c r="CB860" s="464"/>
      <c r="CC860" s="464"/>
      <c r="CD860" s="464"/>
      <c r="CE860" s="464"/>
      <c r="CF860" s="464"/>
    </row>
    <row r="861" spans="72:84" ht="49.5" customHeight="1" x14ac:dyDescent="0.45">
      <c r="BT861" s="493"/>
      <c r="BW861" s="464"/>
      <c r="BX861" s="464"/>
      <c r="BY861" s="464"/>
      <c r="BZ861" s="464"/>
      <c r="CA861" s="464"/>
      <c r="CB861" s="464"/>
      <c r="CC861" s="464"/>
      <c r="CD861" s="464"/>
      <c r="CE861" s="464"/>
      <c r="CF861" s="464"/>
    </row>
    <row r="862" spans="72:84" ht="49.5" customHeight="1" x14ac:dyDescent="0.45">
      <c r="BT862" s="493"/>
      <c r="BW862" s="464"/>
      <c r="BX862" s="464"/>
      <c r="BY862" s="464"/>
      <c r="BZ862" s="464"/>
      <c r="CA862" s="464"/>
      <c r="CB862" s="464"/>
      <c r="CC862" s="464"/>
      <c r="CD862" s="464"/>
      <c r="CE862" s="464"/>
      <c r="CF862" s="464"/>
    </row>
    <row r="863" spans="72:84" ht="49.5" customHeight="1" x14ac:dyDescent="0.45">
      <c r="BT863" s="493"/>
      <c r="BW863" s="464"/>
      <c r="BX863" s="464"/>
      <c r="BY863" s="464"/>
      <c r="BZ863" s="464"/>
      <c r="CA863" s="464"/>
      <c r="CB863" s="464"/>
      <c r="CC863" s="464"/>
      <c r="CD863" s="464"/>
      <c r="CE863" s="464"/>
      <c r="CF863" s="464"/>
    </row>
    <row r="864" spans="72:84" ht="49.5" customHeight="1" x14ac:dyDescent="0.45">
      <c r="BT864" s="493"/>
      <c r="BW864" s="464"/>
      <c r="BX864" s="464"/>
      <c r="BY864" s="464"/>
      <c r="BZ864" s="464"/>
      <c r="CA864" s="464"/>
      <c r="CB864" s="464"/>
      <c r="CC864" s="464"/>
      <c r="CD864" s="464"/>
      <c r="CE864" s="464"/>
      <c r="CF864" s="464"/>
    </row>
    <row r="865" spans="72:84" ht="49.5" customHeight="1" x14ac:dyDescent="0.45">
      <c r="BT865" s="493"/>
      <c r="BW865" s="464"/>
      <c r="BX865" s="464"/>
      <c r="BY865" s="464"/>
      <c r="BZ865" s="464"/>
      <c r="CA865" s="464"/>
      <c r="CB865" s="464"/>
      <c r="CC865" s="464"/>
      <c r="CD865" s="464"/>
      <c r="CE865" s="464"/>
      <c r="CF865" s="464"/>
    </row>
    <row r="866" spans="72:84" ht="49.5" customHeight="1" x14ac:dyDescent="0.45">
      <c r="BT866" s="493"/>
      <c r="BW866" s="464"/>
      <c r="BX866" s="464"/>
      <c r="BY866" s="464"/>
      <c r="BZ866" s="464"/>
      <c r="CA866" s="464"/>
      <c r="CB866" s="464"/>
      <c r="CC866" s="464"/>
      <c r="CD866" s="464"/>
      <c r="CE866" s="464"/>
      <c r="CF866" s="464"/>
    </row>
    <row r="867" spans="72:84" ht="49.5" customHeight="1" x14ac:dyDescent="0.45">
      <c r="BT867" s="493"/>
      <c r="BW867" s="464"/>
      <c r="BX867" s="464"/>
      <c r="BY867" s="464"/>
      <c r="BZ867" s="464"/>
      <c r="CA867" s="464"/>
      <c r="CB867" s="464"/>
      <c r="CC867" s="464"/>
      <c r="CD867" s="464"/>
      <c r="CE867" s="464"/>
      <c r="CF867" s="464"/>
    </row>
    <row r="868" spans="72:84" ht="49.5" customHeight="1" x14ac:dyDescent="0.45">
      <c r="BT868" s="493"/>
      <c r="BW868" s="464"/>
      <c r="BX868" s="464"/>
      <c r="BY868" s="464"/>
      <c r="BZ868" s="464"/>
      <c r="CA868" s="464"/>
      <c r="CB868" s="464"/>
      <c r="CC868" s="464"/>
      <c r="CD868" s="464"/>
      <c r="CE868" s="464"/>
      <c r="CF868" s="464"/>
    </row>
    <row r="869" spans="72:84" ht="49.5" customHeight="1" x14ac:dyDescent="0.45">
      <c r="BT869" s="493"/>
      <c r="BW869" s="464"/>
      <c r="BX869" s="464"/>
      <c r="BY869" s="464"/>
      <c r="BZ869" s="464"/>
      <c r="CA869" s="464"/>
      <c r="CB869" s="464"/>
      <c r="CC869" s="464"/>
      <c r="CD869" s="464"/>
      <c r="CE869" s="464"/>
      <c r="CF869" s="464"/>
    </row>
    <row r="870" spans="72:84" ht="49.5" customHeight="1" x14ac:dyDescent="0.45">
      <c r="BT870" s="493"/>
      <c r="BW870" s="464"/>
      <c r="BX870" s="464"/>
      <c r="BY870" s="464"/>
      <c r="BZ870" s="464"/>
      <c r="CA870" s="464"/>
      <c r="CB870" s="464"/>
      <c r="CC870" s="464"/>
      <c r="CD870" s="464"/>
      <c r="CE870" s="464"/>
      <c r="CF870" s="464"/>
    </row>
    <row r="871" spans="72:84" ht="49.5" customHeight="1" x14ac:dyDescent="0.45">
      <c r="BT871" s="493"/>
      <c r="BW871" s="464"/>
      <c r="BX871" s="464"/>
      <c r="BY871" s="464"/>
      <c r="BZ871" s="464"/>
      <c r="CA871" s="464"/>
      <c r="CB871" s="464"/>
      <c r="CC871" s="464"/>
      <c r="CD871" s="464"/>
      <c r="CE871" s="464"/>
      <c r="CF871" s="464"/>
    </row>
    <row r="872" spans="72:84" ht="49.5" customHeight="1" x14ac:dyDescent="0.45">
      <c r="BT872" s="493"/>
      <c r="BW872" s="464"/>
      <c r="BX872" s="464"/>
      <c r="BY872" s="464"/>
      <c r="BZ872" s="464"/>
      <c r="CA872" s="464"/>
      <c r="CB872" s="464"/>
      <c r="CC872" s="464"/>
      <c r="CD872" s="464"/>
      <c r="CE872" s="464"/>
      <c r="CF872" s="464"/>
    </row>
    <row r="873" spans="72:84" ht="49.5" customHeight="1" x14ac:dyDescent="0.45">
      <c r="BT873" s="493"/>
      <c r="BW873" s="464"/>
      <c r="BX873" s="464"/>
      <c r="BY873" s="464"/>
      <c r="BZ873" s="464"/>
      <c r="CA873" s="464"/>
      <c r="CB873" s="464"/>
      <c r="CC873" s="464"/>
      <c r="CD873" s="464"/>
      <c r="CE873" s="464"/>
      <c r="CF873" s="464"/>
    </row>
    <row r="874" spans="72:84" ht="49.5" customHeight="1" x14ac:dyDescent="0.45">
      <c r="BT874" s="493"/>
      <c r="BW874" s="464"/>
      <c r="BX874" s="464"/>
      <c r="BY874" s="464"/>
      <c r="BZ874" s="464"/>
      <c r="CA874" s="464"/>
      <c r="CB874" s="464"/>
      <c r="CC874" s="464"/>
      <c r="CD874" s="464"/>
      <c r="CE874" s="464"/>
      <c r="CF874" s="464"/>
    </row>
    <row r="875" spans="72:84" ht="49.5" customHeight="1" x14ac:dyDescent="0.45">
      <c r="BT875" s="493"/>
      <c r="BW875" s="464"/>
      <c r="BX875" s="464"/>
      <c r="BY875" s="464"/>
      <c r="BZ875" s="464"/>
      <c r="CA875" s="464"/>
      <c r="CB875" s="464"/>
      <c r="CC875" s="464"/>
      <c r="CD875" s="464"/>
      <c r="CE875" s="464"/>
      <c r="CF875" s="464"/>
    </row>
    <row r="876" spans="72:84" ht="49.5" customHeight="1" x14ac:dyDescent="0.45">
      <c r="BT876" s="493"/>
      <c r="BW876" s="464"/>
      <c r="BX876" s="464"/>
      <c r="BY876" s="464"/>
      <c r="BZ876" s="464"/>
      <c r="CA876" s="464"/>
      <c r="CB876" s="464"/>
      <c r="CC876" s="464"/>
      <c r="CD876" s="464"/>
      <c r="CE876" s="464"/>
      <c r="CF876" s="464"/>
    </row>
    <row r="877" spans="72:84" ht="49.5" customHeight="1" x14ac:dyDescent="0.45">
      <c r="BT877" s="493"/>
      <c r="BW877" s="464"/>
      <c r="BX877" s="464"/>
      <c r="BY877" s="464"/>
      <c r="BZ877" s="464"/>
      <c r="CA877" s="464"/>
      <c r="CB877" s="464"/>
      <c r="CC877" s="464"/>
      <c r="CD877" s="464"/>
      <c r="CE877" s="464"/>
      <c r="CF877" s="464"/>
    </row>
    <row r="878" spans="72:84" ht="49.5" customHeight="1" x14ac:dyDescent="0.45">
      <c r="BT878" s="493"/>
      <c r="BW878" s="464"/>
      <c r="BX878" s="464"/>
      <c r="BY878" s="464"/>
      <c r="BZ878" s="464"/>
      <c r="CA878" s="464"/>
      <c r="CB878" s="464"/>
      <c r="CC878" s="464"/>
      <c r="CD878" s="464"/>
      <c r="CE878" s="464"/>
      <c r="CF878" s="464"/>
    </row>
    <row r="879" spans="72:84" ht="49.5" customHeight="1" x14ac:dyDescent="0.45">
      <c r="BT879" s="493"/>
      <c r="BW879" s="464"/>
      <c r="BX879" s="464"/>
      <c r="BY879" s="464"/>
      <c r="BZ879" s="464"/>
      <c r="CA879" s="464"/>
      <c r="CB879" s="464"/>
      <c r="CC879" s="464"/>
      <c r="CD879" s="464"/>
      <c r="CE879" s="464"/>
      <c r="CF879" s="464"/>
    </row>
    <row r="880" spans="72:84" ht="49.5" customHeight="1" x14ac:dyDescent="0.45">
      <c r="BT880" s="493"/>
      <c r="BW880" s="464"/>
      <c r="BX880" s="464"/>
      <c r="BY880" s="464"/>
      <c r="BZ880" s="464"/>
      <c r="CA880" s="464"/>
      <c r="CB880" s="464"/>
      <c r="CC880" s="464"/>
      <c r="CD880" s="464"/>
      <c r="CE880" s="464"/>
      <c r="CF880" s="464"/>
    </row>
    <row r="881" spans="72:84" ht="49.5" customHeight="1" x14ac:dyDescent="0.45">
      <c r="BT881" s="493"/>
      <c r="BW881" s="464"/>
      <c r="BX881" s="464"/>
      <c r="BY881" s="464"/>
      <c r="BZ881" s="464"/>
      <c r="CA881" s="464"/>
      <c r="CB881" s="464"/>
      <c r="CC881" s="464"/>
      <c r="CD881" s="464"/>
      <c r="CE881" s="464"/>
      <c r="CF881" s="464"/>
    </row>
    <row r="882" spans="72:84" ht="49.5" customHeight="1" x14ac:dyDescent="0.45">
      <c r="BT882" s="493"/>
      <c r="BW882" s="464"/>
      <c r="BX882" s="464"/>
      <c r="BY882" s="464"/>
      <c r="BZ882" s="464"/>
      <c r="CA882" s="464"/>
      <c r="CB882" s="464"/>
      <c r="CC882" s="464"/>
      <c r="CD882" s="464"/>
      <c r="CE882" s="464"/>
      <c r="CF882" s="464"/>
    </row>
    <row r="883" spans="72:84" ht="49.5" customHeight="1" x14ac:dyDescent="0.45">
      <c r="BT883" s="493"/>
      <c r="BW883" s="464"/>
      <c r="BX883" s="464"/>
      <c r="BY883" s="464"/>
      <c r="BZ883" s="464"/>
      <c r="CA883" s="464"/>
      <c r="CB883" s="464"/>
      <c r="CC883" s="464"/>
      <c r="CD883" s="464"/>
      <c r="CE883" s="464"/>
      <c r="CF883" s="464"/>
    </row>
    <row r="884" spans="72:84" ht="49.5" customHeight="1" x14ac:dyDescent="0.45">
      <c r="BT884" s="493"/>
      <c r="BW884" s="464"/>
      <c r="BX884" s="464"/>
      <c r="BY884" s="464"/>
      <c r="BZ884" s="464"/>
      <c r="CA884" s="464"/>
      <c r="CB884" s="464"/>
      <c r="CC884" s="464"/>
      <c r="CD884" s="464"/>
      <c r="CE884" s="464"/>
      <c r="CF884" s="464"/>
    </row>
    <row r="885" spans="72:84" ht="49.5" customHeight="1" x14ac:dyDescent="0.45">
      <c r="BT885" s="493"/>
      <c r="BW885" s="464"/>
      <c r="BX885" s="464"/>
      <c r="BY885" s="464"/>
      <c r="BZ885" s="464"/>
      <c r="CA885" s="464"/>
      <c r="CB885" s="464"/>
      <c r="CC885" s="464"/>
      <c r="CD885" s="464"/>
      <c r="CE885" s="464"/>
      <c r="CF885" s="464"/>
    </row>
    <row r="886" spans="72:84" ht="49.5" customHeight="1" x14ac:dyDescent="0.45">
      <c r="BT886" s="493"/>
      <c r="BW886" s="464"/>
      <c r="BX886" s="464"/>
      <c r="BY886" s="464"/>
      <c r="BZ886" s="464"/>
      <c r="CA886" s="464"/>
      <c r="CB886" s="464"/>
      <c r="CC886" s="464"/>
      <c r="CD886" s="464"/>
      <c r="CE886" s="464"/>
      <c r="CF886" s="464"/>
    </row>
    <row r="887" spans="72:84" ht="49.5" customHeight="1" x14ac:dyDescent="0.45">
      <c r="BT887" s="493"/>
      <c r="BW887" s="464"/>
      <c r="BX887" s="464"/>
      <c r="BY887" s="464"/>
      <c r="BZ887" s="464"/>
      <c r="CA887" s="464"/>
      <c r="CB887" s="464"/>
      <c r="CC887" s="464"/>
      <c r="CD887" s="464"/>
      <c r="CE887" s="464"/>
      <c r="CF887" s="464"/>
    </row>
    <row r="888" spans="72:84" ht="49.5" customHeight="1" x14ac:dyDescent="0.45">
      <c r="BT888" s="493"/>
      <c r="BW888" s="464"/>
      <c r="BX888" s="464"/>
      <c r="BY888" s="464"/>
      <c r="BZ888" s="464"/>
      <c r="CA888" s="464"/>
      <c r="CB888" s="464"/>
      <c r="CC888" s="464"/>
      <c r="CD888" s="464"/>
      <c r="CE888" s="464"/>
      <c r="CF888" s="464"/>
    </row>
    <row r="889" spans="72:84" ht="49.5" customHeight="1" x14ac:dyDescent="0.45">
      <c r="BT889" s="493"/>
      <c r="BW889" s="464"/>
      <c r="BX889" s="464"/>
      <c r="BY889" s="464"/>
      <c r="BZ889" s="464"/>
      <c r="CA889" s="464"/>
      <c r="CB889" s="464"/>
      <c r="CC889" s="464"/>
      <c r="CD889" s="464"/>
      <c r="CE889" s="464"/>
      <c r="CF889" s="464"/>
    </row>
    <row r="890" spans="72:84" ht="49.5" customHeight="1" x14ac:dyDescent="0.45">
      <c r="BT890" s="493"/>
      <c r="BW890" s="464"/>
      <c r="BX890" s="464"/>
      <c r="BY890" s="464"/>
      <c r="BZ890" s="464"/>
      <c r="CA890" s="464"/>
      <c r="CB890" s="464"/>
      <c r="CC890" s="464"/>
      <c r="CD890" s="464"/>
      <c r="CE890" s="464"/>
      <c r="CF890" s="464"/>
    </row>
    <row r="891" spans="72:84" ht="49.5" customHeight="1" x14ac:dyDescent="0.45">
      <c r="BT891" s="493"/>
      <c r="BW891" s="464"/>
      <c r="BX891" s="464"/>
      <c r="BY891" s="464"/>
      <c r="BZ891" s="464"/>
      <c r="CA891" s="464"/>
      <c r="CB891" s="464"/>
      <c r="CC891" s="464"/>
      <c r="CD891" s="464"/>
      <c r="CE891" s="464"/>
      <c r="CF891" s="464"/>
    </row>
    <row r="892" spans="72:84" ht="49.5" customHeight="1" x14ac:dyDescent="0.45">
      <c r="BT892" s="493"/>
      <c r="BW892" s="464"/>
      <c r="BX892" s="464"/>
      <c r="BY892" s="464"/>
      <c r="BZ892" s="464"/>
      <c r="CA892" s="464"/>
      <c r="CB892" s="464"/>
      <c r="CC892" s="464"/>
      <c r="CD892" s="464"/>
      <c r="CE892" s="464"/>
      <c r="CF892" s="464"/>
    </row>
    <row r="893" spans="72:84" ht="49.5" customHeight="1" x14ac:dyDescent="0.45">
      <c r="BT893" s="493"/>
      <c r="BW893" s="464"/>
      <c r="BX893" s="464"/>
      <c r="BY893" s="464"/>
      <c r="BZ893" s="464"/>
      <c r="CA893" s="464"/>
      <c r="CB893" s="464"/>
      <c r="CC893" s="464"/>
      <c r="CD893" s="464"/>
      <c r="CE893" s="464"/>
      <c r="CF893" s="464"/>
    </row>
    <row r="894" spans="72:84" ht="49.5" customHeight="1" x14ac:dyDescent="0.45">
      <c r="BT894" s="493"/>
      <c r="BW894" s="464"/>
      <c r="BX894" s="464"/>
      <c r="BY894" s="464"/>
      <c r="BZ894" s="464"/>
      <c r="CA894" s="464"/>
      <c r="CB894" s="464"/>
      <c r="CC894" s="464"/>
      <c r="CD894" s="464"/>
      <c r="CE894" s="464"/>
      <c r="CF894" s="464"/>
    </row>
    <row r="895" spans="72:84" ht="49.5" customHeight="1" x14ac:dyDescent="0.45">
      <c r="BT895" s="493"/>
      <c r="BW895" s="464"/>
      <c r="BX895" s="464"/>
      <c r="BY895" s="464"/>
      <c r="BZ895" s="464"/>
      <c r="CA895" s="464"/>
      <c r="CB895" s="464"/>
      <c r="CC895" s="464"/>
      <c r="CD895" s="464"/>
      <c r="CE895" s="464"/>
      <c r="CF895" s="464"/>
    </row>
    <row r="896" spans="72:84" ht="49.5" customHeight="1" x14ac:dyDescent="0.45">
      <c r="BT896" s="493"/>
      <c r="BW896" s="464"/>
      <c r="BX896" s="464"/>
      <c r="BY896" s="464"/>
      <c r="BZ896" s="464"/>
      <c r="CA896" s="464"/>
      <c r="CB896" s="464"/>
      <c r="CC896" s="464"/>
      <c r="CD896" s="464"/>
      <c r="CE896" s="464"/>
      <c r="CF896" s="464"/>
    </row>
    <row r="897" spans="72:84" ht="49.5" customHeight="1" x14ac:dyDescent="0.45">
      <c r="BT897" s="493"/>
      <c r="BW897" s="464"/>
      <c r="BX897" s="464"/>
      <c r="BY897" s="464"/>
      <c r="BZ897" s="464"/>
      <c r="CA897" s="464"/>
      <c r="CB897" s="464"/>
      <c r="CC897" s="464"/>
      <c r="CD897" s="464"/>
      <c r="CE897" s="464"/>
      <c r="CF897" s="464"/>
    </row>
    <row r="898" spans="72:84" ht="49.5" customHeight="1" x14ac:dyDescent="0.45">
      <c r="BT898" s="493"/>
      <c r="BW898" s="464"/>
      <c r="BX898" s="464"/>
      <c r="BY898" s="464"/>
      <c r="BZ898" s="464"/>
      <c r="CA898" s="464"/>
      <c r="CB898" s="464"/>
      <c r="CC898" s="464"/>
      <c r="CD898" s="464"/>
      <c r="CE898" s="464"/>
      <c r="CF898" s="464"/>
    </row>
    <row r="899" spans="72:84" ht="49.5" customHeight="1" x14ac:dyDescent="0.45">
      <c r="BT899" s="493"/>
      <c r="BW899" s="464"/>
      <c r="BX899" s="464"/>
      <c r="BY899" s="464"/>
      <c r="BZ899" s="464"/>
      <c r="CA899" s="464"/>
      <c r="CB899" s="464"/>
      <c r="CC899" s="464"/>
      <c r="CD899" s="464"/>
      <c r="CE899" s="464"/>
      <c r="CF899" s="464"/>
    </row>
    <row r="900" spans="72:84" ht="49.5" customHeight="1" x14ac:dyDescent="0.45">
      <c r="BT900" s="493"/>
      <c r="BW900" s="464"/>
      <c r="BX900" s="464"/>
      <c r="BY900" s="464"/>
      <c r="BZ900" s="464"/>
      <c r="CA900" s="464"/>
      <c r="CB900" s="464"/>
      <c r="CC900" s="464"/>
      <c r="CD900" s="464"/>
      <c r="CE900" s="464"/>
      <c r="CF900" s="464"/>
    </row>
    <row r="901" spans="72:84" ht="49.5" customHeight="1" x14ac:dyDescent="0.45">
      <c r="BT901" s="493"/>
      <c r="BW901" s="464"/>
      <c r="BX901" s="464"/>
      <c r="BY901" s="464"/>
      <c r="BZ901" s="464"/>
      <c r="CA901" s="464"/>
      <c r="CB901" s="464"/>
      <c r="CC901" s="464"/>
      <c r="CD901" s="464"/>
      <c r="CE901" s="464"/>
      <c r="CF901" s="464"/>
    </row>
    <row r="902" spans="72:84" ht="49.5" customHeight="1" x14ac:dyDescent="0.45">
      <c r="BT902" s="493"/>
      <c r="BW902" s="464"/>
      <c r="BX902" s="464"/>
      <c r="BY902" s="464"/>
      <c r="BZ902" s="464"/>
      <c r="CA902" s="464"/>
      <c r="CB902" s="464"/>
      <c r="CC902" s="464"/>
      <c r="CD902" s="464"/>
      <c r="CE902" s="464"/>
      <c r="CF902" s="464"/>
    </row>
    <row r="903" spans="72:84" ht="49.5" customHeight="1" x14ac:dyDescent="0.45">
      <c r="BT903" s="493"/>
      <c r="BW903" s="464"/>
      <c r="BX903" s="464"/>
      <c r="BY903" s="464"/>
      <c r="BZ903" s="464"/>
      <c r="CA903" s="464"/>
      <c r="CB903" s="464"/>
      <c r="CC903" s="464"/>
      <c r="CD903" s="464"/>
      <c r="CE903" s="464"/>
      <c r="CF903" s="464"/>
    </row>
    <row r="904" spans="72:84" ht="49.5" customHeight="1" x14ac:dyDescent="0.45">
      <c r="BT904" s="493"/>
      <c r="BW904" s="464"/>
      <c r="BX904" s="464"/>
      <c r="BY904" s="464"/>
      <c r="BZ904" s="464"/>
      <c r="CA904" s="464"/>
      <c r="CB904" s="464"/>
      <c r="CC904" s="464"/>
      <c r="CD904" s="464"/>
      <c r="CE904" s="464"/>
      <c r="CF904" s="464"/>
    </row>
    <row r="905" spans="72:84" ht="49.5" customHeight="1" x14ac:dyDescent="0.45">
      <c r="BT905" s="493"/>
      <c r="BW905" s="464"/>
      <c r="BX905" s="464"/>
      <c r="BY905" s="464"/>
      <c r="BZ905" s="464"/>
      <c r="CA905" s="464"/>
      <c r="CB905" s="464"/>
      <c r="CC905" s="464"/>
      <c r="CD905" s="464"/>
      <c r="CE905" s="464"/>
      <c r="CF905" s="464"/>
    </row>
    <row r="906" spans="72:84" ht="49.5" customHeight="1" x14ac:dyDescent="0.45">
      <c r="BT906" s="493"/>
      <c r="BW906" s="464"/>
      <c r="BX906" s="464"/>
      <c r="BY906" s="464"/>
      <c r="BZ906" s="464"/>
      <c r="CA906" s="464"/>
      <c r="CB906" s="464"/>
      <c r="CC906" s="464"/>
      <c r="CD906" s="464"/>
      <c r="CE906" s="464"/>
      <c r="CF906" s="464"/>
    </row>
    <row r="907" spans="72:84" ht="49.5" customHeight="1" x14ac:dyDescent="0.45">
      <c r="BT907" s="493"/>
      <c r="BW907" s="464"/>
      <c r="BX907" s="464"/>
      <c r="BY907" s="464"/>
      <c r="BZ907" s="464"/>
      <c r="CA907" s="464"/>
      <c r="CB907" s="464"/>
      <c r="CC907" s="464"/>
      <c r="CD907" s="464"/>
      <c r="CE907" s="464"/>
      <c r="CF907" s="464"/>
    </row>
    <row r="908" spans="72:84" ht="49.5" customHeight="1" x14ac:dyDescent="0.45">
      <c r="BT908" s="493"/>
      <c r="BW908" s="464"/>
      <c r="BX908" s="464"/>
      <c r="BY908" s="464"/>
      <c r="BZ908" s="464"/>
      <c r="CA908" s="464"/>
      <c r="CB908" s="464"/>
      <c r="CC908" s="464"/>
      <c r="CD908" s="464"/>
      <c r="CE908" s="464"/>
      <c r="CF908" s="464"/>
    </row>
    <row r="909" spans="72:84" ht="49.5" customHeight="1" x14ac:dyDescent="0.45">
      <c r="BT909" s="493"/>
      <c r="BW909" s="464"/>
      <c r="BX909" s="464"/>
      <c r="BY909" s="464"/>
      <c r="BZ909" s="464"/>
      <c r="CA909" s="464"/>
      <c r="CB909" s="464"/>
      <c r="CC909" s="464"/>
      <c r="CD909" s="464"/>
      <c r="CE909" s="464"/>
      <c r="CF909" s="464"/>
    </row>
    <row r="910" spans="72:84" ht="49.5" customHeight="1" x14ac:dyDescent="0.45">
      <c r="BT910" s="493"/>
      <c r="BW910" s="464"/>
      <c r="BX910" s="464"/>
      <c r="BY910" s="464"/>
      <c r="BZ910" s="464"/>
      <c r="CA910" s="464"/>
      <c r="CB910" s="464"/>
      <c r="CC910" s="464"/>
      <c r="CD910" s="464"/>
      <c r="CE910" s="464"/>
      <c r="CF910" s="464"/>
    </row>
    <row r="911" spans="72:84" ht="49.5" customHeight="1" x14ac:dyDescent="0.45">
      <c r="BT911" s="493"/>
      <c r="BW911" s="464"/>
      <c r="BX911" s="464"/>
      <c r="BY911" s="464"/>
      <c r="BZ911" s="464"/>
      <c r="CA911" s="464"/>
      <c r="CB911" s="464"/>
      <c r="CC911" s="464"/>
      <c r="CD911" s="464"/>
      <c r="CE911" s="464"/>
      <c r="CF911" s="464"/>
    </row>
    <row r="912" spans="72:84" ht="49.5" customHeight="1" x14ac:dyDescent="0.45">
      <c r="BT912" s="493"/>
      <c r="BW912" s="464"/>
      <c r="BX912" s="464"/>
      <c r="BY912" s="464"/>
      <c r="BZ912" s="464"/>
      <c r="CA912" s="464"/>
      <c r="CB912" s="464"/>
      <c r="CC912" s="464"/>
      <c r="CD912" s="464"/>
      <c r="CE912" s="464"/>
      <c r="CF912" s="464"/>
    </row>
    <row r="913" spans="72:84" ht="49.5" customHeight="1" x14ac:dyDescent="0.45">
      <c r="BT913" s="493"/>
      <c r="BW913" s="464"/>
      <c r="BX913" s="464"/>
      <c r="BY913" s="464"/>
      <c r="BZ913" s="464"/>
      <c r="CA913" s="464"/>
      <c r="CB913" s="464"/>
      <c r="CC913" s="464"/>
      <c r="CD913" s="464"/>
      <c r="CE913" s="464"/>
      <c r="CF913" s="464"/>
    </row>
    <row r="914" spans="72:84" ht="49.5" customHeight="1" x14ac:dyDescent="0.45">
      <c r="BT914" s="493"/>
      <c r="BW914" s="464"/>
      <c r="BX914" s="464"/>
      <c r="BY914" s="464"/>
      <c r="BZ914" s="464"/>
      <c r="CA914" s="464"/>
      <c r="CB914" s="464"/>
      <c r="CC914" s="464"/>
      <c r="CD914" s="464"/>
      <c r="CE914" s="464"/>
      <c r="CF914" s="464"/>
    </row>
    <row r="915" spans="72:84" ht="49.5" customHeight="1" x14ac:dyDescent="0.45">
      <c r="BT915" s="493"/>
      <c r="BW915" s="464"/>
      <c r="BX915" s="464"/>
      <c r="BY915" s="464"/>
      <c r="BZ915" s="464"/>
      <c r="CA915" s="464"/>
      <c r="CB915" s="464"/>
      <c r="CC915" s="464"/>
      <c r="CD915" s="464"/>
      <c r="CE915" s="464"/>
      <c r="CF915" s="464"/>
    </row>
    <row r="916" spans="72:84" ht="49.5" customHeight="1" x14ac:dyDescent="0.45">
      <c r="BT916" s="493"/>
      <c r="BW916" s="464"/>
      <c r="BX916" s="464"/>
      <c r="BY916" s="464"/>
      <c r="BZ916" s="464"/>
      <c r="CA916" s="464"/>
      <c r="CB916" s="464"/>
      <c r="CC916" s="464"/>
      <c r="CD916" s="464"/>
      <c r="CE916" s="464"/>
      <c r="CF916" s="464"/>
    </row>
    <row r="917" spans="72:84" ht="49.5" customHeight="1" x14ac:dyDescent="0.45">
      <c r="BT917" s="493"/>
      <c r="BW917" s="464"/>
      <c r="BX917" s="464"/>
      <c r="BY917" s="464"/>
      <c r="BZ917" s="464"/>
      <c r="CA917" s="464"/>
      <c r="CB917" s="464"/>
      <c r="CC917" s="464"/>
      <c r="CD917" s="464"/>
      <c r="CE917" s="464"/>
      <c r="CF917" s="464"/>
    </row>
    <row r="918" spans="72:84" ht="49.5" customHeight="1" x14ac:dyDescent="0.45">
      <c r="BT918" s="493"/>
      <c r="BW918" s="464"/>
      <c r="BX918" s="464"/>
      <c r="BY918" s="464"/>
      <c r="BZ918" s="464"/>
      <c r="CA918" s="464"/>
      <c r="CB918" s="464"/>
      <c r="CC918" s="464"/>
      <c r="CD918" s="464"/>
      <c r="CE918" s="464"/>
      <c r="CF918" s="464"/>
    </row>
    <row r="919" spans="72:84" ht="49.5" customHeight="1" x14ac:dyDescent="0.45">
      <c r="BT919" s="493"/>
      <c r="BW919" s="464"/>
      <c r="BX919" s="464"/>
      <c r="BY919" s="464"/>
      <c r="BZ919" s="464"/>
      <c r="CA919" s="464"/>
      <c r="CB919" s="464"/>
      <c r="CC919" s="464"/>
      <c r="CD919" s="464"/>
      <c r="CE919" s="464"/>
      <c r="CF919" s="464"/>
    </row>
    <row r="920" spans="72:84" ht="49.5" customHeight="1" x14ac:dyDescent="0.45">
      <c r="BT920" s="493"/>
      <c r="BW920" s="464"/>
      <c r="BX920" s="464"/>
      <c r="BY920" s="464"/>
      <c r="BZ920" s="464"/>
      <c r="CA920" s="464"/>
      <c r="CB920" s="464"/>
      <c r="CC920" s="464"/>
      <c r="CD920" s="464"/>
      <c r="CE920" s="464"/>
      <c r="CF920" s="464"/>
    </row>
    <row r="921" spans="72:84" ht="49.5" customHeight="1" x14ac:dyDescent="0.45">
      <c r="BT921" s="493"/>
      <c r="BW921" s="464"/>
      <c r="BX921" s="464"/>
      <c r="BY921" s="464"/>
      <c r="BZ921" s="464"/>
      <c r="CA921" s="464"/>
      <c r="CB921" s="464"/>
      <c r="CC921" s="464"/>
      <c r="CD921" s="464"/>
      <c r="CE921" s="464"/>
      <c r="CF921" s="464"/>
    </row>
    <row r="922" spans="72:84" ht="49.5" customHeight="1" x14ac:dyDescent="0.45">
      <c r="BT922" s="493"/>
      <c r="BW922" s="464"/>
      <c r="BX922" s="464"/>
      <c r="BY922" s="464"/>
      <c r="BZ922" s="464"/>
      <c r="CA922" s="464"/>
      <c r="CB922" s="464"/>
      <c r="CC922" s="464"/>
      <c r="CD922" s="464"/>
      <c r="CE922" s="464"/>
      <c r="CF922" s="464"/>
    </row>
    <row r="923" spans="72:84" ht="49.5" customHeight="1" x14ac:dyDescent="0.45">
      <c r="BT923" s="493"/>
      <c r="BW923" s="464"/>
      <c r="BX923" s="464"/>
      <c r="BY923" s="464"/>
      <c r="BZ923" s="464"/>
      <c r="CA923" s="464"/>
      <c r="CB923" s="464"/>
      <c r="CC923" s="464"/>
      <c r="CD923" s="464"/>
      <c r="CE923" s="464"/>
      <c r="CF923" s="464"/>
    </row>
    <row r="924" spans="72:84" ht="49.5" customHeight="1" x14ac:dyDescent="0.45">
      <c r="BT924" s="493"/>
      <c r="BW924" s="464"/>
      <c r="BX924" s="464"/>
      <c r="BY924" s="464"/>
      <c r="BZ924" s="464"/>
      <c r="CA924" s="464"/>
      <c r="CB924" s="464"/>
      <c r="CC924" s="464"/>
      <c r="CD924" s="464"/>
      <c r="CE924" s="464"/>
      <c r="CF924" s="464"/>
    </row>
    <row r="925" spans="72:84" ht="49.5" customHeight="1" x14ac:dyDescent="0.45">
      <c r="BT925" s="493"/>
      <c r="BW925" s="464"/>
      <c r="BX925" s="464"/>
      <c r="BY925" s="464"/>
      <c r="BZ925" s="464"/>
      <c r="CA925" s="464"/>
      <c r="CB925" s="464"/>
      <c r="CC925" s="464"/>
      <c r="CD925" s="464"/>
      <c r="CE925" s="464"/>
      <c r="CF925" s="464"/>
    </row>
    <row r="926" spans="72:84" ht="49.5" customHeight="1" x14ac:dyDescent="0.45">
      <c r="BT926" s="493"/>
      <c r="BW926" s="464"/>
      <c r="BX926" s="464"/>
      <c r="BY926" s="464"/>
      <c r="BZ926" s="464"/>
      <c r="CA926" s="464"/>
      <c r="CB926" s="464"/>
      <c r="CC926" s="464"/>
      <c r="CD926" s="464"/>
      <c r="CE926" s="464"/>
      <c r="CF926" s="464"/>
    </row>
    <row r="927" spans="72:84" ht="49.5" customHeight="1" x14ac:dyDescent="0.45">
      <c r="BT927" s="493"/>
      <c r="BW927" s="464"/>
      <c r="BX927" s="464"/>
      <c r="BY927" s="464"/>
      <c r="BZ927" s="464"/>
      <c r="CA927" s="464"/>
      <c r="CB927" s="464"/>
      <c r="CC927" s="464"/>
      <c r="CD927" s="464"/>
      <c r="CE927" s="464"/>
      <c r="CF927" s="464"/>
    </row>
    <row r="928" spans="72:84" ht="49.5" customHeight="1" x14ac:dyDescent="0.45">
      <c r="BT928" s="493"/>
      <c r="BW928" s="464"/>
      <c r="BX928" s="464"/>
      <c r="BY928" s="464"/>
      <c r="BZ928" s="464"/>
      <c r="CA928" s="464"/>
      <c r="CB928" s="464"/>
      <c r="CC928" s="464"/>
      <c r="CD928" s="464"/>
      <c r="CE928" s="464"/>
      <c r="CF928" s="464"/>
    </row>
    <row r="929" spans="72:84" ht="49.5" customHeight="1" x14ac:dyDescent="0.45">
      <c r="BT929" s="493"/>
      <c r="BW929" s="464"/>
      <c r="BX929" s="464"/>
      <c r="BY929" s="464"/>
      <c r="BZ929" s="464"/>
      <c r="CA929" s="464"/>
      <c r="CB929" s="464"/>
      <c r="CC929" s="464"/>
      <c r="CD929" s="464"/>
      <c r="CE929" s="464"/>
      <c r="CF929" s="464"/>
    </row>
    <row r="930" spans="72:84" ht="49.5" customHeight="1" x14ac:dyDescent="0.45">
      <c r="BT930" s="493"/>
      <c r="BW930" s="464"/>
      <c r="BX930" s="464"/>
      <c r="BY930" s="464"/>
      <c r="BZ930" s="464"/>
      <c r="CA930" s="464"/>
      <c r="CB930" s="464"/>
      <c r="CC930" s="464"/>
      <c r="CD930" s="464"/>
      <c r="CE930" s="464"/>
      <c r="CF930" s="464"/>
    </row>
    <row r="931" spans="72:84" ht="49.5" customHeight="1" x14ac:dyDescent="0.45">
      <c r="BT931" s="493"/>
      <c r="BW931" s="464"/>
      <c r="BX931" s="464"/>
      <c r="BY931" s="464"/>
      <c r="BZ931" s="464"/>
      <c r="CA931" s="464"/>
      <c r="CB931" s="464"/>
      <c r="CC931" s="464"/>
      <c r="CD931" s="464"/>
      <c r="CE931" s="464"/>
      <c r="CF931" s="464"/>
    </row>
    <row r="932" spans="72:84" ht="49.5" customHeight="1" x14ac:dyDescent="0.45">
      <c r="BT932" s="493"/>
      <c r="BW932" s="464"/>
      <c r="BX932" s="464"/>
      <c r="BY932" s="464"/>
      <c r="BZ932" s="464"/>
      <c r="CA932" s="464"/>
      <c r="CB932" s="464"/>
      <c r="CC932" s="464"/>
      <c r="CD932" s="464"/>
      <c r="CE932" s="464"/>
      <c r="CF932" s="464"/>
    </row>
    <row r="933" spans="72:84" ht="49.5" customHeight="1" x14ac:dyDescent="0.45">
      <c r="BT933" s="493"/>
      <c r="BW933" s="464"/>
      <c r="BX933" s="464"/>
      <c r="BY933" s="464"/>
      <c r="BZ933" s="464"/>
      <c r="CA933" s="464"/>
      <c r="CB933" s="464"/>
      <c r="CC933" s="464"/>
      <c r="CD933" s="464"/>
      <c r="CE933" s="464"/>
      <c r="CF933" s="464"/>
    </row>
    <row r="934" spans="72:84" ht="49.5" customHeight="1" x14ac:dyDescent="0.45">
      <c r="BT934" s="493"/>
      <c r="BW934" s="464"/>
      <c r="BX934" s="464"/>
      <c r="BY934" s="464"/>
      <c r="BZ934" s="464"/>
      <c r="CA934" s="464"/>
      <c r="CB934" s="464"/>
      <c r="CC934" s="464"/>
      <c r="CD934" s="464"/>
      <c r="CE934" s="464"/>
      <c r="CF934" s="464"/>
    </row>
    <row r="935" spans="72:84" ht="49.5" customHeight="1" x14ac:dyDescent="0.45">
      <c r="BT935" s="493"/>
      <c r="BW935" s="464"/>
      <c r="BX935" s="464"/>
      <c r="BY935" s="464"/>
      <c r="BZ935" s="464"/>
      <c r="CA935" s="464"/>
      <c r="CB935" s="464"/>
      <c r="CC935" s="464"/>
      <c r="CD935" s="464"/>
      <c r="CE935" s="464"/>
      <c r="CF935" s="464"/>
    </row>
    <row r="936" spans="72:84" ht="49.5" customHeight="1" x14ac:dyDescent="0.45">
      <c r="BT936" s="493"/>
      <c r="BW936" s="464"/>
      <c r="BX936" s="464"/>
      <c r="BY936" s="464"/>
      <c r="BZ936" s="464"/>
      <c r="CA936" s="464"/>
      <c r="CB936" s="464"/>
      <c r="CC936" s="464"/>
      <c r="CD936" s="464"/>
      <c r="CE936" s="464"/>
      <c r="CF936" s="464"/>
    </row>
    <row r="937" spans="72:84" ht="49.5" customHeight="1" x14ac:dyDescent="0.45">
      <c r="BT937" s="493"/>
      <c r="BW937" s="464"/>
      <c r="BX937" s="464"/>
      <c r="BY937" s="464"/>
      <c r="BZ937" s="464"/>
      <c r="CA937" s="464"/>
      <c r="CB937" s="464"/>
      <c r="CC937" s="464"/>
      <c r="CD937" s="464"/>
      <c r="CE937" s="464"/>
      <c r="CF937" s="464"/>
    </row>
    <row r="938" spans="72:84" ht="49.5" customHeight="1" x14ac:dyDescent="0.45">
      <c r="BT938" s="493"/>
      <c r="BW938" s="464"/>
      <c r="BX938" s="464"/>
      <c r="BY938" s="464"/>
      <c r="BZ938" s="464"/>
      <c r="CA938" s="464"/>
      <c r="CB938" s="464"/>
      <c r="CC938" s="464"/>
      <c r="CD938" s="464"/>
      <c r="CE938" s="464"/>
      <c r="CF938" s="464"/>
    </row>
    <row r="939" spans="72:84" ht="49.5" customHeight="1" x14ac:dyDescent="0.45">
      <c r="BT939" s="493"/>
      <c r="BW939" s="464"/>
      <c r="BX939" s="464"/>
      <c r="BY939" s="464"/>
      <c r="BZ939" s="464"/>
      <c r="CA939" s="464"/>
      <c r="CB939" s="464"/>
      <c r="CC939" s="464"/>
      <c r="CD939" s="464"/>
      <c r="CE939" s="464"/>
      <c r="CF939" s="464"/>
    </row>
    <row r="940" spans="72:84" ht="49.5" customHeight="1" x14ac:dyDescent="0.45">
      <c r="BT940" s="493"/>
      <c r="BW940" s="464"/>
      <c r="BX940" s="464"/>
      <c r="BY940" s="464"/>
      <c r="BZ940" s="464"/>
      <c r="CA940" s="464"/>
      <c r="CB940" s="464"/>
      <c r="CC940" s="464"/>
      <c r="CD940" s="464"/>
      <c r="CE940" s="464"/>
      <c r="CF940" s="464"/>
    </row>
    <row r="941" spans="72:84" ht="49.5" customHeight="1" x14ac:dyDescent="0.45">
      <c r="BT941" s="493"/>
      <c r="BW941" s="464"/>
      <c r="BX941" s="464"/>
      <c r="BY941" s="464"/>
      <c r="BZ941" s="464"/>
      <c r="CA941" s="464"/>
      <c r="CB941" s="464"/>
      <c r="CC941" s="464"/>
      <c r="CD941" s="464"/>
      <c r="CE941" s="464"/>
      <c r="CF941" s="464"/>
    </row>
    <row r="942" spans="72:84" ht="49.5" customHeight="1" x14ac:dyDescent="0.45">
      <c r="BT942" s="493"/>
      <c r="BW942" s="464"/>
      <c r="BX942" s="464"/>
      <c r="BY942" s="464"/>
      <c r="BZ942" s="464"/>
      <c r="CA942" s="464"/>
      <c r="CB942" s="464"/>
      <c r="CC942" s="464"/>
      <c r="CD942" s="464"/>
      <c r="CE942" s="464"/>
      <c r="CF942" s="464"/>
    </row>
    <row r="943" spans="72:84" ht="49.5" customHeight="1" x14ac:dyDescent="0.45">
      <c r="BT943" s="493"/>
      <c r="BW943" s="464"/>
      <c r="BX943" s="464"/>
      <c r="BY943" s="464"/>
      <c r="BZ943" s="464"/>
      <c r="CA943" s="464"/>
      <c r="CB943" s="464"/>
      <c r="CC943" s="464"/>
      <c r="CD943" s="464"/>
      <c r="CE943" s="464"/>
      <c r="CF943" s="464"/>
    </row>
    <row r="944" spans="72:84" ht="49.5" customHeight="1" x14ac:dyDescent="0.45">
      <c r="BT944" s="493"/>
      <c r="BW944" s="464"/>
      <c r="BX944" s="464"/>
      <c r="BY944" s="464"/>
      <c r="BZ944" s="464"/>
      <c r="CA944" s="464"/>
      <c r="CB944" s="464"/>
      <c r="CC944" s="464"/>
      <c r="CD944" s="464"/>
      <c r="CE944" s="464"/>
      <c r="CF944" s="464"/>
    </row>
    <row r="945" spans="72:84" ht="49.5" customHeight="1" x14ac:dyDescent="0.45">
      <c r="BT945" s="493"/>
      <c r="BW945" s="464"/>
      <c r="BX945" s="464"/>
      <c r="BY945" s="464"/>
      <c r="BZ945" s="464"/>
      <c r="CA945" s="464"/>
      <c r="CB945" s="464"/>
      <c r="CC945" s="464"/>
      <c r="CD945" s="464"/>
      <c r="CE945" s="464"/>
      <c r="CF945" s="464"/>
    </row>
    <row r="946" spans="72:84" ht="49.5" customHeight="1" x14ac:dyDescent="0.45">
      <c r="BT946" s="493"/>
      <c r="BW946" s="464"/>
      <c r="BX946" s="464"/>
      <c r="BY946" s="464"/>
      <c r="BZ946" s="464"/>
      <c r="CA946" s="464"/>
      <c r="CB946" s="464"/>
      <c r="CC946" s="464"/>
      <c r="CD946" s="464"/>
      <c r="CE946" s="464"/>
      <c r="CF946" s="464"/>
    </row>
    <row r="947" spans="72:84" ht="49.5" customHeight="1" x14ac:dyDescent="0.45">
      <c r="BT947" s="493"/>
      <c r="BW947" s="464"/>
      <c r="BX947" s="464"/>
      <c r="BY947" s="464"/>
      <c r="BZ947" s="464"/>
      <c r="CA947" s="464"/>
      <c r="CB947" s="464"/>
      <c r="CC947" s="464"/>
      <c r="CD947" s="464"/>
      <c r="CE947" s="464"/>
      <c r="CF947" s="464"/>
    </row>
    <row r="948" spans="72:84" ht="49.5" customHeight="1" x14ac:dyDescent="0.45">
      <c r="BT948" s="493"/>
      <c r="BW948" s="464"/>
      <c r="BX948" s="464"/>
      <c r="BY948" s="464"/>
      <c r="BZ948" s="464"/>
      <c r="CA948" s="464"/>
      <c r="CB948" s="464"/>
      <c r="CC948" s="464"/>
      <c r="CD948" s="464"/>
      <c r="CE948" s="464"/>
      <c r="CF948" s="464"/>
    </row>
    <row r="949" spans="72:84" ht="49.5" customHeight="1" x14ac:dyDescent="0.45">
      <c r="BT949" s="493"/>
      <c r="BW949" s="464"/>
      <c r="BX949" s="464"/>
      <c r="BY949" s="464"/>
      <c r="BZ949" s="464"/>
      <c r="CA949" s="464"/>
      <c r="CB949" s="464"/>
      <c r="CC949" s="464"/>
      <c r="CD949" s="464"/>
      <c r="CE949" s="464"/>
      <c r="CF949" s="464"/>
    </row>
    <row r="950" spans="72:84" ht="49.5" customHeight="1" x14ac:dyDescent="0.45">
      <c r="BT950" s="493"/>
      <c r="BW950" s="464"/>
      <c r="BX950" s="464"/>
      <c r="BY950" s="464"/>
      <c r="BZ950" s="464"/>
      <c r="CA950" s="464"/>
      <c r="CB950" s="464"/>
      <c r="CC950" s="464"/>
      <c r="CD950" s="464"/>
      <c r="CE950" s="464"/>
      <c r="CF950" s="464"/>
    </row>
    <row r="951" spans="72:84" ht="49.5" customHeight="1" x14ac:dyDescent="0.45">
      <c r="BT951" s="493"/>
      <c r="BW951" s="464"/>
      <c r="BX951" s="464"/>
      <c r="BY951" s="464"/>
      <c r="BZ951" s="464"/>
      <c r="CA951" s="464"/>
      <c r="CB951" s="464"/>
      <c r="CC951" s="464"/>
      <c r="CD951" s="464"/>
      <c r="CE951" s="464"/>
      <c r="CF951" s="464"/>
    </row>
    <row r="952" spans="72:84" ht="49.5" customHeight="1" x14ac:dyDescent="0.45">
      <c r="BT952" s="493"/>
      <c r="BW952" s="464"/>
      <c r="BX952" s="464"/>
      <c r="BY952" s="464"/>
      <c r="BZ952" s="464"/>
      <c r="CA952" s="464"/>
      <c r="CB952" s="464"/>
      <c r="CC952" s="464"/>
      <c r="CD952" s="464"/>
      <c r="CE952" s="464"/>
      <c r="CF952" s="464"/>
    </row>
    <row r="953" spans="72:84" ht="49.5" customHeight="1" x14ac:dyDescent="0.45">
      <c r="BT953" s="493"/>
      <c r="BW953" s="464"/>
      <c r="BX953" s="464"/>
      <c r="BY953" s="464"/>
      <c r="BZ953" s="464"/>
      <c r="CA953" s="464"/>
      <c r="CB953" s="464"/>
      <c r="CC953" s="464"/>
      <c r="CD953" s="464"/>
      <c r="CE953" s="464"/>
      <c r="CF953" s="464"/>
    </row>
    <row r="954" spans="72:84" ht="49.5" customHeight="1" x14ac:dyDescent="0.45">
      <c r="BT954" s="493"/>
      <c r="BW954" s="464"/>
      <c r="BX954" s="464"/>
      <c r="BY954" s="464"/>
      <c r="BZ954" s="464"/>
      <c r="CA954" s="464"/>
      <c r="CB954" s="464"/>
      <c r="CC954" s="464"/>
      <c r="CD954" s="464"/>
      <c r="CE954" s="464"/>
      <c r="CF954" s="464"/>
    </row>
    <row r="955" spans="72:84" ht="49.5" customHeight="1" x14ac:dyDescent="0.45">
      <c r="BT955" s="493"/>
      <c r="BW955" s="464"/>
      <c r="BX955" s="464"/>
      <c r="BY955" s="464"/>
      <c r="BZ955" s="464"/>
      <c r="CA955" s="464"/>
      <c r="CB955" s="464"/>
      <c r="CC955" s="464"/>
      <c r="CD955" s="464"/>
      <c r="CE955" s="464"/>
      <c r="CF955" s="464"/>
    </row>
    <row r="956" spans="72:84" ht="49.5" customHeight="1" x14ac:dyDescent="0.45">
      <c r="BT956" s="493"/>
      <c r="BW956" s="464"/>
      <c r="BX956" s="464"/>
      <c r="BY956" s="464"/>
      <c r="BZ956" s="464"/>
      <c r="CA956" s="464"/>
      <c r="CB956" s="464"/>
      <c r="CC956" s="464"/>
      <c r="CD956" s="464"/>
      <c r="CE956" s="464"/>
      <c r="CF956" s="464"/>
    </row>
    <row r="957" spans="72:84" ht="49.5" customHeight="1" x14ac:dyDescent="0.45">
      <c r="BT957" s="493"/>
      <c r="BW957" s="464"/>
      <c r="BX957" s="464"/>
      <c r="BY957" s="464"/>
      <c r="BZ957" s="464"/>
      <c r="CA957" s="464"/>
      <c r="CB957" s="464"/>
      <c r="CC957" s="464"/>
      <c r="CD957" s="464"/>
      <c r="CE957" s="464"/>
      <c r="CF957" s="464"/>
    </row>
    <row r="958" spans="72:84" ht="49.5" customHeight="1" x14ac:dyDescent="0.45">
      <c r="BT958" s="493"/>
      <c r="BW958" s="464"/>
      <c r="BX958" s="464"/>
      <c r="BY958" s="464"/>
      <c r="BZ958" s="464"/>
      <c r="CA958" s="464"/>
      <c r="CB958" s="464"/>
      <c r="CC958" s="464"/>
      <c r="CD958" s="464"/>
      <c r="CE958" s="464"/>
      <c r="CF958" s="464"/>
    </row>
    <row r="959" spans="72:84" ht="49.5" customHeight="1" x14ac:dyDescent="0.45">
      <c r="BT959" s="493"/>
      <c r="BW959" s="464"/>
      <c r="BX959" s="464"/>
      <c r="BY959" s="464"/>
      <c r="BZ959" s="464"/>
      <c r="CA959" s="464"/>
      <c r="CB959" s="464"/>
      <c r="CC959" s="464"/>
      <c r="CD959" s="464"/>
      <c r="CE959" s="464"/>
      <c r="CF959" s="464"/>
    </row>
    <row r="960" spans="72:84" ht="49.5" customHeight="1" x14ac:dyDescent="0.45">
      <c r="BT960" s="493"/>
      <c r="BW960" s="464"/>
      <c r="BX960" s="464"/>
      <c r="BY960" s="464"/>
      <c r="BZ960" s="464"/>
      <c r="CA960" s="464"/>
      <c r="CB960" s="464"/>
      <c r="CC960" s="464"/>
      <c r="CD960" s="464"/>
      <c r="CE960" s="464"/>
      <c r="CF960" s="464"/>
    </row>
    <row r="961" spans="72:84" ht="49.5" customHeight="1" x14ac:dyDescent="0.45">
      <c r="BT961" s="493"/>
      <c r="BW961" s="464"/>
      <c r="BX961" s="464"/>
      <c r="BY961" s="464"/>
      <c r="BZ961" s="464"/>
      <c r="CA961" s="464"/>
      <c r="CB961" s="464"/>
      <c r="CC961" s="464"/>
      <c r="CD961" s="464"/>
      <c r="CE961" s="464"/>
      <c r="CF961" s="464"/>
    </row>
    <row r="962" spans="72:84" ht="49.5" customHeight="1" x14ac:dyDescent="0.45">
      <c r="BT962" s="493"/>
      <c r="BW962" s="464"/>
      <c r="BX962" s="464"/>
      <c r="BY962" s="464"/>
      <c r="BZ962" s="464"/>
      <c r="CA962" s="464"/>
      <c r="CB962" s="464"/>
      <c r="CC962" s="464"/>
      <c r="CD962" s="464"/>
      <c r="CE962" s="464"/>
      <c r="CF962" s="464"/>
    </row>
    <row r="963" spans="72:84" ht="49.5" customHeight="1" x14ac:dyDescent="0.45">
      <c r="BT963" s="493"/>
      <c r="BW963" s="464"/>
      <c r="BX963" s="464"/>
      <c r="BY963" s="464"/>
      <c r="BZ963" s="464"/>
      <c r="CA963" s="464"/>
      <c r="CB963" s="464"/>
      <c r="CC963" s="464"/>
      <c r="CD963" s="464"/>
      <c r="CE963" s="464"/>
      <c r="CF963" s="464"/>
    </row>
    <row r="964" spans="72:84" ht="49.5" customHeight="1" x14ac:dyDescent="0.45">
      <c r="BT964" s="493"/>
      <c r="BW964" s="464"/>
      <c r="BX964" s="464"/>
      <c r="BY964" s="464"/>
      <c r="BZ964" s="464"/>
      <c r="CA964" s="464"/>
      <c r="CB964" s="464"/>
      <c r="CC964" s="464"/>
      <c r="CD964" s="464"/>
      <c r="CE964" s="464"/>
      <c r="CF964" s="464"/>
    </row>
    <row r="965" spans="72:84" ht="49.5" customHeight="1" x14ac:dyDescent="0.45">
      <c r="BT965" s="493"/>
      <c r="BW965" s="464"/>
      <c r="BX965" s="464"/>
      <c r="BY965" s="464"/>
      <c r="BZ965" s="464"/>
      <c r="CA965" s="464"/>
      <c r="CB965" s="464"/>
      <c r="CC965" s="464"/>
      <c r="CD965" s="464"/>
      <c r="CE965" s="464"/>
      <c r="CF965" s="464"/>
    </row>
    <row r="966" spans="72:84" ht="49.5" customHeight="1" x14ac:dyDescent="0.45">
      <c r="BT966" s="493"/>
      <c r="BW966" s="464"/>
      <c r="BX966" s="464"/>
      <c r="BY966" s="464"/>
      <c r="BZ966" s="464"/>
      <c r="CA966" s="464"/>
      <c r="CB966" s="464"/>
      <c r="CC966" s="464"/>
      <c r="CD966" s="464"/>
      <c r="CE966" s="464"/>
      <c r="CF966" s="464"/>
    </row>
    <row r="967" spans="72:84" ht="49.5" customHeight="1" x14ac:dyDescent="0.45">
      <c r="BT967" s="493"/>
      <c r="BW967" s="464"/>
      <c r="BX967" s="464"/>
      <c r="BY967" s="464"/>
      <c r="BZ967" s="464"/>
      <c r="CA967" s="464"/>
      <c r="CB967" s="464"/>
      <c r="CC967" s="464"/>
      <c r="CD967" s="464"/>
      <c r="CE967" s="464"/>
      <c r="CF967" s="464"/>
    </row>
    <row r="968" spans="72:84" ht="49.5" customHeight="1" x14ac:dyDescent="0.45">
      <c r="BT968" s="493"/>
      <c r="BW968" s="464"/>
      <c r="BX968" s="464"/>
      <c r="BY968" s="464"/>
      <c r="BZ968" s="464"/>
      <c r="CA968" s="464"/>
      <c r="CB968" s="464"/>
      <c r="CC968" s="464"/>
      <c r="CD968" s="464"/>
      <c r="CE968" s="464"/>
      <c r="CF968" s="464"/>
    </row>
    <row r="969" spans="72:84" ht="49.5" customHeight="1" x14ac:dyDescent="0.45">
      <c r="BT969" s="493"/>
      <c r="BW969" s="464"/>
      <c r="BX969" s="464"/>
      <c r="BY969" s="464"/>
      <c r="BZ969" s="464"/>
      <c r="CA969" s="464"/>
      <c r="CB969" s="464"/>
      <c r="CC969" s="464"/>
      <c r="CD969" s="464"/>
      <c r="CE969" s="464"/>
      <c r="CF969" s="464"/>
    </row>
    <row r="970" spans="72:84" ht="49.5" customHeight="1" x14ac:dyDescent="0.45">
      <c r="BT970" s="493"/>
      <c r="BW970" s="464"/>
      <c r="BX970" s="464"/>
      <c r="BY970" s="464"/>
      <c r="BZ970" s="464"/>
      <c r="CA970" s="464"/>
      <c r="CB970" s="464"/>
      <c r="CC970" s="464"/>
      <c r="CD970" s="464"/>
      <c r="CE970" s="464"/>
      <c r="CF970" s="464"/>
    </row>
    <row r="971" spans="72:84" ht="49.5" customHeight="1" x14ac:dyDescent="0.45">
      <c r="BT971" s="493"/>
      <c r="BW971" s="464"/>
      <c r="BX971" s="464"/>
      <c r="BY971" s="464"/>
      <c r="BZ971" s="464"/>
      <c r="CA971" s="464"/>
      <c r="CB971" s="464"/>
      <c r="CC971" s="464"/>
      <c r="CD971" s="464"/>
      <c r="CE971" s="464"/>
      <c r="CF971" s="464"/>
    </row>
  </sheetData>
  <mergeCells count="47">
    <mergeCell ref="BF5:BF6"/>
    <mergeCell ref="BD5:BD6"/>
    <mergeCell ref="BR5:BR6"/>
    <mergeCell ref="AZ5:AZ6"/>
    <mergeCell ref="BA5:BA6"/>
    <mergeCell ref="BB5:BB6"/>
    <mergeCell ref="BC5:BC6"/>
    <mergeCell ref="BE5:BE6"/>
    <mergeCell ref="AT5:AT6"/>
    <mergeCell ref="AU5:AU6"/>
    <mergeCell ref="AW5:AW6"/>
    <mergeCell ref="AX5:AX6"/>
    <mergeCell ref="AY5:AY6"/>
    <mergeCell ref="AA5:AC5"/>
    <mergeCell ref="AD5:AF5"/>
    <mergeCell ref="AG5:AI5"/>
    <mergeCell ref="AJ5:AL5"/>
    <mergeCell ref="AM5:AM6"/>
    <mergeCell ref="A5:A6"/>
    <mergeCell ref="B5:B6"/>
    <mergeCell ref="C5:C6"/>
    <mergeCell ref="D5:F5"/>
    <mergeCell ref="G5:I5"/>
    <mergeCell ref="J5:L5"/>
    <mergeCell ref="M5:O5"/>
    <mergeCell ref="P5:R5"/>
    <mergeCell ref="S5:T5"/>
    <mergeCell ref="U5:W5"/>
    <mergeCell ref="X5:Z5"/>
    <mergeCell ref="BW5:CD5"/>
    <mergeCell ref="CE5:CE6"/>
    <mergeCell ref="CF5:CF6"/>
    <mergeCell ref="BO5:BO6"/>
    <mergeCell ref="BP5:BP6"/>
    <mergeCell ref="BQ5:BQ6"/>
    <mergeCell ref="BS5:BS6"/>
    <mergeCell ref="BT5:BT6"/>
    <mergeCell ref="BU5:BU6"/>
    <mergeCell ref="BV5:BV6"/>
    <mergeCell ref="BM5:BM6"/>
    <mergeCell ref="BN5:BN6"/>
    <mergeCell ref="BG5:BG6"/>
    <mergeCell ref="BH5:BH6"/>
    <mergeCell ref="BI5:BI6"/>
    <mergeCell ref="BJ5:BJ6"/>
    <mergeCell ref="BK5:BK6"/>
    <mergeCell ref="BL5:BL6"/>
  </mergeCells>
  <conditionalFormatting sqref="AW7:AW45">
    <cfRule type="cellIs" dxfId="25" priority="1" operator="lessThan">
      <formula>0.5</formula>
    </cfRule>
  </conditionalFormatting>
  <conditionalFormatting sqref="AX7:AX45">
    <cfRule type="cellIs" dxfId="24" priority="2" operator="lessThan">
      <formula>0.2</formula>
    </cfRule>
  </conditionalFormatting>
  <conditionalFormatting sqref="AY7:AY45">
    <cfRule type="cellIs" dxfId="23" priority="3" operator="lessThan">
      <formula>0.4</formula>
    </cfRule>
  </conditionalFormatting>
  <conditionalFormatting sqref="BT7:BT45">
    <cfRule type="cellIs" dxfId="22" priority="4" operator="lessThan">
      <formula>23</formula>
    </cfRule>
    <cfRule type="cellIs" dxfId="21" priority="5" operator="greaterThan">
      <formula>22.99</formula>
    </cfRule>
  </conditionalFormatting>
  <conditionalFormatting sqref="BU7:BU45">
    <cfRule type="cellIs" dxfId="20" priority="6" operator="greaterThan">
      <formula>0</formula>
    </cfRule>
    <cfRule type="cellIs" dxfId="19" priority="7" operator="lessThan">
      <formula>0</formula>
    </cfRule>
  </conditionalFormatting>
  <conditionalFormatting sqref="BV7:BV46">
    <cfRule type="cellIs" dxfId="18" priority="8" operator="greaterThan">
      <formula>0</formula>
    </cfRule>
    <cfRule type="cellIs" dxfId="17" priority="9" operator="lessThan">
      <formula>0</formula>
    </cfRule>
  </conditionalFormatting>
  <conditionalFormatting sqref="CA7:CD45">
    <cfRule type="cellIs" dxfId="16" priority="12" operator="greaterThan">
      <formula>2.99%</formula>
    </cfRule>
  </conditionalFormatting>
  <conditionalFormatting sqref="CA7:CD45">
    <cfRule type="cellIs" dxfId="15" priority="13" operator="lessThan">
      <formula>3%</formula>
    </cfRule>
  </conditionalFormatting>
  <conditionalFormatting sqref="CE7:CF45">
    <cfRule type="cellIs" dxfId="14" priority="10" operator="greaterThan">
      <formula>0</formula>
    </cfRule>
    <cfRule type="cellIs" dxfId="13" priority="11" operator="lessThan">
      <formula>0</formula>
    </cfRule>
  </conditionalFormatting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  <pageSetUpPr fitToPage="1"/>
  </sheetPr>
  <dimension ref="A1:CK43"/>
  <sheetViews>
    <sheetView workbookViewId="0">
      <pane xSplit="3" topLeftCell="D1" activePane="topRight" state="frozen"/>
      <selection pane="topRight" activeCell="E2" sqref="E2"/>
    </sheetView>
  </sheetViews>
  <sheetFormatPr defaultColWidth="14.453125" defaultRowHeight="15" customHeight="1" outlineLevelCol="1" x14ac:dyDescent="0.35"/>
  <cols>
    <col min="1" max="2" width="14.453125" hidden="1" outlineLevel="1"/>
    <col min="3" max="3" width="14.453125" outlineLevel="1"/>
    <col min="4" max="33" width="14.453125" hidden="1"/>
    <col min="34" max="34" width="14.08984375" hidden="1" customWidth="1"/>
    <col min="35" max="49" width="14.453125" hidden="1"/>
    <col min="53" max="56" width="14.453125" hidden="1"/>
    <col min="60" max="61" width="14.453125" hidden="1"/>
    <col min="63" max="63" width="14.453125" hidden="1"/>
    <col min="65" max="69" width="14.453125" hidden="1"/>
    <col min="74" max="79" width="14.453125" hidden="1"/>
  </cols>
  <sheetData>
    <row r="1" spans="1:89" x14ac:dyDescent="0.35">
      <c r="A1" s="150" t="s">
        <v>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2" t="s">
        <v>0</v>
      </c>
      <c r="BP1" s="151"/>
      <c r="BQ1" s="151"/>
      <c r="BR1" s="151"/>
      <c r="BS1" s="151"/>
      <c r="BT1" s="151"/>
      <c r="BU1" s="151"/>
      <c r="BV1" s="151"/>
      <c r="BW1" s="151"/>
      <c r="BX1" s="151"/>
      <c r="BY1" s="151"/>
      <c r="BZ1" s="151"/>
      <c r="CA1" s="151"/>
      <c r="CB1" s="151"/>
      <c r="CC1" s="151"/>
      <c r="CD1" s="151"/>
      <c r="CE1" s="151"/>
      <c r="CF1" s="151"/>
      <c r="CG1" s="151"/>
      <c r="CH1" s="153"/>
      <c r="CI1" s="154"/>
      <c r="CJ1" s="154"/>
      <c r="CK1" s="141"/>
    </row>
    <row r="2" spans="1:89" x14ac:dyDescent="0.35">
      <c r="A2" s="155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AX2" s="156"/>
      <c r="AY2" s="156"/>
      <c r="AZ2" s="156"/>
      <c r="BA2" s="156"/>
      <c r="BB2" s="156"/>
      <c r="BC2" s="156"/>
      <c r="BD2" s="156"/>
      <c r="BE2" s="156"/>
      <c r="BF2" s="156"/>
      <c r="BG2" s="156"/>
      <c r="BH2" s="156"/>
      <c r="BI2" s="156"/>
      <c r="BJ2" s="156"/>
      <c r="BK2" s="156"/>
      <c r="BL2" s="156"/>
      <c r="BM2" s="156"/>
      <c r="BN2" s="156"/>
      <c r="BO2" s="156"/>
      <c r="BP2" s="156"/>
      <c r="BQ2" s="156"/>
      <c r="BR2" s="156"/>
      <c r="BS2" s="156"/>
      <c r="BT2" s="156"/>
      <c r="BU2" s="156"/>
      <c r="BV2" s="156"/>
      <c r="BW2" s="156"/>
      <c r="BX2" s="156"/>
      <c r="BY2" s="156"/>
      <c r="BZ2" s="156"/>
      <c r="CA2" s="156"/>
      <c r="CB2" s="156"/>
      <c r="CC2" s="156"/>
      <c r="CD2" s="156"/>
      <c r="CE2" s="156"/>
      <c r="CF2" s="156"/>
      <c r="CG2" s="156"/>
      <c r="CH2" s="158"/>
      <c r="CI2" s="154"/>
      <c r="CJ2" s="154"/>
      <c r="CK2" s="141"/>
    </row>
    <row r="3" spans="1:89" x14ac:dyDescent="0.35">
      <c r="A3" s="159" t="s">
        <v>10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1" t="s">
        <v>109</v>
      </c>
      <c r="BS3" s="160"/>
      <c r="BT3" s="160" t="s">
        <v>250</v>
      </c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2"/>
      <c r="CI3" s="163"/>
      <c r="CJ3" s="163"/>
      <c r="CK3" s="141"/>
    </row>
    <row r="4" spans="1:89" x14ac:dyDescent="0.35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6"/>
      <c r="CI4" s="163"/>
      <c r="CJ4" s="163"/>
      <c r="CK4" s="141"/>
    </row>
    <row r="5" spans="1:89" x14ac:dyDescent="0.35">
      <c r="A5" s="167"/>
      <c r="B5" s="167"/>
      <c r="C5" s="167"/>
      <c r="D5" s="167"/>
      <c r="E5" s="168"/>
      <c r="F5" s="434" t="s">
        <v>16</v>
      </c>
      <c r="G5" s="406"/>
      <c r="H5" s="168"/>
      <c r="I5" s="434" t="s">
        <v>16</v>
      </c>
      <c r="J5" s="406"/>
      <c r="K5" s="169"/>
      <c r="L5" s="434" t="s">
        <v>16</v>
      </c>
      <c r="M5" s="406"/>
      <c r="N5" s="169"/>
      <c r="O5" s="434" t="s">
        <v>16</v>
      </c>
      <c r="P5" s="406"/>
      <c r="Q5" s="169"/>
      <c r="R5" s="434" t="s">
        <v>16</v>
      </c>
      <c r="S5" s="406"/>
      <c r="T5" s="169"/>
      <c r="U5" s="170"/>
      <c r="V5" s="169"/>
      <c r="W5" s="434" t="s">
        <v>16</v>
      </c>
      <c r="X5" s="406"/>
      <c r="Y5" s="169"/>
      <c r="Z5" s="434" t="s">
        <v>16</v>
      </c>
      <c r="AA5" s="406"/>
      <c r="AB5" s="169"/>
      <c r="AC5" s="434" t="s">
        <v>16</v>
      </c>
      <c r="AD5" s="406"/>
      <c r="AE5" s="169"/>
      <c r="AF5" s="434" t="s">
        <v>16</v>
      </c>
      <c r="AG5" s="406"/>
      <c r="AH5" s="169"/>
      <c r="AI5" s="434" t="s">
        <v>16</v>
      </c>
      <c r="AJ5" s="406"/>
      <c r="AK5" s="169"/>
      <c r="AL5" s="432" t="s">
        <v>17</v>
      </c>
      <c r="AM5" s="406"/>
      <c r="AN5" s="406"/>
      <c r="AO5" s="169"/>
      <c r="AP5" s="435" t="s">
        <v>17</v>
      </c>
      <c r="AQ5" s="406"/>
      <c r="AR5" s="169"/>
      <c r="AS5" s="435" t="s">
        <v>17</v>
      </c>
      <c r="AT5" s="406"/>
      <c r="AU5" s="169"/>
      <c r="AV5" s="172" t="s">
        <v>18</v>
      </c>
      <c r="AW5" s="173"/>
      <c r="AX5" s="432" t="s">
        <v>19</v>
      </c>
      <c r="AY5" s="406"/>
      <c r="AZ5" s="406"/>
      <c r="BA5" s="406"/>
      <c r="BB5" s="406"/>
      <c r="BC5" s="406"/>
      <c r="BD5" s="406"/>
      <c r="BE5" s="169"/>
      <c r="BF5" s="174"/>
      <c r="BG5" s="432" t="s">
        <v>19</v>
      </c>
      <c r="BH5" s="406"/>
      <c r="BI5" s="406"/>
      <c r="BJ5" s="406"/>
      <c r="BK5" s="406"/>
      <c r="BL5" s="406"/>
      <c r="BM5" s="406"/>
      <c r="BN5" s="406"/>
      <c r="BO5" s="406"/>
      <c r="BP5" s="406"/>
      <c r="BQ5" s="175"/>
      <c r="BR5" s="167"/>
      <c r="BS5" s="433" t="s">
        <v>21</v>
      </c>
      <c r="BT5" s="406"/>
      <c r="BU5" s="406"/>
      <c r="BV5" s="167"/>
      <c r="BW5" s="167"/>
      <c r="BX5" s="167"/>
      <c r="BY5" s="167"/>
      <c r="BZ5" s="167"/>
      <c r="CA5" s="167"/>
      <c r="CB5" s="167"/>
      <c r="CC5" s="432" t="s">
        <v>19</v>
      </c>
      <c r="CD5" s="406"/>
      <c r="CE5" s="406"/>
      <c r="CF5" s="406"/>
      <c r="CG5" s="406"/>
      <c r="CH5" s="406"/>
      <c r="CI5" s="176"/>
      <c r="CJ5" s="176"/>
      <c r="CK5" s="141"/>
    </row>
    <row r="6" spans="1:89" x14ac:dyDescent="0.35">
      <c r="A6" s="436" t="s">
        <v>22</v>
      </c>
      <c r="B6" s="437" t="s">
        <v>23</v>
      </c>
      <c r="C6" s="430" t="s">
        <v>24</v>
      </c>
      <c r="D6" s="430" t="s">
        <v>26</v>
      </c>
      <c r="E6" s="438" t="s">
        <v>27</v>
      </c>
      <c r="F6" s="415"/>
      <c r="G6" s="415"/>
      <c r="H6" s="439" t="s">
        <v>28</v>
      </c>
      <c r="I6" s="406"/>
      <c r="J6" s="407"/>
      <c r="K6" s="439" t="s">
        <v>29</v>
      </c>
      <c r="L6" s="406"/>
      <c r="M6" s="407"/>
      <c r="N6" s="439" t="s">
        <v>30</v>
      </c>
      <c r="O6" s="406"/>
      <c r="P6" s="407"/>
      <c r="Q6" s="439" t="s">
        <v>31</v>
      </c>
      <c r="R6" s="406"/>
      <c r="S6" s="407"/>
      <c r="T6" s="439" t="s">
        <v>32</v>
      </c>
      <c r="U6" s="407"/>
      <c r="V6" s="439" t="s">
        <v>33</v>
      </c>
      <c r="W6" s="406"/>
      <c r="X6" s="407"/>
      <c r="Y6" s="439" t="s">
        <v>34</v>
      </c>
      <c r="Z6" s="406"/>
      <c r="AA6" s="407"/>
      <c r="AB6" s="439" t="s">
        <v>35</v>
      </c>
      <c r="AC6" s="406"/>
      <c r="AD6" s="407"/>
      <c r="AE6" s="439" t="s">
        <v>36</v>
      </c>
      <c r="AF6" s="406"/>
      <c r="AG6" s="407"/>
      <c r="AH6" s="439" t="s">
        <v>37</v>
      </c>
      <c r="AI6" s="406"/>
      <c r="AJ6" s="407"/>
      <c r="AK6" s="439" t="s">
        <v>251</v>
      </c>
      <c r="AL6" s="406"/>
      <c r="AM6" s="406"/>
      <c r="AN6" s="440" t="s">
        <v>40</v>
      </c>
      <c r="AO6" s="177"/>
      <c r="AP6" s="177"/>
      <c r="AQ6" s="177"/>
      <c r="AR6" s="177"/>
      <c r="AS6" s="177"/>
      <c r="AT6" s="177"/>
      <c r="AU6" s="441" t="s">
        <v>41</v>
      </c>
      <c r="AV6" s="440" t="s">
        <v>42</v>
      </c>
      <c r="AW6" s="178"/>
      <c r="AX6" s="442" t="s">
        <v>43</v>
      </c>
      <c r="AY6" s="443" t="s">
        <v>44</v>
      </c>
      <c r="AZ6" s="443" t="s">
        <v>45</v>
      </c>
      <c r="BA6" s="443" t="s">
        <v>46</v>
      </c>
      <c r="BB6" s="443" t="s">
        <v>47</v>
      </c>
      <c r="BC6" s="443" t="s">
        <v>48</v>
      </c>
      <c r="BD6" s="443" t="s">
        <v>49</v>
      </c>
      <c r="BE6" s="443" t="s">
        <v>50</v>
      </c>
      <c r="BF6" s="426" t="s">
        <v>51</v>
      </c>
      <c r="BG6" s="426" t="s">
        <v>52</v>
      </c>
      <c r="BH6" s="427" t="s">
        <v>53</v>
      </c>
      <c r="BI6" s="427" t="s">
        <v>54</v>
      </c>
      <c r="BJ6" s="425" t="s">
        <v>55</v>
      </c>
      <c r="BK6" s="425" t="s">
        <v>56</v>
      </c>
      <c r="BL6" s="425" t="s">
        <v>57</v>
      </c>
      <c r="BM6" s="425" t="s">
        <v>58</v>
      </c>
      <c r="BN6" s="425" t="s">
        <v>59</v>
      </c>
      <c r="BO6" s="425" t="s">
        <v>60</v>
      </c>
      <c r="BP6" s="425" t="s">
        <v>62</v>
      </c>
      <c r="BQ6" s="425" t="s">
        <v>63</v>
      </c>
      <c r="BR6" s="425" t="s">
        <v>64</v>
      </c>
      <c r="BS6" s="429" t="s">
        <v>65</v>
      </c>
      <c r="BT6" s="430" t="s">
        <v>8</v>
      </c>
      <c r="BU6" s="430" t="s">
        <v>66</v>
      </c>
      <c r="BV6" s="431" t="s">
        <v>67</v>
      </c>
      <c r="BW6" s="406"/>
      <c r="BX6" s="406"/>
      <c r="BY6" s="406"/>
      <c r="BZ6" s="406"/>
      <c r="CA6" s="406"/>
      <c r="CB6" s="406"/>
      <c r="CC6" s="406"/>
      <c r="CD6" s="406"/>
      <c r="CE6" s="406"/>
      <c r="CF6" s="406"/>
      <c r="CG6" s="407"/>
      <c r="CH6" s="428" t="s">
        <v>113</v>
      </c>
      <c r="CI6" s="428" t="s">
        <v>114</v>
      </c>
      <c r="CJ6" s="179"/>
      <c r="CK6" s="141"/>
    </row>
    <row r="7" spans="1:89" x14ac:dyDescent="0.35">
      <c r="A7" s="378"/>
      <c r="B7" s="378"/>
      <c r="C7" s="378"/>
      <c r="D7" s="378"/>
      <c r="E7" s="180" t="s">
        <v>69</v>
      </c>
      <c r="F7" s="181" t="s">
        <v>70</v>
      </c>
      <c r="G7" s="182" t="s">
        <v>71</v>
      </c>
      <c r="H7" s="183" t="s">
        <v>72</v>
      </c>
      <c r="I7" s="184" t="s">
        <v>70</v>
      </c>
      <c r="J7" s="185" t="s">
        <v>71</v>
      </c>
      <c r="K7" s="186" t="s">
        <v>73</v>
      </c>
      <c r="L7" s="181" t="s">
        <v>70</v>
      </c>
      <c r="M7" s="187" t="s">
        <v>71</v>
      </c>
      <c r="N7" s="180" t="s">
        <v>74</v>
      </c>
      <c r="O7" s="181" t="s">
        <v>70</v>
      </c>
      <c r="P7" s="187" t="s">
        <v>71</v>
      </c>
      <c r="Q7" s="180" t="s">
        <v>31</v>
      </c>
      <c r="R7" s="181" t="s">
        <v>70</v>
      </c>
      <c r="S7" s="187" t="s">
        <v>71</v>
      </c>
      <c r="T7" s="180" t="s">
        <v>75</v>
      </c>
      <c r="U7" s="187" t="s">
        <v>71</v>
      </c>
      <c r="V7" s="180" t="s">
        <v>76</v>
      </c>
      <c r="W7" s="181" t="s">
        <v>70</v>
      </c>
      <c r="X7" s="187" t="s">
        <v>71</v>
      </c>
      <c r="Y7" s="180" t="s">
        <v>77</v>
      </c>
      <c r="Z7" s="181" t="s">
        <v>70</v>
      </c>
      <c r="AA7" s="187" t="s">
        <v>71</v>
      </c>
      <c r="AB7" s="180" t="s">
        <v>79</v>
      </c>
      <c r="AC7" s="181" t="s">
        <v>70</v>
      </c>
      <c r="AD7" s="187" t="s">
        <v>71</v>
      </c>
      <c r="AE7" s="188" t="s">
        <v>80</v>
      </c>
      <c r="AF7" s="181" t="s">
        <v>70</v>
      </c>
      <c r="AG7" s="187" t="s">
        <v>71</v>
      </c>
      <c r="AH7" s="180" t="s">
        <v>82</v>
      </c>
      <c r="AI7" s="181" t="s">
        <v>70</v>
      </c>
      <c r="AJ7" s="187" t="s">
        <v>71</v>
      </c>
      <c r="AK7" s="180" t="s">
        <v>83</v>
      </c>
      <c r="AL7" s="181" t="s">
        <v>70</v>
      </c>
      <c r="AM7" s="182" t="s">
        <v>71</v>
      </c>
      <c r="AN7" s="378"/>
      <c r="AO7" s="183" t="s">
        <v>84</v>
      </c>
      <c r="AP7" s="184" t="s">
        <v>85</v>
      </c>
      <c r="AQ7" s="185" t="s">
        <v>86</v>
      </c>
      <c r="AR7" s="183" t="s">
        <v>87</v>
      </c>
      <c r="AS7" s="184" t="s">
        <v>88</v>
      </c>
      <c r="AT7" s="185" t="s">
        <v>86</v>
      </c>
      <c r="AU7" s="378"/>
      <c r="AV7" s="378"/>
      <c r="AW7" s="189" t="s">
        <v>89</v>
      </c>
      <c r="AX7" s="420"/>
      <c r="AY7" s="378"/>
      <c r="AZ7" s="378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190" t="s">
        <v>90</v>
      </c>
      <c r="BW7" s="190" t="s">
        <v>91</v>
      </c>
      <c r="BX7" s="190" t="s">
        <v>92</v>
      </c>
      <c r="BY7" s="190" t="s">
        <v>93</v>
      </c>
      <c r="BZ7" s="190" t="s">
        <v>55</v>
      </c>
      <c r="CA7" s="191" t="s">
        <v>57</v>
      </c>
      <c r="CB7" s="190" t="s">
        <v>59</v>
      </c>
      <c r="CC7" s="192" t="s">
        <v>90</v>
      </c>
      <c r="CD7" s="192" t="s">
        <v>91</v>
      </c>
      <c r="CE7" s="192" t="s">
        <v>92</v>
      </c>
      <c r="CF7" s="192" t="s">
        <v>93</v>
      </c>
      <c r="CG7" s="192" t="s">
        <v>55</v>
      </c>
      <c r="CH7" s="378"/>
      <c r="CI7" s="378"/>
      <c r="CJ7" s="179"/>
      <c r="CK7" s="141"/>
    </row>
    <row r="8" spans="1:89" x14ac:dyDescent="0.35">
      <c r="A8" s="193"/>
      <c r="B8" s="194">
        <v>3</v>
      </c>
      <c r="C8" s="195" t="s">
        <v>212</v>
      </c>
      <c r="D8" s="196"/>
      <c r="E8" s="197"/>
      <c r="F8" s="198">
        <v>40</v>
      </c>
      <c r="G8" s="171">
        <f t="shared" ref="G8:G15" si="0">SUM(E8*F8)</f>
        <v>0</v>
      </c>
      <c r="H8" s="199">
        <v>10501</v>
      </c>
      <c r="I8" s="200">
        <v>50</v>
      </c>
      <c r="J8" s="171">
        <f t="shared" ref="J8:J15" si="1">I8*H8</f>
        <v>525050</v>
      </c>
      <c r="K8" s="197"/>
      <c r="L8" s="198">
        <v>60</v>
      </c>
      <c r="M8" s="171">
        <f t="shared" ref="M8:M15" si="2">L8*K8</f>
        <v>0</v>
      </c>
      <c r="N8" s="199">
        <v>2883</v>
      </c>
      <c r="O8" s="198">
        <v>15</v>
      </c>
      <c r="P8" s="171">
        <f t="shared" ref="P8:P15" si="3">N8*O8</f>
        <v>43245</v>
      </c>
      <c r="Q8" s="199">
        <v>2580</v>
      </c>
      <c r="R8" s="201">
        <v>12</v>
      </c>
      <c r="S8" s="171">
        <f t="shared" ref="S8:S15" si="4">Q8*R8</f>
        <v>30960</v>
      </c>
      <c r="T8" s="199">
        <v>857</v>
      </c>
      <c r="U8" s="171">
        <f t="shared" ref="U8:U15" si="5">T8*8</f>
        <v>6856</v>
      </c>
      <c r="V8" s="199">
        <v>458</v>
      </c>
      <c r="W8" s="198">
        <v>12</v>
      </c>
      <c r="X8" s="171">
        <f t="shared" ref="X8:X15" si="6">V8*W8</f>
        <v>5496</v>
      </c>
      <c r="Y8" s="199">
        <v>1075</v>
      </c>
      <c r="Z8" s="198">
        <v>10</v>
      </c>
      <c r="AA8" s="171">
        <f t="shared" ref="AA8:AA15" si="7">Y8*Z8</f>
        <v>10750</v>
      </c>
      <c r="AB8" s="199">
        <v>405</v>
      </c>
      <c r="AC8" s="198">
        <v>25</v>
      </c>
      <c r="AD8" s="171">
        <f t="shared" ref="AD8:AD15" si="8">AB8*AC8</f>
        <v>10125</v>
      </c>
      <c r="AE8" s="197"/>
      <c r="AF8" s="198">
        <v>7.5</v>
      </c>
      <c r="AG8" s="171">
        <f t="shared" ref="AG8:AG15" si="9">AE8*AF8</f>
        <v>0</v>
      </c>
      <c r="AH8" s="197"/>
      <c r="AI8" s="200">
        <v>15</v>
      </c>
      <c r="AJ8" s="171">
        <f t="shared" ref="AJ8:AJ15" si="10">AH8*AI8</f>
        <v>0</v>
      </c>
      <c r="AK8" s="199">
        <v>244</v>
      </c>
      <c r="AL8" s="198">
        <v>10</v>
      </c>
      <c r="AM8" s="171">
        <f t="shared" ref="AM8:AM15" si="11">AK8*AL8</f>
        <v>2440</v>
      </c>
      <c r="AN8" s="199">
        <f t="shared" ref="AN8:AN15" si="12">Q8+T8+V8+Y8+AB8+AE8+AK8</f>
        <v>5619</v>
      </c>
      <c r="AO8" s="197"/>
      <c r="AP8" s="203"/>
      <c r="AQ8" s="197"/>
      <c r="AR8" s="197"/>
      <c r="AS8" s="203"/>
      <c r="AT8" s="197"/>
      <c r="AU8" s="197"/>
      <c r="AV8" s="199">
        <v>1230</v>
      </c>
      <c r="AW8" s="197"/>
      <c r="AX8" s="204">
        <f t="shared" ref="AX8:AX15" si="13">N8/(H8+E8+K8)</f>
        <v>0.27454528140177126</v>
      </c>
      <c r="AY8" s="205">
        <f t="shared" ref="AY8:AY15" si="14">AN8/(H8+E8+K8)</f>
        <v>0.53509189600990381</v>
      </c>
      <c r="AZ8" s="205">
        <f t="shared" ref="AZ8:AZ15" si="15">AV8/N8</f>
        <v>0.42663891779396462</v>
      </c>
      <c r="BA8" s="171">
        <f t="shared" ref="BA8:BA15" si="16">G8+U8+X8+AA8+AD8+S8+J8+M8</f>
        <v>589237</v>
      </c>
      <c r="BB8" s="171">
        <f t="shared" ref="BB8:BB15" si="17">G8+AD8+S8+J8+M8</f>
        <v>566135</v>
      </c>
      <c r="BC8" s="171">
        <f t="shared" ref="BC8:BC15" si="18">G8+U8+X8+AA8+AD8+S8+J8+M8</f>
        <v>589237</v>
      </c>
      <c r="BD8" s="171">
        <f t="shared" ref="BD8:BD15" si="19">G8+U8+X8+AA8+AD8+AG8+S8+J8+M8</f>
        <v>589237</v>
      </c>
      <c r="BE8" s="206">
        <v>665187</v>
      </c>
      <c r="BF8" s="207">
        <v>437699.23</v>
      </c>
      <c r="BG8" s="208">
        <f t="shared" ref="BG8:BG15" si="20">+BF8/BE8%</f>
        <v>65.80092966338789</v>
      </c>
      <c r="BH8" s="209"/>
      <c r="BI8" s="210">
        <f t="shared" ref="BI8:BI15" si="21">SUM(CC8+CD8+CE8+CF8)</f>
        <v>6.9228652995323117E-2</v>
      </c>
      <c r="BJ8" s="211">
        <v>45787</v>
      </c>
      <c r="BK8" s="208">
        <f t="shared" ref="BK8:BK15" si="22">+BR8/BJ8</f>
        <v>3.0698180706314022</v>
      </c>
      <c r="BL8" s="211">
        <v>375</v>
      </c>
      <c r="BM8" s="208">
        <f t="shared" ref="BM8:BM15" si="23">+BR8/BL8</f>
        <v>374.82069333333334</v>
      </c>
      <c r="BN8" s="203"/>
      <c r="BO8" s="208" t="e">
        <f t="shared" ref="BO8:BO15" si="24">+BR8/BN8</f>
        <v>#DIV/0!</v>
      </c>
      <c r="BP8" s="203"/>
      <c r="BQ8" s="208" t="e">
        <f t="shared" ref="BQ8:BQ15" si="25">+BR8/BP8</f>
        <v>#DIV/0!</v>
      </c>
      <c r="BR8" s="212">
        <v>140557.76000000001</v>
      </c>
      <c r="BS8" s="213">
        <f t="shared" ref="BS8:BS15" si="26">+BR8/BE8%</f>
        <v>21.130563285211529</v>
      </c>
      <c r="BT8" s="214">
        <f t="shared" ref="BT8:BT15" si="27">SUM(BE8-BF8-BR8)</f>
        <v>86930.010000000009</v>
      </c>
      <c r="BU8" s="215">
        <f t="shared" ref="BU8:BU15" si="28">+BT8/BE8%</f>
        <v>13.068507051400585</v>
      </c>
      <c r="BV8" s="171">
        <v>16260</v>
      </c>
      <c r="BW8" s="171">
        <v>9546</v>
      </c>
      <c r="BX8" s="171">
        <v>15114</v>
      </c>
      <c r="BY8" s="171">
        <v>5130</v>
      </c>
      <c r="BZ8" s="203"/>
      <c r="CA8" s="203"/>
      <c r="CB8" s="171">
        <v>16500</v>
      </c>
      <c r="CC8" s="216">
        <f t="shared" ref="CC8:CC15" si="29">BV8/BE8</f>
        <v>2.4444254021801389E-2</v>
      </c>
      <c r="CD8" s="216">
        <f t="shared" ref="CD8:CD15" si="30">BW8/BE8</f>
        <v>1.4350851715382291E-2</v>
      </c>
      <c r="CE8" s="216">
        <f t="shared" ref="CE8:CE15" si="31">BX8/BE8</f>
        <v>2.2721430214360773E-2</v>
      </c>
      <c r="CF8" s="216">
        <f t="shared" ref="CF8:CF15" si="32">BY8/BE8</f>
        <v>7.7121170437786666E-3</v>
      </c>
      <c r="CG8" s="216">
        <f t="shared" ref="CG8:CG15" si="33">BZ8/BE8</f>
        <v>0</v>
      </c>
      <c r="CH8" s="217">
        <f t="shared" ref="CH8:CH15" si="34">+BT8*10%</f>
        <v>8693.001000000002</v>
      </c>
      <c r="CI8" s="217">
        <f t="shared" ref="CI8:CI15" si="35">BT8*90%</f>
        <v>78237.009000000005</v>
      </c>
      <c r="CJ8" s="218"/>
      <c r="CK8" s="141"/>
    </row>
    <row r="9" spans="1:89" x14ac:dyDescent="0.35">
      <c r="A9" s="193"/>
      <c r="B9" s="219">
        <v>4</v>
      </c>
      <c r="C9" s="195" t="s">
        <v>9</v>
      </c>
      <c r="D9" s="196"/>
      <c r="E9" s="197"/>
      <c r="F9" s="198">
        <v>40</v>
      </c>
      <c r="G9" s="171">
        <f t="shared" si="0"/>
        <v>0</v>
      </c>
      <c r="H9" s="199">
        <v>10756</v>
      </c>
      <c r="I9" s="200">
        <v>50</v>
      </c>
      <c r="J9" s="171">
        <f t="shared" si="1"/>
        <v>537800</v>
      </c>
      <c r="K9" s="197"/>
      <c r="L9" s="198">
        <v>60</v>
      </c>
      <c r="M9" s="171">
        <f t="shared" si="2"/>
        <v>0</v>
      </c>
      <c r="N9" s="199">
        <v>3758</v>
      </c>
      <c r="O9" s="198">
        <v>15</v>
      </c>
      <c r="P9" s="171">
        <f t="shared" si="3"/>
        <v>56370</v>
      </c>
      <c r="Q9" s="199">
        <v>1450</v>
      </c>
      <c r="R9" s="201">
        <v>12</v>
      </c>
      <c r="S9" s="171">
        <f t="shared" si="4"/>
        <v>17400</v>
      </c>
      <c r="T9" s="199">
        <v>940</v>
      </c>
      <c r="U9" s="171">
        <f t="shared" si="5"/>
        <v>7520</v>
      </c>
      <c r="V9" s="199">
        <v>412</v>
      </c>
      <c r="W9" s="198">
        <v>12</v>
      </c>
      <c r="X9" s="171">
        <f t="shared" si="6"/>
        <v>4944</v>
      </c>
      <c r="Y9" s="199">
        <v>1031</v>
      </c>
      <c r="Z9" s="198">
        <v>10</v>
      </c>
      <c r="AA9" s="171">
        <f t="shared" si="7"/>
        <v>10310</v>
      </c>
      <c r="AB9" s="199">
        <v>260</v>
      </c>
      <c r="AC9" s="198">
        <v>25</v>
      </c>
      <c r="AD9" s="171">
        <f t="shared" si="8"/>
        <v>6500</v>
      </c>
      <c r="AE9" s="197"/>
      <c r="AF9" s="198">
        <v>7.5</v>
      </c>
      <c r="AG9" s="171">
        <f t="shared" si="9"/>
        <v>0</v>
      </c>
      <c r="AH9" s="199">
        <v>249</v>
      </c>
      <c r="AI9" s="200">
        <v>15</v>
      </c>
      <c r="AJ9" s="171">
        <f t="shared" si="10"/>
        <v>3735</v>
      </c>
      <c r="AK9" s="199">
        <v>249</v>
      </c>
      <c r="AL9" s="198">
        <v>10</v>
      </c>
      <c r="AM9" s="171">
        <f t="shared" si="11"/>
        <v>2490</v>
      </c>
      <c r="AN9" s="199">
        <f t="shared" si="12"/>
        <v>4342</v>
      </c>
      <c r="AO9" s="197"/>
      <c r="AP9" s="203"/>
      <c r="AQ9" s="197"/>
      <c r="AR9" s="197"/>
      <c r="AS9" s="203"/>
      <c r="AT9" s="197"/>
      <c r="AU9" s="197"/>
      <c r="AV9" s="199">
        <f>507+783+72+126+169+77</f>
        <v>1734</v>
      </c>
      <c r="AW9" s="197"/>
      <c r="AX9" s="204">
        <f t="shared" si="13"/>
        <v>0.34938638899219043</v>
      </c>
      <c r="AY9" s="205">
        <f t="shared" si="14"/>
        <v>0.40368166604685757</v>
      </c>
      <c r="AZ9" s="205">
        <f t="shared" si="15"/>
        <v>0.46141564662054285</v>
      </c>
      <c r="BA9" s="171">
        <f t="shared" si="16"/>
        <v>584474</v>
      </c>
      <c r="BB9" s="171">
        <f t="shared" si="17"/>
        <v>561700</v>
      </c>
      <c r="BC9" s="171">
        <f t="shared" si="18"/>
        <v>584474</v>
      </c>
      <c r="BD9" s="171">
        <f t="shared" si="19"/>
        <v>584474</v>
      </c>
      <c r="BE9" s="206">
        <v>684706</v>
      </c>
      <c r="BF9" s="207">
        <v>448274.89</v>
      </c>
      <c r="BG9" s="208">
        <f t="shared" si="20"/>
        <v>65.469689180465778</v>
      </c>
      <c r="BH9" s="209"/>
      <c r="BI9" s="210">
        <f t="shared" si="21"/>
        <v>7.7929797606563989E-2</v>
      </c>
      <c r="BJ9" s="211">
        <v>40900</v>
      </c>
      <c r="BK9" s="208">
        <f t="shared" si="22"/>
        <v>4.2503278728606357</v>
      </c>
      <c r="BL9" s="211">
        <v>437.5</v>
      </c>
      <c r="BM9" s="208">
        <f t="shared" si="23"/>
        <v>397.34493714285713</v>
      </c>
      <c r="BN9" s="203"/>
      <c r="BO9" s="208" t="e">
        <f t="shared" si="24"/>
        <v>#DIV/0!</v>
      </c>
      <c r="BP9" s="203"/>
      <c r="BQ9" s="208" t="e">
        <f t="shared" si="25"/>
        <v>#DIV/0!</v>
      </c>
      <c r="BR9" s="212">
        <v>173838.41</v>
      </c>
      <c r="BS9" s="220">
        <f t="shared" si="26"/>
        <v>25.388766857600196</v>
      </c>
      <c r="BT9" s="214">
        <f t="shared" si="27"/>
        <v>62592.699999999983</v>
      </c>
      <c r="BU9" s="215">
        <f t="shared" si="28"/>
        <v>9.1415439619340244</v>
      </c>
      <c r="BV9" s="171">
        <v>22084</v>
      </c>
      <c r="BW9" s="171">
        <v>14319</v>
      </c>
      <c r="BX9" s="171">
        <v>12366</v>
      </c>
      <c r="BY9" s="171">
        <v>4590</v>
      </c>
      <c r="BZ9" s="203"/>
      <c r="CA9" s="203"/>
      <c r="CB9" s="171">
        <v>33075</v>
      </c>
      <c r="CC9" s="221">
        <f t="shared" si="29"/>
        <v>3.2253259063013906E-2</v>
      </c>
      <c r="CD9" s="216">
        <f t="shared" si="30"/>
        <v>2.09126252727448E-2</v>
      </c>
      <c r="CE9" s="216">
        <f t="shared" si="31"/>
        <v>1.8060306175205123E-2</v>
      </c>
      <c r="CF9" s="216">
        <f t="shared" si="32"/>
        <v>6.7036070956001557E-3</v>
      </c>
      <c r="CG9" s="216">
        <f t="shared" si="33"/>
        <v>0</v>
      </c>
      <c r="CH9" s="217">
        <f t="shared" si="34"/>
        <v>6259.2699999999986</v>
      </c>
      <c r="CI9" s="217">
        <f t="shared" si="35"/>
        <v>56333.429999999986</v>
      </c>
      <c r="CJ9" s="218"/>
      <c r="CK9" s="141"/>
    </row>
    <row r="10" spans="1:89" x14ac:dyDescent="0.35">
      <c r="A10" s="193"/>
      <c r="B10" s="219">
        <v>5</v>
      </c>
      <c r="C10" s="195" t="s">
        <v>4</v>
      </c>
      <c r="D10" s="196"/>
      <c r="E10" s="197"/>
      <c r="F10" s="198">
        <v>40</v>
      </c>
      <c r="G10" s="171">
        <f t="shared" si="0"/>
        <v>0</v>
      </c>
      <c r="H10" s="222">
        <v>9049</v>
      </c>
      <c r="I10" s="200">
        <v>50</v>
      </c>
      <c r="J10" s="171">
        <f t="shared" si="1"/>
        <v>452450</v>
      </c>
      <c r="K10" s="197"/>
      <c r="L10" s="198">
        <v>60</v>
      </c>
      <c r="M10" s="171">
        <f t="shared" si="2"/>
        <v>0</v>
      </c>
      <c r="N10" s="222">
        <v>3155</v>
      </c>
      <c r="O10" s="198">
        <v>15</v>
      </c>
      <c r="P10" s="171">
        <f t="shared" si="3"/>
        <v>47325</v>
      </c>
      <c r="Q10" s="222">
        <v>1419</v>
      </c>
      <c r="R10" s="201">
        <v>12</v>
      </c>
      <c r="S10" s="171">
        <f t="shared" si="4"/>
        <v>17028</v>
      </c>
      <c r="T10" s="222">
        <v>1089</v>
      </c>
      <c r="U10" s="171">
        <f t="shared" si="5"/>
        <v>8712</v>
      </c>
      <c r="V10" s="222">
        <v>388</v>
      </c>
      <c r="W10" s="198">
        <v>12</v>
      </c>
      <c r="X10" s="171">
        <f t="shared" si="6"/>
        <v>4656</v>
      </c>
      <c r="Y10" s="222">
        <v>1240</v>
      </c>
      <c r="Z10" s="198">
        <v>10</v>
      </c>
      <c r="AA10" s="171">
        <f t="shared" si="7"/>
        <v>12400</v>
      </c>
      <c r="AB10" s="222">
        <v>230</v>
      </c>
      <c r="AC10" s="198">
        <v>25</v>
      </c>
      <c r="AD10" s="171">
        <f t="shared" si="8"/>
        <v>5750</v>
      </c>
      <c r="AE10" s="197"/>
      <c r="AF10" s="198">
        <v>7.5</v>
      </c>
      <c r="AG10" s="171">
        <f t="shared" si="9"/>
        <v>0</v>
      </c>
      <c r="AH10" s="197"/>
      <c r="AI10" s="200">
        <v>15</v>
      </c>
      <c r="AJ10" s="171">
        <f t="shared" si="10"/>
        <v>0</v>
      </c>
      <c r="AK10" s="222">
        <v>249</v>
      </c>
      <c r="AL10" s="198">
        <v>10</v>
      </c>
      <c r="AM10" s="171">
        <f t="shared" si="11"/>
        <v>2490</v>
      </c>
      <c r="AN10" s="199">
        <f t="shared" si="12"/>
        <v>4615</v>
      </c>
      <c r="AO10" s="197"/>
      <c r="AP10" s="203"/>
      <c r="AQ10" s="197"/>
      <c r="AR10" s="197"/>
      <c r="AS10" s="203"/>
      <c r="AT10" s="197"/>
      <c r="AU10" s="197"/>
      <c r="AV10" s="222">
        <v>1438</v>
      </c>
      <c r="AW10" s="197"/>
      <c r="AX10" s="204">
        <f t="shared" si="13"/>
        <v>0.34865731020002211</v>
      </c>
      <c r="AY10" s="205">
        <f t="shared" si="14"/>
        <v>0.5100011050944856</v>
      </c>
      <c r="AZ10" s="205">
        <f t="shared" si="15"/>
        <v>0.45578446909667197</v>
      </c>
      <c r="BA10" s="171">
        <f t="shared" si="16"/>
        <v>500996</v>
      </c>
      <c r="BB10" s="171">
        <f t="shared" si="17"/>
        <v>475228</v>
      </c>
      <c r="BC10" s="171">
        <f t="shared" si="18"/>
        <v>500996</v>
      </c>
      <c r="BD10" s="171">
        <f t="shared" si="19"/>
        <v>500996</v>
      </c>
      <c r="BE10" s="206">
        <v>584876</v>
      </c>
      <c r="BF10" s="207">
        <v>381559.3</v>
      </c>
      <c r="BG10" s="208">
        <f t="shared" si="20"/>
        <v>65.237640115169711</v>
      </c>
      <c r="BH10" s="209"/>
      <c r="BI10" s="210">
        <f t="shared" si="21"/>
        <v>6.7781888810619695E-2</v>
      </c>
      <c r="BJ10" s="211">
        <v>40350</v>
      </c>
      <c r="BK10" s="208">
        <f t="shared" si="22"/>
        <v>3.3206750929368027</v>
      </c>
      <c r="BL10" s="211">
        <v>125</v>
      </c>
      <c r="BM10" s="208">
        <f t="shared" si="23"/>
        <v>1071.91392</v>
      </c>
      <c r="BN10" s="203"/>
      <c r="BO10" s="208" t="e">
        <f t="shared" si="24"/>
        <v>#DIV/0!</v>
      </c>
      <c r="BP10" s="203"/>
      <c r="BQ10" s="208" t="e">
        <f t="shared" si="25"/>
        <v>#DIV/0!</v>
      </c>
      <c r="BR10" s="212">
        <v>133989.24</v>
      </c>
      <c r="BS10" s="213">
        <f t="shared" si="26"/>
        <v>22.908999514426988</v>
      </c>
      <c r="BT10" s="214">
        <f t="shared" si="27"/>
        <v>69327.460000000021</v>
      </c>
      <c r="BU10" s="215">
        <f t="shared" si="28"/>
        <v>11.853360370403303</v>
      </c>
      <c r="BV10" s="171">
        <v>12578</v>
      </c>
      <c r="BW10" s="171">
        <v>9546</v>
      </c>
      <c r="BX10" s="171">
        <v>13740</v>
      </c>
      <c r="BY10" s="171">
        <v>3780</v>
      </c>
      <c r="BZ10" s="203"/>
      <c r="CA10" s="203"/>
      <c r="CB10" s="171">
        <v>20000</v>
      </c>
      <c r="CC10" s="216">
        <f t="shared" si="29"/>
        <v>2.1505413113206903E-2</v>
      </c>
      <c r="CD10" s="216">
        <f t="shared" si="30"/>
        <v>1.6321408298511138E-2</v>
      </c>
      <c r="CE10" s="216">
        <f t="shared" si="31"/>
        <v>2.3492159021741361E-2</v>
      </c>
      <c r="CF10" s="216">
        <f t="shared" si="32"/>
        <v>6.4629083771602872E-3</v>
      </c>
      <c r="CG10" s="216">
        <f t="shared" si="33"/>
        <v>0</v>
      </c>
      <c r="CH10" s="217">
        <f t="shared" si="34"/>
        <v>6932.7460000000028</v>
      </c>
      <c r="CI10" s="217">
        <f t="shared" si="35"/>
        <v>62394.714000000022</v>
      </c>
      <c r="CJ10" s="218"/>
      <c r="CK10" s="141"/>
    </row>
    <row r="11" spans="1:89" x14ac:dyDescent="0.35">
      <c r="A11" s="193"/>
      <c r="B11" s="194">
        <v>7</v>
      </c>
      <c r="C11" s="195" t="s">
        <v>110</v>
      </c>
      <c r="D11" s="196"/>
      <c r="E11" s="197"/>
      <c r="F11" s="198">
        <v>40</v>
      </c>
      <c r="G11" s="171">
        <f t="shared" si="0"/>
        <v>0</v>
      </c>
      <c r="H11" s="199">
        <v>16581</v>
      </c>
      <c r="I11" s="200">
        <v>50</v>
      </c>
      <c r="J11" s="171">
        <f t="shared" si="1"/>
        <v>829050</v>
      </c>
      <c r="K11" s="197"/>
      <c r="L11" s="198">
        <v>60</v>
      </c>
      <c r="M11" s="171">
        <f t="shared" si="2"/>
        <v>0</v>
      </c>
      <c r="N11" s="199">
        <v>4790</v>
      </c>
      <c r="O11" s="198">
        <v>15</v>
      </c>
      <c r="P11" s="171">
        <f t="shared" si="3"/>
        <v>71850</v>
      </c>
      <c r="Q11" s="197"/>
      <c r="R11" s="201">
        <v>12</v>
      </c>
      <c r="S11" s="171">
        <f t="shared" si="4"/>
        <v>0</v>
      </c>
      <c r="T11" s="199">
        <v>1231</v>
      </c>
      <c r="U11" s="171">
        <f t="shared" si="5"/>
        <v>9848</v>
      </c>
      <c r="V11" s="199">
        <v>453</v>
      </c>
      <c r="W11" s="198">
        <v>12</v>
      </c>
      <c r="X11" s="171">
        <f t="shared" si="6"/>
        <v>5436</v>
      </c>
      <c r="Y11" s="199">
        <v>1370</v>
      </c>
      <c r="Z11" s="198">
        <v>10</v>
      </c>
      <c r="AA11" s="171">
        <f t="shared" si="7"/>
        <v>13700</v>
      </c>
      <c r="AB11" s="199">
        <v>367</v>
      </c>
      <c r="AC11" s="198">
        <v>25</v>
      </c>
      <c r="AD11" s="171">
        <f t="shared" si="8"/>
        <v>9175</v>
      </c>
      <c r="AE11" s="197"/>
      <c r="AF11" s="198">
        <v>7.5</v>
      </c>
      <c r="AG11" s="171">
        <f t="shared" si="9"/>
        <v>0</v>
      </c>
      <c r="AH11" s="197"/>
      <c r="AI11" s="200">
        <v>15</v>
      </c>
      <c r="AJ11" s="171">
        <f t="shared" si="10"/>
        <v>0</v>
      </c>
      <c r="AK11" s="199">
        <v>344</v>
      </c>
      <c r="AL11" s="198">
        <v>10</v>
      </c>
      <c r="AM11" s="171">
        <f t="shared" si="11"/>
        <v>3440</v>
      </c>
      <c r="AN11" s="199">
        <f t="shared" si="12"/>
        <v>3765</v>
      </c>
      <c r="AO11" s="197"/>
      <c r="AP11" s="203"/>
      <c r="AQ11" s="197"/>
      <c r="AR11" s="197"/>
      <c r="AS11" s="203"/>
      <c r="AT11" s="197"/>
      <c r="AU11" s="197"/>
      <c r="AV11" s="199">
        <v>2094</v>
      </c>
      <c r="AW11" s="197"/>
      <c r="AX11" s="204">
        <f t="shared" si="13"/>
        <v>0.28888486822266451</v>
      </c>
      <c r="AY11" s="205">
        <f t="shared" si="14"/>
        <v>0.22706712502261625</v>
      </c>
      <c r="AZ11" s="205">
        <f t="shared" si="15"/>
        <v>0.43716075156576201</v>
      </c>
      <c r="BA11" s="171">
        <f t="shared" si="16"/>
        <v>867209</v>
      </c>
      <c r="BB11" s="171">
        <f t="shared" si="17"/>
        <v>838225</v>
      </c>
      <c r="BC11" s="171">
        <f t="shared" si="18"/>
        <v>867209</v>
      </c>
      <c r="BD11" s="171">
        <f t="shared" si="19"/>
        <v>867209</v>
      </c>
      <c r="BE11" s="206">
        <v>991421</v>
      </c>
      <c r="BF11" s="207">
        <v>657681.94999999995</v>
      </c>
      <c r="BG11" s="208">
        <f t="shared" si="20"/>
        <v>66.337302720035183</v>
      </c>
      <c r="BH11" s="209"/>
      <c r="BI11" s="210">
        <f t="shared" si="21"/>
        <v>6.1394705175702356E-2</v>
      </c>
      <c r="BJ11" s="211">
        <v>67350</v>
      </c>
      <c r="BK11" s="208">
        <f t="shared" si="22"/>
        <v>2.8245370452858203</v>
      </c>
      <c r="BL11" s="203"/>
      <c r="BM11" s="208" t="e">
        <f t="shared" si="23"/>
        <v>#DIV/0!</v>
      </c>
      <c r="BN11" s="203"/>
      <c r="BO11" s="208" t="e">
        <f t="shared" si="24"/>
        <v>#DIV/0!</v>
      </c>
      <c r="BP11" s="203"/>
      <c r="BQ11" s="208" t="e">
        <f t="shared" si="25"/>
        <v>#DIV/0!</v>
      </c>
      <c r="BR11" s="212">
        <v>190232.57</v>
      </c>
      <c r="BS11" s="213">
        <f t="shared" si="26"/>
        <v>19.187869734451866</v>
      </c>
      <c r="BT11" s="214">
        <f t="shared" si="27"/>
        <v>143506.48000000004</v>
      </c>
      <c r="BU11" s="215">
        <f t="shared" si="28"/>
        <v>14.47482754551296</v>
      </c>
      <c r="BV11" s="171">
        <v>16470</v>
      </c>
      <c r="BW11" s="171">
        <v>15910</v>
      </c>
      <c r="BX11" s="171">
        <v>23358</v>
      </c>
      <c r="BY11" s="171">
        <v>5130</v>
      </c>
      <c r="BZ11" s="203"/>
      <c r="CA11" s="203"/>
      <c r="CB11" s="171">
        <v>14500</v>
      </c>
      <c r="CC11" s="216">
        <f t="shared" si="29"/>
        <v>1.6612518798774688E-2</v>
      </c>
      <c r="CD11" s="216">
        <f t="shared" si="30"/>
        <v>1.6047672986551628E-2</v>
      </c>
      <c r="CE11" s="216">
        <f t="shared" si="31"/>
        <v>2.3560122289118347E-2</v>
      </c>
      <c r="CF11" s="216">
        <f t="shared" si="32"/>
        <v>5.1743911012576901E-3</v>
      </c>
      <c r="CG11" s="216">
        <f t="shared" si="33"/>
        <v>0</v>
      </c>
      <c r="CH11" s="217">
        <f t="shared" si="34"/>
        <v>14350.648000000005</v>
      </c>
      <c r="CI11" s="217">
        <f t="shared" si="35"/>
        <v>129155.83200000004</v>
      </c>
      <c r="CJ11" s="218"/>
      <c r="CK11" s="141"/>
    </row>
    <row r="12" spans="1:89" x14ac:dyDescent="0.35">
      <c r="A12" s="193"/>
      <c r="B12" s="194">
        <v>3</v>
      </c>
      <c r="C12" s="195" t="s">
        <v>116</v>
      </c>
      <c r="D12" s="196"/>
      <c r="E12" s="197"/>
      <c r="F12" s="198">
        <v>40</v>
      </c>
      <c r="G12" s="171">
        <f t="shared" si="0"/>
        <v>0</v>
      </c>
      <c r="H12" s="199">
        <v>6583</v>
      </c>
      <c r="I12" s="200">
        <v>50</v>
      </c>
      <c r="J12" s="171">
        <f t="shared" si="1"/>
        <v>329150</v>
      </c>
      <c r="K12" s="197"/>
      <c r="L12" s="198">
        <v>60</v>
      </c>
      <c r="M12" s="171">
        <f t="shared" si="2"/>
        <v>0</v>
      </c>
      <c r="N12" s="199">
        <v>1663</v>
      </c>
      <c r="O12" s="198">
        <v>15</v>
      </c>
      <c r="P12" s="171">
        <f t="shared" si="3"/>
        <v>24945</v>
      </c>
      <c r="Q12" s="199">
        <v>1940</v>
      </c>
      <c r="R12" s="201">
        <v>12</v>
      </c>
      <c r="S12" s="171">
        <f t="shared" si="4"/>
        <v>23280</v>
      </c>
      <c r="T12" s="199">
        <v>526</v>
      </c>
      <c r="U12" s="171">
        <f t="shared" si="5"/>
        <v>4208</v>
      </c>
      <c r="V12" s="199">
        <v>222</v>
      </c>
      <c r="W12" s="198">
        <v>12</v>
      </c>
      <c r="X12" s="171">
        <f t="shared" si="6"/>
        <v>2664</v>
      </c>
      <c r="Y12" s="199">
        <v>750</v>
      </c>
      <c r="Z12" s="198">
        <v>10</v>
      </c>
      <c r="AA12" s="171">
        <f t="shared" si="7"/>
        <v>7500</v>
      </c>
      <c r="AB12" s="199">
        <v>240</v>
      </c>
      <c r="AC12" s="198">
        <v>25</v>
      </c>
      <c r="AD12" s="171">
        <f t="shared" si="8"/>
        <v>6000</v>
      </c>
      <c r="AE12" s="197"/>
      <c r="AF12" s="198">
        <v>7.5</v>
      </c>
      <c r="AG12" s="171">
        <f t="shared" si="9"/>
        <v>0</v>
      </c>
      <c r="AH12" s="197"/>
      <c r="AI12" s="200">
        <v>15</v>
      </c>
      <c r="AJ12" s="171">
        <f t="shared" si="10"/>
        <v>0</v>
      </c>
      <c r="AK12" s="199">
        <v>168</v>
      </c>
      <c r="AL12" s="198">
        <v>10</v>
      </c>
      <c r="AM12" s="171">
        <f t="shared" si="11"/>
        <v>1680</v>
      </c>
      <c r="AN12" s="199">
        <f t="shared" si="12"/>
        <v>3846</v>
      </c>
      <c r="AO12" s="197"/>
      <c r="AP12" s="203"/>
      <c r="AQ12" s="197"/>
      <c r="AR12" s="197"/>
      <c r="AS12" s="203"/>
      <c r="AT12" s="197"/>
      <c r="AU12" s="197"/>
      <c r="AV12" s="199">
        <v>564</v>
      </c>
      <c r="AW12" s="197"/>
      <c r="AX12" s="204">
        <f t="shared" si="13"/>
        <v>0.2526203858423211</v>
      </c>
      <c r="AY12" s="205">
        <f t="shared" si="14"/>
        <v>0.58423211301838063</v>
      </c>
      <c r="AZ12" s="204">
        <f t="shared" si="15"/>
        <v>0.33914612146722789</v>
      </c>
      <c r="BA12" s="171">
        <f t="shared" si="16"/>
        <v>372802</v>
      </c>
      <c r="BB12" s="171">
        <f t="shared" si="17"/>
        <v>358430</v>
      </c>
      <c r="BC12" s="171">
        <f t="shared" si="18"/>
        <v>372802</v>
      </c>
      <c r="BD12" s="171">
        <f t="shared" si="19"/>
        <v>372802</v>
      </c>
      <c r="BE12" s="206">
        <v>412449</v>
      </c>
      <c r="BF12" s="207">
        <v>273796.71999999997</v>
      </c>
      <c r="BG12" s="208">
        <f t="shared" si="20"/>
        <v>66.383169797962893</v>
      </c>
      <c r="BH12" s="209"/>
      <c r="BI12" s="210">
        <f t="shared" si="21"/>
        <v>7.5412960147800093E-2</v>
      </c>
      <c r="BJ12" s="211">
        <v>27550</v>
      </c>
      <c r="BK12" s="208">
        <f t="shared" si="22"/>
        <v>3.9319237749546279</v>
      </c>
      <c r="BL12" s="211">
        <v>3750</v>
      </c>
      <c r="BM12" s="208">
        <f t="shared" si="23"/>
        <v>28.886533333333333</v>
      </c>
      <c r="BN12" s="203"/>
      <c r="BO12" s="208" t="e">
        <f t="shared" si="24"/>
        <v>#DIV/0!</v>
      </c>
      <c r="BP12" s="203"/>
      <c r="BQ12" s="208" t="e">
        <f t="shared" si="25"/>
        <v>#DIV/0!</v>
      </c>
      <c r="BR12" s="212">
        <v>108324.5</v>
      </c>
      <c r="BS12" s="220">
        <f t="shared" si="26"/>
        <v>26.26373200080495</v>
      </c>
      <c r="BT12" s="214">
        <f t="shared" si="27"/>
        <v>30327.780000000028</v>
      </c>
      <c r="BU12" s="215">
        <f t="shared" si="28"/>
        <v>7.3530982012321591</v>
      </c>
      <c r="BV12" s="171">
        <v>8160</v>
      </c>
      <c r="BW12" s="171">
        <v>9546</v>
      </c>
      <c r="BX12" s="171">
        <v>9618</v>
      </c>
      <c r="BY12" s="171">
        <v>3780</v>
      </c>
      <c r="BZ12" s="203"/>
      <c r="CA12" s="203"/>
      <c r="CB12" s="171">
        <v>15000</v>
      </c>
      <c r="CC12" s="216">
        <f t="shared" si="29"/>
        <v>1.9784264236305579E-2</v>
      </c>
      <c r="CD12" s="216">
        <f t="shared" si="30"/>
        <v>2.3144679705854543E-2</v>
      </c>
      <c r="CE12" s="216">
        <f t="shared" si="31"/>
        <v>2.3319246743233709E-2</v>
      </c>
      <c r="CF12" s="216">
        <f t="shared" si="32"/>
        <v>9.1647694624062605E-3</v>
      </c>
      <c r="CG12" s="216">
        <f t="shared" si="33"/>
        <v>0</v>
      </c>
      <c r="CH12" s="217">
        <f t="shared" si="34"/>
        <v>3032.778000000003</v>
      </c>
      <c r="CI12" s="217">
        <f t="shared" si="35"/>
        <v>27295.002000000026</v>
      </c>
      <c r="CJ12" s="218"/>
      <c r="CK12" s="141"/>
    </row>
    <row r="13" spans="1:89" x14ac:dyDescent="0.35">
      <c r="A13" s="193"/>
      <c r="B13" s="194">
        <v>4</v>
      </c>
      <c r="C13" s="195" t="s">
        <v>207</v>
      </c>
      <c r="D13" s="196"/>
      <c r="E13" s="197"/>
      <c r="F13" s="198">
        <v>40</v>
      </c>
      <c r="G13" s="171">
        <f t="shared" si="0"/>
        <v>0</v>
      </c>
      <c r="H13" s="199">
        <v>8396</v>
      </c>
      <c r="I13" s="200">
        <v>50</v>
      </c>
      <c r="J13" s="171">
        <f t="shared" si="1"/>
        <v>419800</v>
      </c>
      <c r="K13" s="197"/>
      <c r="L13" s="198">
        <v>60</v>
      </c>
      <c r="M13" s="171">
        <f t="shared" si="2"/>
        <v>0</v>
      </c>
      <c r="N13" s="199">
        <v>3072</v>
      </c>
      <c r="O13" s="198">
        <v>15</v>
      </c>
      <c r="P13" s="171">
        <f t="shared" si="3"/>
        <v>46080</v>
      </c>
      <c r="Q13" s="199">
        <v>1260</v>
      </c>
      <c r="R13" s="201">
        <v>12</v>
      </c>
      <c r="S13" s="171">
        <f t="shared" si="4"/>
        <v>15120</v>
      </c>
      <c r="T13" s="199">
        <v>366</v>
      </c>
      <c r="U13" s="171">
        <f t="shared" si="5"/>
        <v>2928</v>
      </c>
      <c r="V13" s="199">
        <v>599</v>
      </c>
      <c r="W13" s="198">
        <v>12</v>
      </c>
      <c r="X13" s="171">
        <f t="shared" si="6"/>
        <v>7188</v>
      </c>
      <c r="Y13" s="199">
        <v>660</v>
      </c>
      <c r="Z13" s="198">
        <v>10</v>
      </c>
      <c r="AA13" s="171">
        <f t="shared" si="7"/>
        <v>6600</v>
      </c>
      <c r="AB13" s="199">
        <v>158</v>
      </c>
      <c r="AC13" s="198">
        <v>25</v>
      </c>
      <c r="AD13" s="171">
        <f t="shared" si="8"/>
        <v>3950</v>
      </c>
      <c r="AE13" s="197"/>
      <c r="AF13" s="198">
        <v>7.5</v>
      </c>
      <c r="AG13" s="171">
        <f t="shared" si="9"/>
        <v>0</v>
      </c>
      <c r="AH13" s="197"/>
      <c r="AI13" s="200">
        <v>15</v>
      </c>
      <c r="AJ13" s="171">
        <f t="shared" si="10"/>
        <v>0</v>
      </c>
      <c r="AK13" s="199">
        <v>262</v>
      </c>
      <c r="AL13" s="198">
        <v>10</v>
      </c>
      <c r="AM13" s="171">
        <f t="shared" si="11"/>
        <v>2620</v>
      </c>
      <c r="AN13" s="199">
        <f t="shared" si="12"/>
        <v>3305</v>
      </c>
      <c r="AO13" s="197"/>
      <c r="AP13" s="203"/>
      <c r="AQ13" s="197"/>
      <c r="AR13" s="197"/>
      <c r="AS13" s="203"/>
      <c r="AT13" s="197"/>
      <c r="AU13" s="197"/>
      <c r="AV13" s="199">
        <v>1608</v>
      </c>
      <c r="AW13" s="197"/>
      <c r="AX13" s="204">
        <f t="shared" si="13"/>
        <v>0.36588851834206765</v>
      </c>
      <c r="AY13" s="205">
        <f t="shared" si="14"/>
        <v>0.39363982848975704</v>
      </c>
      <c r="AZ13" s="205">
        <f t="shared" si="15"/>
        <v>0.5234375</v>
      </c>
      <c r="BA13" s="171">
        <f t="shared" si="16"/>
        <v>455586</v>
      </c>
      <c r="BB13" s="171">
        <f t="shared" si="17"/>
        <v>438870</v>
      </c>
      <c r="BC13" s="171">
        <f t="shared" si="18"/>
        <v>455586</v>
      </c>
      <c r="BD13" s="171">
        <f t="shared" si="19"/>
        <v>455586</v>
      </c>
      <c r="BE13" s="206">
        <v>540415</v>
      </c>
      <c r="BF13" s="207">
        <v>352011.91</v>
      </c>
      <c r="BG13" s="208">
        <f t="shared" si="20"/>
        <v>65.137331495239764</v>
      </c>
      <c r="BH13" s="209"/>
      <c r="BI13" s="210">
        <f t="shared" si="21"/>
        <v>7.2940240370826123E-2</v>
      </c>
      <c r="BJ13" s="211">
        <v>35110</v>
      </c>
      <c r="BK13" s="208">
        <f t="shared" si="22"/>
        <v>4.2911609228140133</v>
      </c>
      <c r="BL13" s="211">
        <v>310</v>
      </c>
      <c r="BM13" s="208">
        <f t="shared" si="23"/>
        <v>486.00858064516132</v>
      </c>
      <c r="BN13" s="203"/>
      <c r="BO13" s="208" t="e">
        <f t="shared" si="24"/>
        <v>#DIV/0!</v>
      </c>
      <c r="BP13" s="203"/>
      <c r="BQ13" s="208" t="e">
        <f t="shared" si="25"/>
        <v>#DIV/0!</v>
      </c>
      <c r="BR13" s="212">
        <v>150662.66</v>
      </c>
      <c r="BS13" s="220">
        <f t="shared" si="26"/>
        <v>27.879067013313843</v>
      </c>
      <c r="BT13" s="214">
        <f t="shared" si="27"/>
        <v>37740.430000000022</v>
      </c>
      <c r="BU13" s="215">
        <f t="shared" si="28"/>
        <v>6.9836014914463931</v>
      </c>
      <c r="BV13" s="171">
        <v>13134</v>
      </c>
      <c r="BW13" s="171">
        <v>10380</v>
      </c>
      <c r="BX13" s="171">
        <v>11104</v>
      </c>
      <c r="BY13" s="171">
        <v>4800</v>
      </c>
      <c r="BZ13" s="203"/>
      <c r="CA13" s="203"/>
      <c r="CB13" s="171">
        <v>36000</v>
      </c>
      <c r="CC13" s="216">
        <f t="shared" si="29"/>
        <v>2.4303544498209709E-2</v>
      </c>
      <c r="CD13" s="216">
        <f t="shared" si="30"/>
        <v>1.9207460932801644E-2</v>
      </c>
      <c r="CE13" s="216">
        <f t="shared" si="31"/>
        <v>2.0547172080715746E-2</v>
      </c>
      <c r="CF13" s="216">
        <f t="shared" si="32"/>
        <v>8.8820628590990259E-3</v>
      </c>
      <c r="CG13" s="216">
        <f t="shared" si="33"/>
        <v>0</v>
      </c>
      <c r="CH13" s="217">
        <f t="shared" si="34"/>
        <v>3774.0430000000024</v>
      </c>
      <c r="CI13" s="217">
        <f t="shared" si="35"/>
        <v>33966.387000000024</v>
      </c>
      <c r="CJ13" s="218"/>
      <c r="CK13" s="141"/>
    </row>
    <row r="14" spans="1:89" x14ac:dyDescent="0.35">
      <c r="A14" s="193"/>
      <c r="B14" s="194">
        <v>3</v>
      </c>
      <c r="C14" s="195" t="s">
        <v>208</v>
      </c>
      <c r="D14" s="196"/>
      <c r="E14" s="197"/>
      <c r="F14" s="198">
        <v>40</v>
      </c>
      <c r="G14" s="171">
        <f t="shared" si="0"/>
        <v>0</v>
      </c>
      <c r="H14" s="199">
        <v>7478</v>
      </c>
      <c r="I14" s="200">
        <v>50</v>
      </c>
      <c r="J14" s="171">
        <f t="shared" si="1"/>
        <v>373900</v>
      </c>
      <c r="K14" s="197"/>
      <c r="L14" s="198">
        <v>60</v>
      </c>
      <c r="M14" s="171">
        <f t="shared" si="2"/>
        <v>0</v>
      </c>
      <c r="N14" s="199">
        <v>2486</v>
      </c>
      <c r="O14" s="198">
        <v>15</v>
      </c>
      <c r="P14" s="171">
        <f t="shared" si="3"/>
        <v>37290</v>
      </c>
      <c r="Q14" s="199">
        <v>2010</v>
      </c>
      <c r="R14" s="201">
        <v>12</v>
      </c>
      <c r="S14" s="171">
        <f t="shared" si="4"/>
        <v>24120</v>
      </c>
      <c r="T14" s="199">
        <v>582</v>
      </c>
      <c r="U14" s="171">
        <f t="shared" si="5"/>
        <v>4656</v>
      </c>
      <c r="V14" s="199">
        <v>310</v>
      </c>
      <c r="W14" s="198">
        <v>12</v>
      </c>
      <c r="X14" s="171">
        <f t="shared" si="6"/>
        <v>3720</v>
      </c>
      <c r="Y14" s="199">
        <v>700</v>
      </c>
      <c r="Z14" s="198">
        <v>10</v>
      </c>
      <c r="AA14" s="171">
        <f t="shared" si="7"/>
        <v>7000</v>
      </c>
      <c r="AB14" s="199">
        <v>233</v>
      </c>
      <c r="AC14" s="198">
        <v>25</v>
      </c>
      <c r="AD14" s="171">
        <f t="shared" si="8"/>
        <v>5825</v>
      </c>
      <c r="AE14" s="197"/>
      <c r="AF14" s="198">
        <v>7.5</v>
      </c>
      <c r="AG14" s="171">
        <f t="shared" si="9"/>
        <v>0</v>
      </c>
      <c r="AH14" s="197"/>
      <c r="AI14" s="200">
        <v>15</v>
      </c>
      <c r="AJ14" s="171">
        <f t="shared" si="10"/>
        <v>0</v>
      </c>
      <c r="AK14" s="199">
        <v>186</v>
      </c>
      <c r="AL14" s="198">
        <v>10</v>
      </c>
      <c r="AM14" s="171">
        <f t="shared" si="11"/>
        <v>1860</v>
      </c>
      <c r="AN14" s="199">
        <f t="shared" si="12"/>
        <v>4021</v>
      </c>
      <c r="AO14" s="197"/>
      <c r="AP14" s="203"/>
      <c r="AQ14" s="197"/>
      <c r="AR14" s="197"/>
      <c r="AS14" s="203"/>
      <c r="AT14" s="197"/>
      <c r="AU14" s="197"/>
      <c r="AV14" s="199">
        <v>1114</v>
      </c>
      <c r="AW14" s="197"/>
      <c r="AX14" s="204">
        <f t="shared" si="13"/>
        <v>0.3324418293661407</v>
      </c>
      <c r="AY14" s="205">
        <f t="shared" si="14"/>
        <v>0.53771061781224927</v>
      </c>
      <c r="AZ14" s="205">
        <f t="shared" si="15"/>
        <v>0.4481094127111826</v>
      </c>
      <c r="BA14" s="171">
        <f t="shared" si="16"/>
        <v>419221</v>
      </c>
      <c r="BB14" s="171">
        <f t="shared" si="17"/>
        <v>403845</v>
      </c>
      <c r="BC14" s="171">
        <f t="shared" si="18"/>
        <v>419221</v>
      </c>
      <c r="BD14" s="171">
        <f t="shared" si="19"/>
        <v>419221</v>
      </c>
      <c r="BE14" s="206">
        <v>484441</v>
      </c>
      <c r="BF14" s="207">
        <v>315591.96999999997</v>
      </c>
      <c r="BG14" s="208">
        <f t="shared" si="20"/>
        <v>65.145594613172705</v>
      </c>
      <c r="BH14" s="209"/>
      <c r="BI14" s="210">
        <f t="shared" si="21"/>
        <v>6.7814243633383633E-2</v>
      </c>
      <c r="BJ14" s="211">
        <v>36000</v>
      </c>
      <c r="BK14" s="208">
        <f t="shared" si="22"/>
        <v>3.1184266666666667</v>
      </c>
      <c r="BL14" s="203"/>
      <c r="BM14" s="208" t="e">
        <f t="shared" si="23"/>
        <v>#DIV/0!</v>
      </c>
      <c r="BN14" s="203"/>
      <c r="BO14" s="208" t="e">
        <f t="shared" si="24"/>
        <v>#DIV/0!</v>
      </c>
      <c r="BP14" s="203"/>
      <c r="BQ14" s="208" t="e">
        <f t="shared" si="25"/>
        <v>#DIV/0!</v>
      </c>
      <c r="BR14" s="212">
        <v>112263.36</v>
      </c>
      <c r="BS14" s="220">
        <f t="shared" si="26"/>
        <v>23.173794125600434</v>
      </c>
      <c r="BT14" s="214">
        <f t="shared" si="27"/>
        <v>56585.670000000027</v>
      </c>
      <c r="BU14" s="215">
        <f t="shared" si="28"/>
        <v>11.680611261226863</v>
      </c>
      <c r="BV14" s="171">
        <v>9074</v>
      </c>
      <c r="BW14" s="171">
        <v>9546</v>
      </c>
      <c r="BX14" s="171">
        <v>10992</v>
      </c>
      <c r="BY14" s="171">
        <v>3240</v>
      </c>
      <c r="BZ14" s="203"/>
      <c r="CA14" s="203"/>
      <c r="CB14" s="171">
        <v>15000</v>
      </c>
      <c r="CC14" s="216">
        <f t="shared" si="29"/>
        <v>1.8730867123137804E-2</v>
      </c>
      <c r="CD14" s="216">
        <f t="shared" si="30"/>
        <v>1.9705185977239748E-2</v>
      </c>
      <c r="CE14" s="216">
        <f t="shared" si="31"/>
        <v>2.2690069585357145E-2</v>
      </c>
      <c r="CF14" s="216">
        <f t="shared" si="32"/>
        <v>6.6881209476489399E-3</v>
      </c>
      <c r="CG14" s="216">
        <f t="shared" si="33"/>
        <v>0</v>
      </c>
      <c r="CH14" s="217">
        <f t="shared" si="34"/>
        <v>5658.5670000000027</v>
      </c>
      <c r="CI14" s="217">
        <f t="shared" si="35"/>
        <v>50927.103000000025</v>
      </c>
      <c r="CJ14" s="218"/>
      <c r="CK14" s="141"/>
    </row>
    <row r="15" spans="1:89" x14ac:dyDescent="0.35">
      <c r="A15" s="193"/>
      <c r="B15" s="219">
        <v>6</v>
      </c>
      <c r="C15" s="195" t="s">
        <v>112</v>
      </c>
      <c r="D15" s="196"/>
      <c r="E15" s="197"/>
      <c r="F15" s="198">
        <v>40</v>
      </c>
      <c r="G15" s="171">
        <f t="shared" si="0"/>
        <v>0</v>
      </c>
      <c r="H15" s="199">
        <v>16539</v>
      </c>
      <c r="I15" s="200">
        <v>50</v>
      </c>
      <c r="J15" s="171">
        <f t="shared" si="1"/>
        <v>826950</v>
      </c>
      <c r="K15" s="197"/>
      <c r="L15" s="198">
        <v>60</v>
      </c>
      <c r="M15" s="171">
        <f t="shared" si="2"/>
        <v>0</v>
      </c>
      <c r="N15" s="199">
        <v>6358</v>
      </c>
      <c r="O15" s="198">
        <v>15</v>
      </c>
      <c r="P15" s="171">
        <f t="shared" si="3"/>
        <v>95370</v>
      </c>
      <c r="Q15" s="199">
        <v>1888</v>
      </c>
      <c r="R15" s="201">
        <v>12</v>
      </c>
      <c r="S15" s="171">
        <f t="shared" si="4"/>
        <v>22656</v>
      </c>
      <c r="T15" s="199">
        <v>1052</v>
      </c>
      <c r="U15" s="171">
        <f t="shared" si="5"/>
        <v>8416</v>
      </c>
      <c r="V15" s="199">
        <v>407</v>
      </c>
      <c r="W15" s="198">
        <v>12</v>
      </c>
      <c r="X15" s="171">
        <f t="shared" si="6"/>
        <v>4884</v>
      </c>
      <c r="Y15" s="199">
        <v>1598</v>
      </c>
      <c r="Z15" s="198">
        <v>10</v>
      </c>
      <c r="AA15" s="171">
        <f t="shared" si="7"/>
        <v>15980</v>
      </c>
      <c r="AB15" s="199">
        <v>280</v>
      </c>
      <c r="AC15" s="198">
        <v>25</v>
      </c>
      <c r="AD15" s="171">
        <f t="shared" si="8"/>
        <v>7000</v>
      </c>
      <c r="AE15" s="197"/>
      <c r="AF15" s="198">
        <v>7.5</v>
      </c>
      <c r="AG15" s="171">
        <f t="shared" si="9"/>
        <v>0</v>
      </c>
      <c r="AH15" s="197"/>
      <c r="AI15" s="200">
        <v>15</v>
      </c>
      <c r="AJ15" s="171">
        <f t="shared" si="10"/>
        <v>0</v>
      </c>
      <c r="AK15" s="199">
        <v>162</v>
      </c>
      <c r="AL15" s="198">
        <v>10</v>
      </c>
      <c r="AM15" s="171">
        <f t="shared" si="11"/>
        <v>1620</v>
      </c>
      <c r="AN15" s="199">
        <f t="shared" si="12"/>
        <v>5387</v>
      </c>
      <c r="AO15" s="197"/>
      <c r="AP15" s="203"/>
      <c r="AQ15" s="197"/>
      <c r="AR15" s="197"/>
      <c r="AS15" s="203"/>
      <c r="AT15" s="197"/>
      <c r="AU15" s="197"/>
      <c r="AV15" s="199">
        <v>2477</v>
      </c>
      <c r="AW15" s="197"/>
      <c r="AX15" s="204">
        <f t="shared" si="13"/>
        <v>0.38442469314952538</v>
      </c>
      <c r="AY15" s="205">
        <f t="shared" si="14"/>
        <v>0.32571497672168814</v>
      </c>
      <c r="AZ15" s="204">
        <f t="shared" si="15"/>
        <v>0.38958792072978926</v>
      </c>
      <c r="BA15" s="171">
        <f t="shared" si="16"/>
        <v>885886</v>
      </c>
      <c r="BB15" s="171">
        <f t="shared" si="17"/>
        <v>856606</v>
      </c>
      <c r="BC15" s="171">
        <f t="shared" si="18"/>
        <v>885886</v>
      </c>
      <c r="BD15" s="171">
        <f t="shared" si="19"/>
        <v>885886</v>
      </c>
      <c r="BE15" s="206">
        <v>1042305</v>
      </c>
      <c r="BF15" s="207">
        <v>703421.53</v>
      </c>
      <c r="BG15" s="208">
        <f t="shared" si="20"/>
        <v>67.487110778514932</v>
      </c>
      <c r="BH15" s="209"/>
      <c r="BI15" s="210">
        <f t="shared" si="21"/>
        <v>6.7308513343023388E-2</v>
      </c>
      <c r="BJ15" s="211">
        <v>65700</v>
      </c>
      <c r="BK15" s="208">
        <f t="shared" si="22"/>
        <v>3.1485155251141554</v>
      </c>
      <c r="BL15" s="203"/>
      <c r="BM15" s="208" t="e">
        <f t="shared" si="23"/>
        <v>#DIV/0!</v>
      </c>
      <c r="BN15" s="203"/>
      <c r="BO15" s="208" t="e">
        <f t="shared" si="24"/>
        <v>#DIV/0!</v>
      </c>
      <c r="BP15" s="203"/>
      <c r="BQ15" s="208" t="e">
        <f t="shared" si="25"/>
        <v>#DIV/0!</v>
      </c>
      <c r="BR15" s="212">
        <v>206857.47</v>
      </c>
      <c r="BS15" s="213">
        <f t="shared" si="26"/>
        <v>19.846155395973348</v>
      </c>
      <c r="BT15" s="214">
        <f t="shared" si="27"/>
        <v>132025.99999999997</v>
      </c>
      <c r="BU15" s="215">
        <f t="shared" si="28"/>
        <v>12.666733825511724</v>
      </c>
      <c r="BV15" s="171">
        <v>24630</v>
      </c>
      <c r="BW15" s="171">
        <v>15910</v>
      </c>
      <c r="BX15" s="171">
        <v>23676</v>
      </c>
      <c r="BY15" s="171">
        <v>5940</v>
      </c>
      <c r="BZ15" s="203"/>
      <c r="CA15" s="203"/>
      <c r="CB15" s="171">
        <v>25000</v>
      </c>
      <c r="CC15" s="216">
        <f t="shared" si="29"/>
        <v>2.3630319340308258E-2</v>
      </c>
      <c r="CD15" s="216">
        <f t="shared" si="30"/>
        <v>1.5264246070008298E-2</v>
      </c>
      <c r="CE15" s="216">
        <f t="shared" si="31"/>
        <v>2.2715040223351132E-2</v>
      </c>
      <c r="CF15" s="216">
        <f t="shared" si="32"/>
        <v>5.6989077093557066E-3</v>
      </c>
      <c r="CG15" s="216">
        <f t="shared" si="33"/>
        <v>0</v>
      </c>
      <c r="CH15" s="217">
        <f t="shared" si="34"/>
        <v>13202.599999999999</v>
      </c>
      <c r="CI15" s="217">
        <f t="shared" si="35"/>
        <v>118823.39999999998</v>
      </c>
      <c r="CJ15" s="218"/>
      <c r="CK15" s="141"/>
    </row>
    <row r="16" spans="1:89" x14ac:dyDescent="0.35">
      <c r="CI16" s="229">
        <f>SUM(CI5:CI15)</f>
        <v>557132.87700000009</v>
      </c>
    </row>
    <row r="21" spans="4:24" x14ac:dyDescent="0.35">
      <c r="D21" s="230"/>
      <c r="H21" s="231"/>
      <c r="I21" s="231"/>
      <c r="N21" s="230" t="s">
        <v>61</v>
      </c>
      <c r="O21" s="232">
        <v>46174</v>
      </c>
      <c r="P21" s="233">
        <v>46204</v>
      </c>
      <c r="R21" s="230" t="s">
        <v>4</v>
      </c>
      <c r="S21" s="232">
        <v>46174</v>
      </c>
      <c r="T21" s="233">
        <v>46204</v>
      </c>
      <c r="V21" s="230" t="s">
        <v>96</v>
      </c>
      <c r="W21" s="232">
        <v>46174</v>
      </c>
      <c r="X21" s="233">
        <v>46204</v>
      </c>
    </row>
    <row r="22" spans="4:24" x14ac:dyDescent="0.35">
      <c r="D22" s="234"/>
      <c r="H22" s="235"/>
      <c r="I22" s="236"/>
      <c r="N22" s="234" t="s">
        <v>5</v>
      </c>
      <c r="O22" s="237">
        <v>376135</v>
      </c>
      <c r="P22" s="238">
        <v>412449</v>
      </c>
      <c r="R22" s="234" t="s">
        <v>5</v>
      </c>
      <c r="S22" s="237">
        <v>588275</v>
      </c>
      <c r="T22" s="238">
        <v>584876</v>
      </c>
      <c r="V22" s="234" t="s">
        <v>5</v>
      </c>
      <c r="W22" s="237">
        <v>467582</v>
      </c>
      <c r="X22" s="238">
        <v>484441</v>
      </c>
    </row>
    <row r="23" spans="4:24" x14ac:dyDescent="0.35">
      <c r="D23" s="234"/>
      <c r="H23" s="235"/>
      <c r="I23" s="236"/>
      <c r="N23" s="234" t="s">
        <v>6</v>
      </c>
      <c r="O23" s="237">
        <v>250389.5</v>
      </c>
      <c r="P23" s="238">
        <v>273796.71999999997</v>
      </c>
      <c r="R23" s="234" t="s">
        <v>6</v>
      </c>
      <c r="S23" s="237">
        <v>381552.18</v>
      </c>
      <c r="T23" s="238">
        <v>381559.3</v>
      </c>
      <c r="V23" s="234" t="s">
        <v>6</v>
      </c>
      <c r="W23" s="237">
        <v>307710.5</v>
      </c>
      <c r="X23" s="238">
        <v>315591.96999999997</v>
      </c>
    </row>
    <row r="24" spans="4:24" x14ac:dyDescent="0.35">
      <c r="D24" s="234"/>
      <c r="H24" s="235"/>
      <c r="I24" s="236"/>
      <c r="N24" s="234" t="s">
        <v>7</v>
      </c>
      <c r="O24" s="237">
        <v>103057.47</v>
      </c>
      <c r="P24" s="238">
        <v>108324.5</v>
      </c>
      <c r="R24" s="234" t="s">
        <v>7</v>
      </c>
      <c r="S24" s="237">
        <v>137705.38</v>
      </c>
      <c r="T24" s="238">
        <v>133989.24</v>
      </c>
      <c r="V24" s="234" t="s">
        <v>7</v>
      </c>
      <c r="W24" s="237">
        <v>111932.37</v>
      </c>
      <c r="X24" s="238">
        <v>112263.36</v>
      </c>
    </row>
    <row r="25" spans="4:24" x14ac:dyDescent="0.35">
      <c r="D25" s="234"/>
      <c r="H25" s="235"/>
      <c r="I25" s="235"/>
      <c r="N25" s="234" t="s">
        <v>8</v>
      </c>
      <c r="O25" s="237">
        <f t="shared" ref="O25:P25" si="36">O22-O23-O24</f>
        <v>22688.03</v>
      </c>
      <c r="P25" s="239">
        <f t="shared" si="36"/>
        <v>30327.780000000028</v>
      </c>
      <c r="R25" s="240" t="s">
        <v>8</v>
      </c>
      <c r="S25" s="237">
        <f t="shared" ref="S25:T25" si="37">S22-S23-S24</f>
        <v>69017.440000000002</v>
      </c>
      <c r="T25" s="239">
        <f t="shared" si="37"/>
        <v>69327.460000000021</v>
      </c>
      <c r="V25" s="234" t="s">
        <v>8</v>
      </c>
      <c r="W25" s="237">
        <f t="shared" ref="W25:X25" si="38">W22-W23-W24</f>
        <v>47939.130000000005</v>
      </c>
      <c r="X25" s="239">
        <f t="shared" si="38"/>
        <v>56585.670000000027</v>
      </c>
    </row>
    <row r="26" spans="4:24" x14ac:dyDescent="0.35">
      <c r="H26" s="235"/>
      <c r="I26" s="235"/>
      <c r="N26" s="141"/>
      <c r="O26" s="235">
        <f>O25*80%</f>
        <v>18150.423999999999</v>
      </c>
      <c r="P26" s="235">
        <f>P25*90%</f>
        <v>27295.002000000026</v>
      </c>
      <c r="S26" s="235">
        <f t="shared" ref="S26:T26" si="39">S25*90%</f>
        <v>62115.696000000004</v>
      </c>
      <c r="T26" s="235">
        <f t="shared" si="39"/>
        <v>62394.714000000022</v>
      </c>
      <c r="W26" s="235">
        <f>W25*80%</f>
        <v>38351.304000000004</v>
      </c>
      <c r="X26" s="235">
        <f>X25*90%</f>
        <v>50927.103000000025</v>
      </c>
    </row>
    <row r="28" spans="4:24" x14ac:dyDescent="0.35">
      <c r="D28" s="241"/>
      <c r="H28" s="231"/>
      <c r="I28" s="231"/>
      <c r="N28" s="230" t="s">
        <v>9</v>
      </c>
      <c r="O28" s="232">
        <v>46174</v>
      </c>
      <c r="P28" s="233">
        <v>46204</v>
      </c>
      <c r="R28" s="241" t="s">
        <v>254</v>
      </c>
      <c r="S28" s="232">
        <v>46174</v>
      </c>
      <c r="T28" s="233">
        <v>46204</v>
      </c>
      <c r="V28" s="230" t="s">
        <v>95</v>
      </c>
      <c r="W28" s="232">
        <v>46174</v>
      </c>
      <c r="X28" s="233">
        <v>46204</v>
      </c>
    </row>
    <row r="29" spans="4:24" x14ac:dyDescent="0.35">
      <c r="D29" s="242"/>
      <c r="H29" s="235"/>
      <c r="I29" s="236"/>
      <c r="N29" s="234" t="s">
        <v>5</v>
      </c>
      <c r="O29" s="237">
        <v>729392</v>
      </c>
      <c r="P29" s="238">
        <v>684706</v>
      </c>
      <c r="R29" s="242" t="s">
        <v>5</v>
      </c>
      <c r="S29" s="237">
        <v>872375</v>
      </c>
      <c r="T29" s="238">
        <v>665187</v>
      </c>
      <c r="V29" s="234" t="s">
        <v>5</v>
      </c>
      <c r="W29" s="237">
        <v>570200</v>
      </c>
      <c r="X29" s="238">
        <v>540415</v>
      </c>
    </row>
    <row r="30" spans="4:24" x14ac:dyDescent="0.35">
      <c r="D30" s="242"/>
      <c r="H30" s="235"/>
      <c r="I30" s="236"/>
      <c r="N30" s="234" t="s">
        <v>6</v>
      </c>
      <c r="O30" s="237">
        <v>473825.21</v>
      </c>
      <c r="P30" s="238">
        <v>448274.89</v>
      </c>
      <c r="R30" s="242" t="s">
        <v>6</v>
      </c>
      <c r="S30" s="237">
        <v>572608.71</v>
      </c>
      <c r="T30" s="238">
        <v>437699.23</v>
      </c>
      <c r="V30" s="234" t="s">
        <v>6</v>
      </c>
      <c r="W30" s="237">
        <v>370271.24</v>
      </c>
      <c r="X30" s="238">
        <v>352011.91</v>
      </c>
    </row>
    <row r="31" spans="4:24" x14ac:dyDescent="0.35">
      <c r="D31" s="242"/>
      <c r="H31" s="235"/>
      <c r="I31" s="236"/>
      <c r="N31" s="234" t="s">
        <v>7</v>
      </c>
      <c r="O31" s="237">
        <v>194012.32</v>
      </c>
      <c r="P31" s="238">
        <v>173838.41</v>
      </c>
      <c r="R31" s="242" t="s">
        <v>7</v>
      </c>
      <c r="S31" s="237">
        <v>183965.35</v>
      </c>
      <c r="T31" s="238">
        <v>140557.76000000001</v>
      </c>
      <c r="V31" s="234" t="s">
        <v>7</v>
      </c>
      <c r="W31" s="237">
        <v>157410.53</v>
      </c>
      <c r="X31" s="238">
        <v>150662.66</v>
      </c>
    </row>
    <row r="32" spans="4:24" x14ac:dyDescent="0.35">
      <c r="D32" s="242"/>
      <c r="H32" s="235"/>
      <c r="I32" s="235"/>
      <c r="N32" s="240" t="s">
        <v>8</v>
      </c>
      <c r="O32" s="237">
        <f t="shared" ref="O32:P32" si="40">O29-O30-O31</f>
        <v>61554.469999999972</v>
      </c>
      <c r="P32" s="239">
        <f t="shared" si="40"/>
        <v>62592.699999999983</v>
      </c>
      <c r="R32" s="242" t="s">
        <v>8</v>
      </c>
      <c r="S32" s="237">
        <f t="shared" ref="S32:T32" si="41">S29-S30-S31</f>
        <v>115800.94000000003</v>
      </c>
      <c r="T32" s="239">
        <f t="shared" si="41"/>
        <v>86930.010000000009</v>
      </c>
      <c r="V32" s="234" t="s">
        <v>8</v>
      </c>
      <c r="W32" s="237">
        <f t="shared" ref="W32:X32" si="42">W29-W30-W31</f>
        <v>42518.23000000001</v>
      </c>
      <c r="X32" s="239">
        <f t="shared" si="42"/>
        <v>37740.430000000022</v>
      </c>
    </row>
    <row r="33" spans="8:24" x14ac:dyDescent="0.35">
      <c r="H33" s="235"/>
      <c r="I33" s="235"/>
      <c r="O33" s="235">
        <f t="shared" ref="O33:P33" si="43">O32*90%</f>
        <v>55399.022999999979</v>
      </c>
      <c r="P33" s="235">
        <f t="shared" si="43"/>
        <v>56333.429999999986</v>
      </c>
      <c r="S33" s="235">
        <f>S32*80%</f>
        <v>92640.752000000037</v>
      </c>
      <c r="T33" s="235">
        <f>T32*90%</f>
        <v>78237.009000000005</v>
      </c>
      <c r="W33" s="235">
        <f>W32*80%</f>
        <v>34014.58400000001</v>
      </c>
      <c r="X33" s="235">
        <f>X32*90%</f>
        <v>33966.387000000024</v>
      </c>
    </row>
    <row r="38" spans="8:24" x14ac:dyDescent="0.35">
      <c r="N38" s="230" t="s">
        <v>39</v>
      </c>
      <c r="O38" s="232">
        <v>46174</v>
      </c>
      <c r="P38" s="232">
        <v>46204</v>
      </c>
      <c r="R38" s="241" t="s">
        <v>255</v>
      </c>
      <c r="S38" s="232">
        <v>46174</v>
      </c>
      <c r="T38" s="233">
        <v>46204</v>
      </c>
    </row>
    <row r="39" spans="8:24" x14ac:dyDescent="0.35">
      <c r="N39" s="234" t="s">
        <v>5</v>
      </c>
      <c r="O39" s="237">
        <v>1014076</v>
      </c>
      <c r="P39" s="243">
        <v>991421</v>
      </c>
      <c r="R39" s="242" t="s">
        <v>5</v>
      </c>
      <c r="S39" s="237">
        <v>1053064.5</v>
      </c>
      <c r="T39" s="238">
        <v>1042305</v>
      </c>
    </row>
    <row r="40" spans="8:24" x14ac:dyDescent="0.35">
      <c r="N40" s="234" t="s">
        <v>6</v>
      </c>
      <c r="O40" s="237">
        <v>670774</v>
      </c>
      <c r="P40" s="243">
        <v>657681.94999999995</v>
      </c>
      <c r="R40" s="242" t="s">
        <v>6</v>
      </c>
      <c r="S40" s="237">
        <v>714191.93</v>
      </c>
      <c r="T40" s="238">
        <v>703421.53</v>
      </c>
    </row>
    <row r="41" spans="8:24" x14ac:dyDescent="0.35">
      <c r="N41" s="234" t="s">
        <v>7</v>
      </c>
      <c r="O41" s="237">
        <v>201909.95</v>
      </c>
      <c r="P41" s="243">
        <v>190232.57</v>
      </c>
      <c r="R41" s="242" t="s">
        <v>7</v>
      </c>
      <c r="S41" s="237">
        <v>233957.96</v>
      </c>
      <c r="T41" s="238">
        <v>206857.47</v>
      </c>
    </row>
    <row r="42" spans="8:24" x14ac:dyDescent="0.35">
      <c r="N42" s="234" t="s">
        <v>8</v>
      </c>
      <c r="O42" s="237">
        <f t="shared" ref="O42:P42" si="44">O39-O40-O41</f>
        <v>141392.04999999999</v>
      </c>
      <c r="P42" s="237">
        <f t="shared" si="44"/>
        <v>143506.48000000004</v>
      </c>
      <c r="R42" s="242" t="s">
        <v>8</v>
      </c>
      <c r="S42" s="237">
        <f t="shared" ref="S42:T42" si="45">S39-S40-S41</f>
        <v>104914.60999999996</v>
      </c>
      <c r="T42" s="239">
        <f t="shared" si="45"/>
        <v>132025.99999999997</v>
      </c>
    </row>
    <row r="43" spans="8:24" x14ac:dyDescent="0.35">
      <c r="O43" s="235">
        <f>O42*80%</f>
        <v>113113.64</v>
      </c>
      <c r="P43" s="235">
        <f>P42*90%</f>
        <v>129155.83200000004</v>
      </c>
      <c r="R43" s="235"/>
      <c r="S43" s="235">
        <f>S42*80%</f>
        <v>83931.687999999966</v>
      </c>
      <c r="T43" s="235">
        <f>T42*90%</f>
        <v>118823.39999999998</v>
      </c>
    </row>
  </sheetData>
  <mergeCells count="63">
    <mergeCell ref="BF6:BF7"/>
    <mergeCell ref="BA6:BA7"/>
    <mergeCell ref="BB6:BB7"/>
    <mergeCell ref="BC6:BC7"/>
    <mergeCell ref="BD6:BD7"/>
    <mergeCell ref="BE6:BE7"/>
    <mergeCell ref="AU6:AU7"/>
    <mergeCell ref="AV6:AV7"/>
    <mergeCell ref="AX6:AX7"/>
    <mergeCell ref="AY6:AY7"/>
    <mergeCell ref="AZ6:AZ7"/>
    <mergeCell ref="AB6:AD6"/>
    <mergeCell ref="AE6:AG6"/>
    <mergeCell ref="AH6:AJ6"/>
    <mergeCell ref="AK6:AM6"/>
    <mergeCell ref="AN6:AN7"/>
    <mergeCell ref="W5:X5"/>
    <mergeCell ref="Z5:AA5"/>
    <mergeCell ref="A6:A7"/>
    <mergeCell ref="B6:B7"/>
    <mergeCell ref="C6:C7"/>
    <mergeCell ref="D6:D7"/>
    <mergeCell ref="E6:G6"/>
    <mergeCell ref="H6:J6"/>
    <mergeCell ref="K6:M6"/>
    <mergeCell ref="N6:P6"/>
    <mergeCell ref="Q6:S6"/>
    <mergeCell ref="T6:U6"/>
    <mergeCell ref="V6:X6"/>
    <mergeCell ref="Y6:AA6"/>
    <mergeCell ref="F5:G5"/>
    <mergeCell ref="I5:J5"/>
    <mergeCell ref="L5:M5"/>
    <mergeCell ref="O5:P5"/>
    <mergeCell ref="R5:S5"/>
    <mergeCell ref="BG5:BP5"/>
    <mergeCell ref="BS5:BU5"/>
    <mergeCell ref="CC5:CH5"/>
    <mergeCell ref="AC5:AD5"/>
    <mergeCell ref="AF5:AG5"/>
    <mergeCell ref="AI5:AJ5"/>
    <mergeCell ref="AL5:AN5"/>
    <mergeCell ref="AP5:AQ5"/>
    <mergeCell ref="AS5:AT5"/>
    <mergeCell ref="AX5:BD5"/>
    <mergeCell ref="CH6:CH7"/>
    <mergeCell ref="CI6:CI7"/>
    <mergeCell ref="BP6:BP7"/>
    <mergeCell ref="BQ6:BQ7"/>
    <mergeCell ref="BR6:BR7"/>
    <mergeCell ref="BS6:BS7"/>
    <mergeCell ref="BT6:BT7"/>
    <mergeCell ref="BU6:BU7"/>
    <mergeCell ref="BV6:CG6"/>
    <mergeCell ref="BN6:BN7"/>
    <mergeCell ref="BO6:BO7"/>
    <mergeCell ref="BG6:BG7"/>
    <mergeCell ref="BH6:BH7"/>
    <mergeCell ref="BI6:BI7"/>
    <mergeCell ref="BJ6:BJ7"/>
    <mergeCell ref="BK6:BK7"/>
    <mergeCell ref="BL6:BL7"/>
    <mergeCell ref="BM6:BM7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  <pageSetUpPr fitToPage="1"/>
  </sheetPr>
  <dimension ref="A1:CK15"/>
  <sheetViews>
    <sheetView workbookViewId="0">
      <pane xSplit="3" topLeftCell="AX1" activePane="topRight" state="frozen"/>
      <selection pane="topRight" activeCell="E2" sqref="E2"/>
    </sheetView>
  </sheetViews>
  <sheetFormatPr defaultColWidth="14.453125" defaultRowHeight="15" customHeight="1" outlineLevelCol="1" x14ac:dyDescent="0.35"/>
  <cols>
    <col min="1" max="2" width="14.453125" hidden="1" outlineLevel="1"/>
    <col min="3" max="3" width="14.453125" outlineLevel="1"/>
    <col min="4" max="49" width="14.453125" hidden="1"/>
    <col min="53" max="56" width="14.453125" hidden="1"/>
    <col min="59" max="59" width="12.08984375" customWidth="1"/>
    <col min="60" max="61" width="14.453125" hidden="1"/>
    <col min="63" max="63" width="14.453125" hidden="1"/>
    <col min="64" max="64" width="12.81640625" customWidth="1"/>
    <col min="65" max="69" width="14.453125" hidden="1"/>
    <col min="70" max="70" width="12.08984375" customWidth="1"/>
    <col min="71" max="71" width="11.7265625" customWidth="1"/>
    <col min="73" max="79" width="14.453125" hidden="1"/>
    <col min="81" max="81" width="12.08984375" customWidth="1"/>
    <col min="82" max="82" width="11.7265625" customWidth="1"/>
    <col min="83" max="83" width="11" customWidth="1"/>
    <col min="84" max="84" width="12.26953125" customWidth="1"/>
    <col min="85" max="85" width="10.54296875" customWidth="1"/>
    <col min="86" max="86" width="10.08984375" customWidth="1"/>
    <col min="87" max="87" width="10.453125" customWidth="1"/>
    <col min="88" max="88" width="14.453125" hidden="1"/>
  </cols>
  <sheetData>
    <row r="1" spans="1:89" x14ac:dyDescent="0.35">
      <c r="A1" s="150" t="s">
        <v>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2" t="s">
        <v>0</v>
      </c>
      <c r="BP1" s="151"/>
      <c r="BQ1" s="151"/>
      <c r="BR1" s="151"/>
      <c r="BS1" s="151"/>
      <c r="BT1" s="151"/>
      <c r="BU1" s="151"/>
      <c r="BV1" s="151"/>
      <c r="BW1" s="151"/>
      <c r="BX1" s="151"/>
      <c r="BY1" s="151"/>
      <c r="BZ1" s="151"/>
      <c r="CA1" s="151"/>
      <c r="CB1" s="151"/>
      <c r="CC1" s="151"/>
      <c r="CD1" s="151"/>
      <c r="CE1" s="151"/>
      <c r="CF1" s="151"/>
      <c r="CG1" s="151"/>
      <c r="CH1" s="153"/>
      <c r="CI1" s="154"/>
      <c r="CJ1" s="154"/>
      <c r="CK1" s="141"/>
    </row>
    <row r="2" spans="1:89" x14ac:dyDescent="0.35">
      <c r="A2" s="155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AX2" s="156" t="s">
        <v>252</v>
      </c>
      <c r="AY2" s="156"/>
      <c r="AZ2" s="156"/>
      <c r="BA2" s="156"/>
      <c r="BB2" s="156"/>
      <c r="BC2" s="156"/>
      <c r="BD2" s="156"/>
      <c r="BE2" s="156"/>
      <c r="BF2" s="156"/>
      <c r="BG2" s="156"/>
      <c r="BH2" s="156"/>
      <c r="BI2" s="156"/>
      <c r="BJ2" s="156"/>
      <c r="BK2" s="156"/>
      <c r="BL2" s="156"/>
      <c r="BM2" s="156"/>
      <c r="BN2" s="156"/>
      <c r="BO2" s="156"/>
      <c r="BP2" s="156"/>
      <c r="BQ2" s="156"/>
      <c r="BR2" s="156"/>
      <c r="BS2" s="156"/>
      <c r="BT2" s="156"/>
      <c r="BU2" s="156"/>
      <c r="BV2" s="156"/>
      <c r="BW2" s="156"/>
      <c r="BX2" s="156"/>
      <c r="BY2" s="156"/>
      <c r="BZ2" s="156"/>
      <c r="CA2" s="156"/>
      <c r="CB2" s="156"/>
      <c r="CC2" s="156"/>
      <c r="CD2" s="156"/>
      <c r="CE2" s="156"/>
      <c r="CF2" s="156"/>
      <c r="CG2" s="156"/>
      <c r="CH2" s="158"/>
      <c r="CI2" s="154"/>
      <c r="CJ2" s="154"/>
      <c r="CK2" s="141"/>
    </row>
    <row r="3" spans="1:89" x14ac:dyDescent="0.35">
      <c r="A3" s="159" t="s">
        <v>10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1" t="s">
        <v>109</v>
      </c>
      <c r="BS3" s="160"/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2"/>
      <c r="CI3" s="163"/>
      <c r="CJ3" s="163"/>
      <c r="CK3" s="141"/>
    </row>
    <row r="4" spans="1:89" x14ac:dyDescent="0.35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6"/>
      <c r="CI4" s="163"/>
      <c r="CJ4" s="163"/>
      <c r="CK4" s="141"/>
    </row>
    <row r="5" spans="1:89" x14ac:dyDescent="0.35">
      <c r="A5" s="167"/>
      <c r="B5" s="167"/>
      <c r="C5" s="167"/>
      <c r="D5" s="167"/>
      <c r="E5" s="168"/>
      <c r="F5" s="434" t="s">
        <v>16</v>
      </c>
      <c r="G5" s="406"/>
      <c r="H5" s="168"/>
      <c r="I5" s="434" t="s">
        <v>16</v>
      </c>
      <c r="J5" s="406"/>
      <c r="K5" s="169"/>
      <c r="L5" s="434" t="s">
        <v>16</v>
      </c>
      <c r="M5" s="406"/>
      <c r="N5" s="169"/>
      <c r="O5" s="434" t="s">
        <v>16</v>
      </c>
      <c r="P5" s="406"/>
      <c r="Q5" s="169"/>
      <c r="R5" s="434" t="s">
        <v>16</v>
      </c>
      <c r="S5" s="406"/>
      <c r="T5" s="169"/>
      <c r="U5" s="170"/>
      <c r="V5" s="169"/>
      <c r="W5" s="434" t="s">
        <v>16</v>
      </c>
      <c r="X5" s="406"/>
      <c r="Y5" s="169"/>
      <c r="Z5" s="434" t="s">
        <v>16</v>
      </c>
      <c r="AA5" s="406"/>
      <c r="AB5" s="169"/>
      <c r="AC5" s="434" t="s">
        <v>16</v>
      </c>
      <c r="AD5" s="406"/>
      <c r="AE5" s="169"/>
      <c r="AF5" s="434" t="s">
        <v>16</v>
      </c>
      <c r="AG5" s="406"/>
      <c r="AH5" s="169"/>
      <c r="AI5" s="434" t="s">
        <v>16</v>
      </c>
      <c r="AJ5" s="406"/>
      <c r="AK5" s="169"/>
      <c r="AL5" s="432" t="s">
        <v>17</v>
      </c>
      <c r="AM5" s="406"/>
      <c r="AN5" s="406"/>
      <c r="AO5" s="169"/>
      <c r="AP5" s="435" t="s">
        <v>17</v>
      </c>
      <c r="AQ5" s="406"/>
      <c r="AR5" s="169"/>
      <c r="AS5" s="435" t="s">
        <v>17</v>
      </c>
      <c r="AT5" s="406"/>
      <c r="AU5" s="169"/>
      <c r="AV5" s="172" t="s">
        <v>18</v>
      </c>
      <c r="AW5" s="173"/>
      <c r="AX5" s="432" t="s">
        <v>19</v>
      </c>
      <c r="AY5" s="406"/>
      <c r="AZ5" s="406"/>
      <c r="BA5" s="406"/>
      <c r="BB5" s="406"/>
      <c r="BC5" s="406"/>
      <c r="BD5" s="406"/>
      <c r="BE5" s="169"/>
      <c r="BF5" s="174"/>
      <c r="BG5" s="432" t="s">
        <v>19</v>
      </c>
      <c r="BH5" s="406"/>
      <c r="BI5" s="406"/>
      <c r="BJ5" s="406"/>
      <c r="BK5" s="406"/>
      <c r="BL5" s="406"/>
      <c r="BM5" s="406"/>
      <c r="BN5" s="406"/>
      <c r="BO5" s="406"/>
      <c r="BP5" s="406"/>
      <c r="BQ5" s="175"/>
      <c r="BR5" s="167"/>
      <c r="BS5" s="433" t="s">
        <v>21</v>
      </c>
      <c r="BT5" s="406"/>
      <c r="BU5" s="406"/>
      <c r="BV5" s="167"/>
      <c r="BW5" s="167"/>
      <c r="BX5" s="167"/>
      <c r="BY5" s="167"/>
      <c r="BZ5" s="167"/>
      <c r="CA5" s="167"/>
      <c r="CB5" s="167"/>
      <c r="CC5" s="432" t="s">
        <v>19</v>
      </c>
      <c r="CD5" s="406"/>
      <c r="CE5" s="406"/>
      <c r="CF5" s="406"/>
      <c r="CG5" s="406"/>
      <c r="CH5" s="406"/>
      <c r="CI5" s="176"/>
      <c r="CJ5" s="176"/>
      <c r="CK5" s="141"/>
    </row>
    <row r="6" spans="1:89" x14ac:dyDescent="0.35">
      <c r="A6" s="436" t="s">
        <v>22</v>
      </c>
      <c r="B6" s="437" t="s">
        <v>23</v>
      </c>
      <c r="C6" s="430" t="s">
        <v>24</v>
      </c>
      <c r="D6" s="430" t="s">
        <v>26</v>
      </c>
      <c r="E6" s="438" t="s">
        <v>27</v>
      </c>
      <c r="F6" s="415"/>
      <c r="G6" s="415"/>
      <c r="H6" s="439" t="s">
        <v>28</v>
      </c>
      <c r="I6" s="406"/>
      <c r="J6" s="407"/>
      <c r="K6" s="439" t="s">
        <v>29</v>
      </c>
      <c r="L6" s="406"/>
      <c r="M6" s="407"/>
      <c r="N6" s="439" t="s">
        <v>30</v>
      </c>
      <c r="O6" s="406"/>
      <c r="P6" s="407"/>
      <c r="Q6" s="439" t="s">
        <v>31</v>
      </c>
      <c r="R6" s="406"/>
      <c r="S6" s="407"/>
      <c r="T6" s="439" t="s">
        <v>32</v>
      </c>
      <c r="U6" s="407"/>
      <c r="V6" s="439" t="s">
        <v>33</v>
      </c>
      <c r="W6" s="406"/>
      <c r="X6" s="407"/>
      <c r="Y6" s="439" t="s">
        <v>34</v>
      </c>
      <c r="Z6" s="406"/>
      <c r="AA6" s="407"/>
      <c r="AB6" s="439" t="s">
        <v>35</v>
      </c>
      <c r="AC6" s="406"/>
      <c r="AD6" s="407"/>
      <c r="AE6" s="439" t="s">
        <v>36</v>
      </c>
      <c r="AF6" s="406"/>
      <c r="AG6" s="407"/>
      <c r="AH6" s="439" t="s">
        <v>37</v>
      </c>
      <c r="AI6" s="406"/>
      <c r="AJ6" s="407"/>
      <c r="AK6" s="439" t="s">
        <v>251</v>
      </c>
      <c r="AL6" s="406"/>
      <c r="AM6" s="406"/>
      <c r="AN6" s="440" t="s">
        <v>40</v>
      </c>
      <c r="AO6" s="177"/>
      <c r="AP6" s="177"/>
      <c r="AQ6" s="177"/>
      <c r="AR6" s="177"/>
      <c r="AS6" s="177"/>
      <c r="AT6" s="177"/>
      <c r="AU6" s="441" t="s">
        <v>41</v>
      </c>
      <c r="AV6" s="440" t="s">
        <v>42</v>
      </c>
      <c r="AW6" s="178"/>
      <c r="AX6" s="442" t="s">
        <v>43</v>
      </c>
      <c r="AY6" s="443" t="s">
        <v>44</v>
      </c>
      <c r="AZ6" s="443" t="s">
        <v>45</v>
      </c>
      <c r="BA6" s="443" t="s">
        <v>46</v>
      </c>
      <c r="BB6" s="443" t="s">
        <v>47</v>
      </c>
      <c r="BC6" s="443" t="s">
        <v>48</v>
      </c>
      <c r="BD6" s="443" t="s">
        <v>49</v>
      </c>
      <c r="BE6" s="443" t="s">
        <v>50</v>
      </c>
      <c r="BF6" s="426" t="s">
        <v>51</v>
      </c>
      <c r="BG6" s="426" t="s">
        <v>52</v>
      </c>
      <c r="BH6" s="427" t="s">
        <v>53</v>
      </c>
      <c r="BI6" s="427" t="s">
        <v>54</v>
      </c>
      <c r="BJ6" s="425" t="s">
        <v>55</v>
      </c>
      <c r="BK6" s="425" t="s">
        <v>56</v>
      </c>
      <c r="BL6" s="425" t="s">
        <v>57</v>
      </c>
      <c r="BM6" s="425" t="s">
        <v>58</v>
      </c>
      <c r="BN6" s="425" t="s">
        <v>59</v>
      </c>
      <c r="BO6" s="425" t="s">
        <v>60</v>
      </c>
      <c r="BP6" s="425" t="s">
        <v>62</v>
      </c>
      <c r="BQ6" s="425" t="s">
        <v>63</v>
      </c>
      <c r="BR6" s="425" t="s">
        <v>64</v>
      </c>
      <c r="BS6" s="429" t="s">
        <v>65</v>
      </c>
      <c r="BT6" s="430" t="s">
        <v>8</v>
      </c>
      <c r="BU6" s="430" t="s">
        <v>66</v>
      </c>
      <c r="BV6" s="431" t="s">
        <v>67</v>
      </c>
      <c r="BW6" s="406"/>
      <c r="BX6" s="406"/>
      <c r="BY6" s="406"/>
      <c r="BZ6" s="406"/>
      <c r="CA6" s="406"/>
      <c r="CB6" s="406"/>
      <c r="CC6" s="406"/>
      <c r="CD6" s="406"/>
      <c r="CE6" s="406"/>
      <c r="CF6" s="406"/>
      <c r="CG6" s="407"/>
      <c r="CH6" s="428" t="s">
        <v>113</v>
      </c>
      <c r="CI6" s="428" t="s">
        <v>114</v>
      </c>
      <c r="CJ6" s="179"/>
      <c r="CK6" s="141"/>
    </row>
    <row r="7" spans="1:89" x14ac:dyDescent="0.35">
      <c r="A7" s="378"/>
      <c r="B7" s="378"/>
      <c r="C7" s="378"/>
      <c r="D7" s="378"/>
      <c r="E7" s="180" t="s">
        <v>69</v>
      </c>
      <c r="F7" s="181" t="s">
        <v>70</v>
      </c>
      <c r="G7" s="182" t="s">
        <v>71</v>
      </c>
      <c r="H7" s="183" t="s">
        <v>72</v>
      </c>
      <c r="I7" s="184" t="s">
        <v>70</v>
      </c>
      <c r="J7" s="185" t="s">
        <v>71</v>
      </c>
      <c r="K7" s="186" t="s">
        <v>73</v>
      </c>
      <c r="L7" s="181" t="s">
        <v>70</v>
      </c>
      <c r="M7" s="187" t="s">
        <v>71</v>
      </c>
      <c r="N7" s="180" t="s">
        <v>74</v>
      </c>
      <c r="O7" s="181" t="s">
        <v>70</v>
      </c>
      <c r="P7" s="187" t="s">
        <v>71</v>
      </c>
      <c r="Q7" s="180" t="s">
        <v>31</v>
      </c>
      <c r="R7" s="181" t="s">
        <v>70</v>
      </c>
      <c r="S7" s="187" t="s">
        <v>71</v>
      </c>
      <c r="T7" s="180" t="s">
        <v>75</v>
      </c>
      <c r="U7" s="187" t="s">
        <v>71</v>
      </c>
      <c r="V7" s="180" t="s">
        <v>76</v>
      </c>
      <c r="W7" s="181" t="s">
        <v>70</v>
      </c>
      <c r="X7" s="187" t="s">
        <v>71</v>
      </c>
      <c r="Y7" s="180" t="s">
        <v>77</v>
      </c>
      <c r="Z7" s="181" t="s">
        <v>70</v>
      </c>
      <c r="AA7" s="187" t="s">
        <v>71</v>
      </c>
      <c r="AB7" s="180" t="s">
        <v>79</v>
      </c>
      <c r="AC7" s="181" t="s">
        <v>70</v>
      </c>
      <c r="AD7" s="187" t="s">
        <v>71</v>
      </c>
      <c r="AE7" s="188" t="s">
        <v>80</v>
      </c>
      <c r="AF7" s="181" t="s">
        <v>70</v>
      </c>
      <c r="AG7" s="187" t="s">
        <v>71</v>
      </c>
      <c r="AH7" s="180" t="s">
        <v>82</v>
      </c>
      <c r="AI7" s="181" t="s">
        <v>70</v>
      </c>
      <c r="AJ7" s="187" t="s">
        <v>71</v>
      </c>
      <c r="AK7" s="180" t="s">
        <v>83</v>
      </c>
      <c r="AL7" s="181" t="s">
        <v>70</v>
      </c>
      <c r="AM7" s="182" t="s">
        <v>71</v>
      </c>
      <c r="AN7" s="378"/>
      <c r="AO7" s="183" t="s">
        <v>84</v>
      </c>
      <c r="AP7" s="184" t="s">
        <v>85</v>
      </c>
      <c r="AQ7" s="185" t="s">
        <v>86</v>
      </c>
      <c r="AR7" s="183" t="s">
        <v>87</v>
      </c>
      <c r="AS7" s="184" t="s">
        <v>88</v>
      </c>
      <c r="AT7" s="185" t="s">
        <v>86</v>
      </c>
      <c r="AU7" s="378"/>
      <c r="AV7" s="378"/>
      <c r="AW7" s="189" t="s">
        <v>89</v>
      </c>
      <c r="AX7" s="420"/>
      <c r="AY7" s="378"/>
      <c r="AZ7" s="378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190" t="s">
        <v>90</v>
      </c>
      <c r="BW7" s="190" t="s">
        <v>91</v>
      </c>
      <c r="BX7" s="190" t="s">
        <v>92</v>
      </c>
      <c r="BY7" s="190" t="s">
        <v>93</v>
      </c>
      <c r="BZ7" s="190" t="s">
        <v>55</v>
      </c>
      <c r="CA7" s="191" t="s">
        <v>57</v>
      </c>
      <c r="CB7" s="190" t="s">
        <v>59</v>
      </c>
      <c r="CC7" s="192" t="s">
        <v>90</v>
      </c>
      <c r="CD7" s="192" t="s">
        <v>91</v>
      </c>
      <c r="CE7" s="192" t="s">
        <v>92</v>
      </c>
      <c r="CF7" s="192" t="s">
        <v>93</v>
      </c>
      <c r="CG7" s="192" t="s">
        <v>55</v>
      </c>
      <c r="CH7" s="378"/>
      <c r="CI7" s="378"/>
      <c r="CJ7" s="179"/>
      <c r="CK7" s="141"/>
    </row>
    <row r="8" spans="1:89" x14ac:dyDescent="0.35">
      <c r="A8" s="193"/>
      <c r="B8" s="194">
        <v>4</v>
      </c>
      <c r="C8" s="195" t="s">
        <v>111</v>
      </c>
      <c r="D8" s="196"/>
      <c r="E8" s="197"/>
      <c r="F8" s="198">
        <v>40</v>
      </c>
      <c r="G8" s="171">
        <f t="shared" ref="G8:G14" si="0">SUM(E8*F8)</f>
        <v>0</v>
      </c>
      <c r="H8" s="199">
        <v>9280</v>
      </c>
      <c r="I8" s="200">
        <v>50</v>
      </c>
      <c r="J8" s="171">
        <f t="shared" ref="J8:J14" si="1">I8*H8</f>
        <v>464000</v>
      </c>
      <c r="K8" s="197"/>
      <c r="L8" s="198">
        <v>60</v>
      </c>
      <c r="M8" s="171">
        <f t="shared" ref="M8:M14" si="2">L8*K8</f>
        <v>0</v>
      </c>
      <c r="N8" s="199">
        <v>3420</v>
      </c>
      <c r="O8" s="198">
        <v>15</v>
      </c>
      <c r="P8" s="171">
        <f t="shared" ref="P8:P14" si="3">N8*O8</f>
        <v>51300</v>
      </c>
      <c r="Q8" s="199">
        <v>430</v>
      </c>
      <c r="R8" s="201">
        <v>12</v>
      </c>
      <c r="S8" s="171">
        <f t="shared" ref="S8:S14" si="4">Q8*R8</f>
        <v>5160</v>
      </c>
      <c r="T8" s="199">
        <v>720</v>
      </c>
      <c r="U8" s="171">
        <f t="shared" ref="U8:U14" si="5">T8*8</f>
        <v>5760</v>
      </c>
      <c r="V8" s="199">
        <v>457</v>
      </c>
      <c r="W8" s="198">
        <v>12</v>
      </c>
      <c r="X8" s="171">
        <f t="shared" ref="X8:X14" si="6">V8*W8</f>
        <v>5484</v>
      </c>
      <c r="Y8" s="199">
        <v>950</v>
      </c>
      <c r="Z8" s="198">
        <v>10</v>
      </c>
      <c r="AA8" s="171">
        <f t="shared" ref="AA8:AA14" si="7">Y8*Z8</f>
        <v>9500</v>
      </c>
      <c r="AB8" s="199">
        <v>279</v>
      </c>
      <c r="AC8" s="198">
        <v>25</v>
      </c>
      <c r="AD8" s="171">
        <f t="shared" ref="AD8:AD14" si="8">AB8*AC8</f>
        <v>6975</v>
      </c>
      <c r="AE8" s="197"/>
      <c r="AF8" s="198">
        <v>7.5</v>
      </c>
      <c r="AG8" s="171">
        <f t="shared" ref="AG8:AG14" si="9">AE8*AF8</f>
        <v>0</v>
      </c>
      <c r="AH8" s="197"/>
      <c r="AI8" s="200">
        <v>15</v>
      </c>
      <c r="AJ8" s="171">
        <f t="shared" ref="AJ8:AJ14" si="10">AH8*AI8</f>
        <v>0</v>
      </c>
      <c r="AK8" s="197"/>
      <c r="AL8" s="198">
        <v>10</v>
      </c>
      <c r="AM8" s="171">
        <f t="shared" ref="AM8:AM14" si="11">AK8*AL8</f>
        <v>0</v>
      </c>
      <c r="AN8" s="199">
        <f t="shared" ref="AN8:AN14" si="12">Q8+T8+V8+Y8+AB8+AE8+AK8</f>
        <v>2836</v>
      </c>
      <c r="AO8" s="197"/>
      <c r="AP8" s="203"/>
      <c r="AQ8" s="197"/>
      <c r="AR8" s="197"/>
      <c r="AS8" s="203"/>
      <c r="AT8" s="197"/>
      <c r="AU8" s="197"/>
      <c r="AV8" s="199">
        <v>1315</v>
      </c>
      <c r="AW8" s="197"/>
      <c r="AX8" s="204">
        <f t="shared" ref="AX8:AX14" si="13">N8/(H8+E8+K8)</f>
        <v>0.36853448275862066</v>
      </c>
      <c r="AY8" s="205">
        <f t="shared" ref="AY8:AY14" si="14">AN8/(H8+E8+K8)</f>
        <v>0.30560344827586206</v>
      </c>
      <c r="AZ8" s="204">
        <f t="shared" ref="AZ8:AZ14" si="15">AV8/N8</f>
        <v>0.38450292397660818</v>
      </c>
      <c r="BA8" s="171">
        <f t="shared" ref="BA8:BA14" si="16">G8+U8+X8+AA8+AD8+S8+J8+M8</f>
        <v>496879</v>
      </c>
      <c r="BB8" s="171">
        <f t="shared" ref="BB8:BB14" si="17">G8+AD8+S8+J8+M8</f>
        <v>476135</v>
      </c>
      <c r="BC8" s="171">
        <f t="shared" ref="BC8:BC14" si="18">G8+U8+X8+AA8+AD8+S8+J8+M8</f>
        <v>496879</v>
      </c>
      <c r="BD8" s="171">
        <f t="shared" ref="BD8:BD14" si="19">G8+U8+X8+AA8+AD8+AG8+S8+J8+M8</f>
        <v>496879</v>
      </c>
      <c r="BE8" s="206">
        <v>578428</v>
      </c>
      <c r="BF8" s="207">
        <v>377472.48</v>
      </c>
      <c r="BG8" s="208">
        <f t="shared" ref="BG8:BG14" si="20">+BF8/BE8%</f>
        <v>65.258334658764795</v>
      </c>
      <c r="BH8" s="209"/>
      <c r="BI8" s="210">
        <f t="shared" ref="BI8:BI14" si="21">SUM(CC8+CD8+CE8+CF8)</f>
        <v>6.9759762667090802E-2</v>
      </c>
      <c r="BJ8" s="211">
        <f>44600+1150</f>
        <v>45750</v>
      </c>
      <c r="BK8" s="208">
        <f t="shared" ref="BK8:BK14" si="22">+BR8/BJ8</f>
        <v>2.9676015300546448</v>
      </c>
      <c r="BL8" s="211">
        <v>562.5</v>
      </c>
      <c r="BM8" s="208">
        <f t="shared" ref="BM8:BM14" si="23">+BR8/BL8</f>
        <v>241.36492444444443</v>
      </c>
      <c r="BN8" s="203"/>
      <c r="BO8" s="208" t="e">
        <f t="shared" ref="BO8:BO14" si="24">+BR8/BN8</f>
        <v>#DIV/0!</v>
      </c>
      <c r="BP8" s="203"/>
      <c r="BQ8" s="208" t="e">
        <f t="shared" ref="BQ8:BQ14" si="25">+BR8/BP8</f>
        <v>#DIV/0!</v>
      </c>
      <c r="BR8" s="212">
        <v>135767.76999999999</v>
      </c>
      <c r="BS8" s="220">
        <f t="shared" ref="BS8:BS14" si="26">+BR8/BE8%</f>
        <v>23.471853022329487</v>
      </c>
      <c r="BT8" s="214">
        <f t="shared" ref="BT8:BT14" si="27">SUM(BE8-BF8-BR8)</f>
        <v>65187.750000000029</v>
      </c>
      <c r="BU8" s="215">
        <f t="shared" ref="BU8:BU14" si="28">+BT8/BE8%</f>
        <v>11.269812318905728</v>
      </c>
      <c r="BV8" s="171">
        <v>12726</v>
      </c>
      <c r="BW8" s="171">
        <v>11137</v>
      </c>
      <c r="BX8" s="171">
        <v>16488</v>
      </c>
      <c r="BY8" s="203"/>
      <c r="BZ8" s="203"/>
      <c r="CA8" s="203"/>
      <c r="CB8" s="171">
        <v>13000</v>
      </c>
      <c r="CC8" s="216">
        <f t="shared" ref="CC8:CC14" si="29">BV8/BE8</f>
        <v>2.2001009633005317E-2</v>
      </c>
      <c r="CD8" s="216">
        <f t="shared" ref="CD8:CD14" si="30">BW8/BE8</f>
        <v>1.9253908870248328E-2</v>
      </c>
      <c r="CE8" s="216">
        <f t="shared" ref="CE8:CE14" si="31">BX8/BE8</f>
        <v>2.8504844163837157E-2</v>
      </c>
      <c r="CF8" s="216">
        <f t="shared" ref="CF8:CF14" si="32">BY8/BE8</f>
        <v>0</v>
      </c>
      <c r="CG8" s="216">
        <f t="shared" ref="CG8:CG14" si="33">BZ8/BE8</f>
        <v>0</v>
      </c>
      <c r="CH8" s="217">
        <f t="shared" ref="CH8:CH14" si="34">+BT8*10%</f>
        <v>6518.7750000000033</v>
      </c>
      <c r="CI8" s="217">
        <f t="shared" ref="CI8:CI14" si="35">BT8*90%</f>
        <v>58668.975000000028</v>
      </c>
      <c r="CJ8" s="218"/>
      <c r="CK8" s="141"/>
    </row>
    <row r="9" spans="1:89" x14ac:dyDescent="0.35">
      <c r="A9" s="193"/>
      <c r="B9" s="194">
        <v>6</v>
      </c>
      <c r="C9" s="195" t="s">
        <v>117</v>
      </c>
      <c r="D9" s="196"/>
      <c r="E9" s="197"/>
      <c r="F9" s="198">
        <v>40</v>
      </c>
      <c r="G9" s="171">
        <f t="shared" si="0"/>
        <v>0</v>
      </c>
      <c r="H9" s="199">
        <v>11966</v>
      </c>
      <c r="I9" s="200">
        <v>50</v>
      </c>
      <c r="J9" s="171">
        <f t="shared" si="1"/>
        <v>598300</v>
      </c>
      <c r="K9" s="197"/>
      <c r="L9" s="198">
        <v>60</v>
      </c>
      <c r="M9" s="171">
        <f t="shared" si="2"/>
        <v>0</v>
      </c>
      <c r="N9" s="199">
        <v>4593</v>
      </c>
      <c r="O9" s="198">
        <v>15</v>
      </c>
      <c r="P9" s="171">
        <f t="shared" si="3"/>
        <v>68895</v>
      </c>
      <c r="Q9" s="197"/>
      <c r="R9" s="201">
        <v>12</v>
      </c>
      <c r="S9" s="171">
        <f t="shared" si="4"/>
        <v>0</v>
      </c>
      <c r="T9" s="199">
        <v>615</v>
      </c>
      <c r="U9" s="171">
        <f t="shared" si="5"/>
        <v>4920</v>
      </c>
      <c r="V9" s="199">
        <v>439</v>
      </c>
      <c r="W9" s="198">
        <v>12</v>
      </c>
      <c r="X9" s="171">
        <f t="shared" si="6"/>
        <v>5268</v>
      </c>
      <c r="Y9" s="199">
        <v>986</v>
      </c>
      <c r="Z9" s="198">
        <v>10</v>
      </c>
      <c r="AA9" s="171">
        <f t="shared" si="7"/>
        <v>9860</v>
      </c>
      <c r="AB9" s="199">
        <v>147</v>
      </c>
      <c r="AC9" s="198">
        <v>25</v>
      </c>
      <c r="AD9" s="171">
        <f t="shared" si="8"/>
        <v>3675</v>
      </c>
      <c r="AE9" s="197"/>
      <c r="AF9" s="198">
        <v>7.5</v>
      </c>
      <c r="AG9" s="171">
        <f t="shared" si="9"/>
        <v>0</v>
      </c>
      <c r="AH9" s="197"/>
      <c r="AI9" s="200">
        <v>15</v>
      </c>
      <c r="AJ9" s="171">
        <f t="shared" si="10"/>
        <v>0</v>
      </c>
      <c r="AK9" s="197"/>
      <c r="AL9" s="198">
        <v>10</v>
      </c>
      <c r="AM9" s="171">
        <f t="shared" si="11"/>
        <v>0</v>
      </c>
      <c r="AN9" s="199">
        <f t="shared" si="12"/>
        <v>2187</v>
      </c>
      <c r="AO9" s="197"/>
      <c r="AP9" s="203"/>
      <c r="AQ9" s="197"/>
      <c r="AR9" s="197"/>
      <c r="AS9" s="203"/>
      <c r="AT9" s="197"/>
      <c r="AU9" s="197"/>
      <c r="AV9" s="199">
        <v>2285</v>
      </c>
      <c r="AW9" s="197"/>
      <c r="AX9" s="204">
        <f t="shared" si="13"/>
        <v>0.38383753969580475</v>
      </c>
      <c r="AY9" s="204">
        <f t="shared" si="14"/>
        <v>0.18276784221962225</v>
      </c>
      <c r="AZ9" s="205">
        <f t="shared" si="15"/>
        <v>0.49749618985412586</v>
      </c>
      <c r="BA9" s="171">
        <f t="shared" si="16"/>
        <v>622023</v>
      </c>
      <c r="BB9" s="171">
        <f t="shared" si="17"/>
        <v>601975</v>
      </c>
      <c r="BC9" s="171">
        <f t="shared" si="18"/>
        <v>622023</v>
      </c>
      <c r="BD9" s="171">
        <f t="shared" si="19"/>
        <v>622023</v>
      </c>
      <c r="BE9" s="206">
        <v>743155</v>
      </c>
      <c r="BF9" s="207">
        <v>481572.24</v>
      </c>
      <c r="BG9" s="208">
        <f t="shared" si="20"/>
        <v>64.801049579159127</v>
      </c>
      <c r="BH9" s="209"/>
      <c r="BI9" s="210">
        <f t="shared" si="21"/>
        <v>8.2204923602747754E-2</v>
      </c>
      <c r="BJ9" s="211">
        <v>66162.5</v>
      </c>
      <c r="BK9" s="208">
        <f t="shared" si="22"/>
        <v>3.2048875118080482</v>
      </c>
      <c r="BL9" s="203"/>
      <c r="BM9" s="208" t="e">
        <f t="shared" si="23"/>
        <v>#DIV/0!</v>
      </c>
      <c r="BN9" s="203"/>
      <c r="BO9" s="208" t="e">
        <f t="shared" si="24"/>
        <v>#DIV/0!</v>
      </c>
      <c r="BP9" s="203"/>
      <c r="BQ9" s="208" t="e">
        <f t="shared" si="25"/>
        <v>#DIV/0!</v>
      </c>
      <c r="BR9" s="212">
        <v>212043.37</v>
      </c>
      <c r="BS9" s="220">
        <f t="shared" si="26"/>
        <v>28.532859228559317</v>
      </c>
      <c r="BT9" s="214">
        <f t="shared" si="27"/>
        <v>49539.390000000014</v>
      </c>
      <c r="BU9" s="215">
        <f t="shared" si="28"/>
        <v>6.6660911922815584</v>
      </c>
      <c r="BV9" s="171">
        <v>21056</v>
      </c>
      <c r="BW9" s="171">
        <v>14319</v>
      </c>
      <c r="BX9" s="171">
        <v>19236</v>
      </c>
      <c r="BY9" s="171">
        <v>6480</v>
      </c>
      <c r="BZ9" s="203"/>
      <c r="CA9" s="203"/>
      <c r="CB9" s="171">
        <v>26280</v>
      </c>
      <c r="CC9" s="216">
        <f t="shared" si="29"/>
        <v>2.8333254839165451E-2</v>
      </c>
      <c r="CD9" s="216">
        <f t="shared" si="30"/>
        <v>1.9267851255794551E-2</v>
      </c>
      <c r="CE9" s="216">
        <f t="shared" si="31"/>
        <v>2.5884236801205669E-2</v>
      </c>
      <c r="CF9" s="216">
        <f t="shared" si="32"/>
        <v>8.7195807065820717E-3</v>
      </c>
      <c r="CG9" s="216">
        <f t="shared" si="33"/>
        <v>0</v>
      </c>
      <c r="CH9" s="217">
        <f t="shared" si="34"/>
        <v>4953.9390000000021</v>
      </c>
      <c r="CI9" s="217">
        <f t="shared" si="35"/>
        <v>44585.451000000015</v>
      </c>
      <c r="CJ9" s="218"/>
      <c r="CK9" s="141"/>
    </row>
    <row r="10" spans="1:89" x14ac:dyDescent="0.35">
      <c r="A10" s="193"/>
      <c r="B10" s="219">
        <v>4</v>
      </c>
      <c r="C10" s="195" t="s">
        <v>213</v>
      </c>
      <c r="D10" s="196"/>
      <c r="E10" s="197"/>
      <c r="F10" s="198">
        <v>40</v>
      </c>
      <c r="G10" s="171">
        <f t="shared" si="0"/>
        <v>0</v>
      </c>
      <c r="H10" s="199">
        <v>4182</v>
      </c>
      <c r="I10" s="200">
        <v>50</v>
      </c>
      <c r="J10" s="171">
        <f t="shared" si="1"/>
        <v>209100</v>
      </c>
      <c r="K10" s="197"/>
      <c r="L10" s="198">
        <v>60</v>
      </c>
      <c r="M10" s="171">
        <f t="shared" si="2"/>
        <v>0</v>
      </c>
      <c r="N10" s="199">
        <v>1925</v>
      </c>
      <c r="O10" s="198">
        <v>15</v>
      </c>
      <c r="P10" s="171">
        <f t="shared" si="3"/>
        <v>28875</v>
      </c>
      <c r="Q10" s="199">
        <v>730</v>
      </c>
      <c r="R10" s="201">
        <v>12</v>
      </c>
      <c r="S10" s="171">
        <f t="shared" si="4"/>
        <v>8760</v>
      </c>
      <c r="T10" s="199">
        <v>278</v>
      </c>
      <c r="U10" s="171">
        <f t="shared" si="5"/>
        <v>2224</v>
      </c>
      <c r="V10" s="199">
        <v>149</v>
      </c>
      <c r="W10" s="198">
        <v>12</v>
      </c>
      <c r="X10" s="171">
        <f t="shared" si="6"/>
        <v>1788</v>
      </c>
      <c r="Y10" s="199">
        <v>634</v>
      </c>
      <c r="Z10" s="198">
        <v>10</v>
      </c>
      <c r="AA10" s="171">
        <f t="shared" si="7"/>
        <v>6340</v>
      </c>
      <c r="AB10" s="199">
        <v>63</v>
      </c>
      <c r="AC10" s="198">
        <v>25</v>
      </c>
      <c r="AD10" s="171">
        <f t="shared" si="8"/>
        <v>1575</v>
      </c>
      <c r="AE10" s="197"/>
      <c r="AF10" s="198">
        <v>7.5</v>
      </c>
      <c r="AG10" s="171">
        <f t="shared" si="9"/>
        <v>0</v>
      </c>
      <c r="AH10" s="197"/>
      <c r="AI10" s="200">
        <v>15</v>
      </c>
      <c r="AJ10" s="171">
        <f t="shared" si="10"/>
        <v>0</v>
      </c>
      <c r="AK10" s="199">
        <v>23</v>
      </c>
      <c r="AL10" s="198">
        <v>10</v>
      </c>
      <c r="AM10" s="171">
        <f t="shared" si="11"/>
        <v>230</v>
      </c>
      <c r="AN10" s="199">
        <f t="shared" si="12"/>
        <v>1877</v>
      </c>
      <c r="AO10" s="197"/>
      <c r="AP10" s="203"/>
      <c r="AQ10" s="197"/>
      <c r="AR10" s="197"/>
      <c r="AS10" s="203"/>
      <c r="AT10" s="197"/>
      <c r="AU10" s="197"/>
      <c r="AV10" s="199">
        <f>511+58+15+30</f>
        <v>614</v>
      </c>
      <c r="AW10" s="197"/>
      <c r="AX10" s="204">
        <f t="shared" si="13"/>
        <v>0.4603060736489718</v>
      </c>
      <c r="AY10" s="205">
        <f t="shared" si="14"/>
        <v>0.44882831181252991</v>
      </c>
      <c r="AZ10" s="204">
        <f t="shared" si="15"/>
        <v>0.31896103896103895</v>
      </c>
      <c r="BA10" s="171">
        <f t="shared" si="16"/>
        <v>229787</v>
      </c>
      <c r="BB10" s="171">
        <f t="shared" si="17"/>
        <v>219435</v>
      </c>
      <c r="BC10" s="171">
        <f t="shared" si="18"/>
        <v>229787</v>
      </c>
      <c r="BD10" s="171">
        <f t="shared" si="19"/>
        <v>229787</v>
      </c>
      <c r="BE10" s="206">
        <v>273922</v>
      </c>
      <c r="BF10" s="207">
        <v>176097.75</v>
      </c>
      <c r="BG10" s="208">
        <f t="shared" si="20"/>
        <v>64.287552660976488</v>
      </c>
      <c r="BH10" s="209"/>
      <c r="BI10" s="210">
        <f t="shared" si="21"/>
        <v>0.11379881864180313</v>
      </c>
      <c r="BJ10" s="211">
        <f>28050+1250</f>
        <v>29300</v>
      </c>
      <c r="BK10" s="208">
        <f t="shared" si="22"/>
        <v>3.3977443686006827</v>
      </c>
      <c r="BL10" s="211">
        <v>3750</v>
      </c>
      <c r="BM10" s="208">
        <f t="shared" si="23"/>
        <v>26.547709333333334</v>
      </c>
      <c r="BN10" s="203"/>
      <c r="BO10" s="208" t="e">
        <f t="shared" si="24"/>
        <v>#DIV/0!</v>
      </c>
      <c r="BP10" s="203"/>
      <c r="BQ10" s="208" t="e">
        <f t="shared" si="25"/>
        <v>#DIV/0!</v>
      </c>
      <c r="BR10" s="212">
        <v>99553.91</v>
      </c>
      <c r="BS10" s="220">
        <f t="shared" si="26"/>
        <v>36.343889866458341</v>
      </c>
      <c r="BT10" s="244">
        <f t="shared" si="27"/>
        <v>-1729.6600000000035</v>
      </c>
      <c r="BU10" s="245">
        <f t="shared" si="28"/>
        <v>-0.63144252743481855</v>
      </c>
      <c r="BV10" s="171">
        <v>8498</v>
      </c>
      <c r="BW10" s="171">
        <v>9546</v>
      </c>
      <c r="BX10" s="171">
        <v>9618</v>
      </c>
      <c r="BY10" s="171">
        <v>3510</v>
      </c>
      <c r="BZ10" s="203"/>
      <c r="CA10" s="203"/>
      <c r="CB10" s="171">
        <v>10000</v>
      </c>
      <c r="CC10" s="221">
        <f t="shared" si="29"/>
        <v>3.1023430027526083E-2</v>
      </c>
      <c r="CD10" s="221">
        <f t="shared" si="30"/>
        <v>3.4849336672483411E-2</v>
      </c>
      <c r="CE10" s="221">
        <f t="shared" si="31"/>
        <v>3.5112185220610249E-2</v>
      </c>
      <c r="CF10" s="216">
        <f t="shared" si="32"/>
        <v>1.2813866721183403E-2</v>
      </c>
      <c r="CG10" s="216">
        <f t="shared" si="33"/>
        <v>0</v>
      </c>
      <c r="CH10" s="246">
        <f t="shared" si="34"/>
        <v>-172.96600000000035</v>
      </c>
      <c r="CI10" s="246">
        <f t="shared" si="35"/>
        <v>-1556.6940000000031</v>
      </c>
      <c r="CJ10" s="218"/>
      <c r="CK10" s="141"/>
    </row>
    <row r="11" spans="1:89" x14ac:dyDescent="0.35">
      <c r="A11" s="193"/>
      <c r="B11" s="219">
        <v>5</v>
      </c>
      <c r="C11" s="195" t="s">
        <v>206</v>
      </c>
      <c r="D11" s="196"/>
      <c r="E11" s="197"/>
      <c r="F11" s="198">
        <v>40</v>
      </c>
      <c r="G11" s="171">
        <f t="shared" si="0"/>
        <v>0</v>
      </c>
      <c r="H11" s="199">
        <v>11320</v>
      </c>
      <c r="I11" s="200">
        <v>50</v>
      </c>
      <c r="J11" s="171">
        <f t="shared" si="1"/>
        <v>566000</v>
      </c>
      <c r="K11" s="197"/>
      <c r="L11" s="198">
        <v>60</v>
      </c>
      <c r="M11" s="171">
        <f t="shared" si="2"/>
        <v>0</v>
      </c>
      <c r="N11" s="199">
        <v>3926</v>
      </c>
      <c r="O11" s="198">
        <v>15</v>
      </c>
      <c r="P11" s="171">
        <f t="shared" si="3"/>
        <v>58890</v>
      </c>
      <c r="Q11" s="199">
        <v>1480</v>
      </c>
      <c r="R11" s="201">
        <v>12</v>
      </c>
      <c r="S11" s="171">
        <f t="shared" si="4"/>
        <v>17760</v>
      </c>
      <c r="T11" s="199">
        <v>986</v>
      </c>
      <c r="U11" s="171">
        <f t="shared" si="5"/>
        <v>7888</v>
      </c>
      <c r="V11" s="199">
        <v>461</v>
      </c>
      <c r="W11" s="198">
        <v>12</v>
      </c>
      <c r="X11" s="171">
        <f t="shared" si="6"/>
        <v>5532</v>
      </c>
      <c r="Y11" s="199">
        <v>1006</v>
      </c>
      <c r="Z11" s="198">
        <v>10</v>
      </c>
      <c r="AA11" s="171">
        <f t="shared" si="7"/>
        <v>10060</v>
      </c>
      <c r="AB11" s="199">
        <v>320</v>
      </c>
      <c r="AC11" s="198">
        <v>25</v>
      </c>
      <c r="AD11" s="171">
        <f t="shared" si="8"/>
        <v>8000</v>
      </c>
      <c r="AE11" s="197"/>
      <c r="AF11" s="198">
        <v>7.5</v>
      </c>
      <c r="AG11" s="171">
        <f t="shared" si="9"/>
        <v>0</v>
      </c>
      <c r="AH11" s="197"/>
      <c r="AI11" s="200">
        <v>15</v>
      </c>
      <c r="AJ11" s="171">
        <f t="shared" si="10"/>
        <v>0</v>
      </c>
      <c r="AK11" s="199">
        <v>228</v>
      </c>
      <c r="AL11" s="198">
        <v>10</v>
      </c>
      <c r="AM11" s="171">
        <f t="shared" si="11"/>
        <v>2280</v>
      </c>
      <c r="AN11" s="199">
        <f t="shared" si="12"/>
        <v>4481</v>
      </c>
      <c r="AO11" s="197"/>
      <c r="AP11" s="203"/>
      <c r="AQ11" s="197"/>
      <c r="AR11" s="197"/>
      <c r="AS11" s="203"/>
      <c r="AT11" s="197"/>
      <c r="AU11" s="197"/>
      <c r="AV11" s="199">
        <v>2342</v>
      </c>
      <c r="AW11" s="197"/>
      <c r="AX11" s="204">
        <f t="shared" si="13"/>
        <v>0.34681978798586571</v>
      </c>
      <c r="AY11" s="205">
        <f t="shared" si="14"/>
        <v>0.39584805653710248</v>
      </c>
      <c r="AZ11" s="205">
        <f t="shared" si="15"/>
        <v>0.59653591441670917</v>
      </c>
      <c r="BA11" s="171">
        <f t="shared" si="16"/>
        <v>615240</v>
      </c>
      <c r="BB11" s="171">
        <f t="shared" si="17"/>
        <v>591760</v>
      </c>
      <c r="BC11" s="171">
        <f t="shared" si="18"/>
        <v>615240</v>
      </c>
      <c r="BD11" s="171">
        <f t="shared" si="19"/>
        <v>615240</v>
      </c>
      <c r="BE11" s="206">
        <v>731763</v>
      </c>
      <c r="BF11" s="207">
        <v>476998.62</v>
      </c>
      <c r="BG11" s="208">
        <f t="shared" si="20"/>
        <v>65.184850832851623</v>
      </c>
      <c r="BH11" s="209"/>
      <c r="BI11" s="210">
        <f t="shared" si="21"/>
        <v>7.6173569858000473E-2</v>
      </c>
      <c r="BJ11" s="211">
        <v>47300</v>
      </c>
      <c r="BK11" s="208">
        <f t="shared" si="22"/>
        <v>3.608760465116279</v>
      </c>
      <c r="BL11" s="203"/>
      <c r="BM11" s="208" t="e">
        <f t="shared" si="23"/>
        <v>#DIV/0!</v>
      </c>
      <c r="BN11" s="203"/>
      <c r="BO11" s="208" t="e">
        <f t="shared" si="24"/>
        <v>#DIV/0!</v>
      </c>
      <c r="BP11" s="203"/>
      <c r="BQ11" s="208" t="e">
        <f t="shared" si="25"/>
        <v>#DIV/0!</v>
      </c>
      <c r="BR11" s="212">
        <v>170694.37</v>
      </c>
      <c r="BS11" s="220">
        <f t="shared" si="26"/>
        <v>23.326455423408945</v>
      </c>
      <c r="BT11" s="214">
        <f t="shared" si="27"/>
        <v>84070.010000000009</v>
      </c>
      <c r="BU11" s="215">
        <f t="shared" si="28"/>
        <v>11.488693743739436</v>
      </c>
      <c r="BV11" s="171">
        <v>16786</v>
      </c>
      <c r="BW11" s="171">
        <v>14319</v>
      </c>
      <c r="BX11" s="171">
        <v>19236</v>
      </c>
      <c r="BY11" s="171">
        <v>5400</v>
      </c>
      <c r="BZ11" s="203"/>
      <c r="CA11" s="203"/>
      <c r="CB11" s="171">
        <v>16000</v>
      </c>
      <c r="CC11" s="216">
        <f t="shared" si="29"/>
        <v>2.2939120999558599E-2</v>
      </c>
      <c r="CD11" s="216">
        <f t="shared" si="30"/>
        <v>1.9567810889591301E-2</v>
      </c>
      <c r="CE11" s="216">
        <f t="shared" si="31"/>
        <v>2.6287199544114691E-2</v>
      </c>
      <c r="CF11" s="216">
        <f t="shared" si="32"/>
        <v>7.3794384247358779E-3</v>
      </c>
      <c r="CG11" s="216">
        <f t="shared" si="33"/>
        <v>0</v>
      </c>
      <c r="CH11" s="217">
        <f t="shared" si="34"/>
        <v>8407.001000000002</v>
      </c>
      <c r="CI11" s="217">
        <f t="shared" si="35"/>
        <v>75663.009000000005</v>
      </c>
      <c r="CJ11" s="218"/>
      <c r="CK11" s="141"/>
    </row>
    <row r="12" spans="1:89" x14ac:dyDescent="0.35">
      <c r="A12" s="193"/>
      <c r="B12" s="219">
        <v>2</v>
      </c>
      <c r="C12" s="195" t="s">
        <v>220</v>
      </c>
      <c r="D12" s="196"/>
      <c r="E12" s="197"/>
      <c r="F12" s="198">
        <v>40</v>
      </c>
      <c r="G12" s="171">
        <f t="shared" si="0"/>
        <v>0</v>
      </c>
      <c r="H12" s="199">
        <v>3591</v>
      </c>
      <c r="I12" s="200">
        <v>50</v>
      </c>
      <c r="J12" s="171">
        <f t="shared" si="1"/>
        <v>179550</v>
      </c>
      <c r="K12" s="197"/>
      <c r="L12" s="198">
        <v>60</v>
      </c>
      <c r="M12" s="171">
        <f t="shared" si="2"/>
        <v>0</v>
      </c>
      <c r="N12" s="199">
        <v>1136</v>
      </c>
      <c r="O12" s="198">
        <v>15</v>
      </c>
      <c r="P12" s="171">
        <f t="shared" si="3"/>
        <v>17040</v>
      </c>
      <c r="Q12" s="199">
        <v>3720</v>
      </c>
      <c r="R12" s="201">
        <v>12</v>
      </c>
      <c r="S12" s="171">
        <f t="shared" si="4"/>
        <v>44640</v>
      </c>
      <c r="T12" s="199">
        <v>332</v>
      </c>
      <c r="U12" s="171">
        <f t="shared" si="5"/>
        <v>2656</v>
      </c>
      <c r="V12" s="199">
        <v>170</v>
      </c>
      <c r="W12" s="198">
        <v>12</v>
      </c>
      <c r="X12" s="171">
        <f t="shared" si="6"/>
        <v>2040</v>
      </c>
      <c r="Y12" s="199">
        <v>463</v>
      </c>
      <c r="Z12" s="198">
        <v>10</v>
      </c>
      <c r="AA12" s="171">
        <f t="shared" si="7"/>
        <v>4630</v>
      </c>
      <c r="AB12" s="199">
        <v>163</v>
      </c>
      <c r="AC12" s="198">
        <v>25</v>
      </c>
      <c r="AD12" s="171">
        <f t="shared" si="8"/>
        <v>4075</v>
      </c>
      <c r="AE12" s="197"/>
      <c r="AF12" s="198">
        <v>7.5</v>
      </c>
      <c r="AG12" s="171">
        <f t="shared" si="9"/>
        <v>0</v>
      </c>
      <c r="AH12" s="197"/>
      <c r="AI12" s="200">
        <v>15</v>
      </c>
      <c r="AJ12" s="171">
        <f t="shared" si="10"/>
        <v>0</v>
      </c>
      <c r="AK12" s="197"/>
      <c r="AL12" s="198">
        <v>10</v>
      </c>
      <c r="AM12" s="171">
        <f t="shared" si="11"/>
        <v>0</v>
      </c>
      <c r="AN12" s="199">
        <f t="shared" si="12"/>
        <v>4848</v>
      </c>
      <c r="AO12" s="197"/>
      <c r="AP12" s="203"/>
      <c r="AQ12" s="197"/>
      <c r="AR12" s="197"/>
      <c r="AS12" s="203"/>
      <c r="AT12" s="197"/>
      <c r="AU12" s="197"/>
      <c r="AV12" s="199">
        <f>15+267+31</f>
        <v>313</v>
      </c>
      <c r="AW12" s="197"/>
      <c r="AX12" s="204">
        <f t="shared" si="13"/>
        <v>0.31634642160957949</v>
      </c>
      <c r="AY12" s="205">
        <f t="shared" si="14"/>
        <v>1.3500417710944026</v>
      </c>
      <c r="AZ12" s="204">
        <f t="shared" si="15"/>
        <v>0.2755281690140845</v>
      </c>
      <c r="BA12" s="171">
        <f t="shared" si="16"/>
        <v>237591</v>
      </c>
      <c r="BB12" s="171">
        <f t="shared" si="17"/>
        <v>228265</v>
      </c>
      <c r="BC12" s="171">
        <f t="shared" si="18"/>
        <v>237591</v>
      </c>
      <c r="BD12" s="171">
        <f t="shared" si="19"/>
        <v>237591</v>
      </c>
      <c r="BE12" s="206">
        <v>260245</v>
      </c>
      <c r="BF12" s="207">
        <v>169988.19</v>
      </c>
      <c r="BG12" s="208">
        <f t="shared" si="20"/>
        <v>65.318522930315666</v>
      </c>
      <c r="BH12" s="209"/>
      <c r="BI12" s="210">
        <f t="shared" si="21"/>
        <v>7.6493304386251418E-2</v>
      </c>
      <c r="BJ12" s="211">
        <f>22050+1100</f>
        <v>23150</v>
      </c>
      <c r="BK12" s="208">
        <f t="shared" si="22"/>
        <v>3.2226993520518361</v>
      </c>
      <c r="BL12" s="211">
        <v>3000</v>
      </c>
      <c r="BM12" s="208">
        <f t="shared" si="23"/>
        <v>24.868496666666669</v>
      </c>
      <c r="BN12" s="203"/>
      <c r="BO12" s="208" t="e">
        <f t="shared" si="24"/>
        <v>#DIV/0!</v>
      </c>
      <c r="BP12" s="203"/>
      <c r="BQ12" s="208" t="e">
        <f t="shared" si="25"/>
        <v>#DIV/0!</v>
      </c>
      <c r="BR12" s="212">
        <v>74605.490000000005</v>
      </c>
      <c r="BS12" s="220">
        <f t="shared" si="26"/>
        <v>28.667405713846573</v>
      </c>
      <c r="BT12" s="214">
        <f t="shared" si="27"/>
        <v>15651.319999999992</v>
      </c>
      <c r="BU12" s="215">
        <f t="shared" si="28"/>
        <v>6.0140713558377659</v>
      </c>
      <c r="BV12" s="171">
        <v>8288</v>
      </c>
      <c r="BW12" s="171">
        <v>4773</v>
      </c>
      <c r="BX12" s="171">
        <v>5496</v>
      </c>
      <c r="BY12" s="171">
        <v>1350</v>
      </c>
      <c r="BZ12" s="203"/>
      <c r="CA12" s="203"/>
      <c r="CB12" s="171">
        <v>10000</v>
      </c>
      <c r="CC12" s="221">
        <f t="shared" si="29"/>
        <v>3.1846913485369555E-2</v>
      </c>
      <c r="CD12" s="216">
        <f t="shared" si="30"/>
        <v>1.834040999827086E-2</v>
      </c>
      <c r="CE12" s="216">
        <f t="shared" si="31"/>
        <v>2.1118561355645642E-2</v>
      </c>
      <c r="CF12" s="216">
        <f t="shared" si="32"/>
        <v>5.1874195469653597E-3</v>
      </c>
      <c r="CG12" s="216">
        <f t="shared" si="33"/>
        <v>0</v>
      </c>
      <c r="CH12" s="217">
        <f t="shared" si="34"/>
        <v>1565.1319999999994</v>
      </c>
      <c r="CI12" s="217">
        <f t="shared" si="35"/>
        <v>14086.187999999993</v>
      </c>
      <c r="CJ12" s="218"/>
      <c r="CK12" s="141"/>
    </row>
    <row r="13" spans="1:89" x14ac:dyDescent="0.35">
      <c r="A13" s="193"/>
      <c r="B13" s="219" t="s">
        <v>106</v>
      </c>
      <c r="C13" s="195" t="s">
        <v>107</v>
      </c>
      <c r="D13" s="196"/>
      <c r="E13" s="197"/>
      <c r="F13" s="198">
        <v>40</v>
      </c>
      <c r="G13" s="171">
        <f t="shared" si="0"/>
        <v>0</v>
      </c>
      <c r="H13" s="199">
        <v>25708</v>
      </c>
      <c r="I13" s="200">
        <v>50</v>
      </c>
      <c r="J13" s="171">
        <f t="shared" si="1"/>
        <v>1285400</v>
      </c>
      <c r="K13" s="197"/>
      <c r="L13" s="198">
        <v>60</v>
      </c>
      <c r="M13" s="171">
        <f t="shared" si="2"/>
        <v>0</v>
      </c>
      <c r="N13" s="199">
        <v>12934</v>
      </c>
      <c r="O13" s="198">
        <v>15</v>
      </c>
      <c r="P13" s="171">
        <f t="shared" si="3"/>
        <v>194010</v>
      </c>
      <c r="Q13" s="199">
        <v>220</v>
      </c>
      <c r="R13" s="201">
        <v>12</v>
      </c>
      <c r="S13" s="171">
        <f t="shared" si="4"/>
        <v>2640</v>
      </c>
      <c r="T13" s="199">
        <v>1167</v>
      </c>
      <c r="U13" s="171">
        <f t="shared" si="5"/>
        <v>9336</v>
      </c>
      <c r="V13" s="199">
        <v>537</v>
      </c>
      <c r="W13" s="198">
        <v>12</v>
      </c>
      <c r="X13" s="171">
        <f t="shared" si="6"/>
        <v>6444</v>
      </c>
      <c r="Y13" s="199">
        <v>1220</v>
      </c>
      <c r="Z13" s="198">
        <v>10</v>
      </c>
      <c r="AA13" s="171">
        <f t="shared" si="7"/>
        <v>12200</v>
      </c>
      <c r="AB13" s="199">
        <v>494</v>
      </c>
      <c r="AC13" s="198">
        <v>25</v>
      </c>
      <c r="AD13" s="171">
        <f t="shared" si="8"/>
        <v>12350</v>
      </c>
      <c r="AE13" s="197"/>
      <c r="AF13" s="248">
        <v>7.5</v>
      </c>
      <c r="AG13" s="171">
        <f t="shared" si="9"/>
        <v>0</v>
      </c>
      <c r="AH13" s="197"/>
      <c r="AI13" s="200">
        <v>15</v>
      </c>
      <c r="AJ13" s="171">
        <f t="shared" si="10"/>
        <v>0</v>
      </c>
      <c r="AK13" s="199">
        <v>476</v>
      </c>
      <c r="AL13" s="198">
        <v>10</v>
      </c>
      <c r="AM13" s="171">
        <f t="shared" si="11"/>
        <v>4760</v>
      </c>
      <c r="AN13" s="199">
        <f t="shared" si="12"/>
        <v>4114</v>
      </c>
      <c r="AO13" s="197"/>
      <c r="AP13" s="203"/>
      <c r="AQ13" s="197"/>
      <c r="AR13" s="197"/>
      <c r="AS13" s="203"/>
      <c r="AT13" s="197"/>
      <c r="AU13" s="197"/>
      <c r="AV13" s="199">
        <v>3505</v>
      </c>
      <c r="AW13" s="197"/>
      <c r="AX13" s="205">
        <f t="shared" si="13"/>
        <v>0.50311187179088224</v>
      </c>
      <c r="AY13" s="204">
        <f t="shared" si="14"/>
        <v>0.16002800684611793</v>
      </c>
      <c r="AZ13" s="204">
        <f t="shared" si="15"/>
        <v>0.27099118602133909</v>
      </c>
      <c r="BA13" s="171">
        <f t="shared" si="16"/>
        <v>1328370</v>
      </c>
      <c r="BB13" s="171">
        <f t="shared" si="17"/>
        <v>1300390</v>
      </c>
      <c r="BC13" s="171">
        <f t="shared" si="18"/>
        <v>1328370</v>
      </c>
      <c r="BD13" s="171">
        <f t="shared" si="19"/>
        <v>1328370</v>
      </c>
      <c r="BE13" s="206">
        <v>1608707</v>
      </c>
      <c r="BF13" s="207">
        <v>1082024.49</v>
      </c>
      <c r="BG13" s="208">
        <f t="shared" si="20"/>
        <v>67.260507351556257</v>
      </c>
      <c r="BH13" s="209"/>
      <c r="BI13" s="210">
        <f t="shared" si="21"/>
        <v>7.6700729219180364E-2</v>
      </c>
      <c r="BJ13" s="211">
        <v>103787.5</v>
      </c>
      <c r="BK13" s="208">
        <f t="shared" si="22"/>
        <v>3.1821006383234978</v>
      </c>
      <c r="BL13" s="211">
        <v>500</v>
      </c>
      <c r="BM13" s="208">
        <f t="shared" si="23"/>
        <v>660.52454</v>
      </c>
      <c r="BN13" s="203"/>
      <c r="BO13" s="208" t="e">
        <f t="shared" si="24"/>
        <v>#DIV/0!</v>
      </c>
      <c r="BP13" s="203"/>
      <c r="BQ13" s="208" t="e">
        <f t="shared" si="25"/>
        <v>#DIV/0!</v>
      </c>
      <c r="BR13" s="212">
        <v>330262.27</v>
      </c>
      <c r="BS13" s="213">
        <f t="shared" si="26"/>
        <v>20.529671966368024</v>
      </c>
      <c r="BT13" s="214">
        <f t="shared" si="27"/>
        <v>196420.24</v>
      </c>
      <c r="BU13" s="215">
        <f t="shared" si="28"/>
        <v>12.209820682075728</v>
      </c>
      <c r="BV13" s="171">
        <v>43455</v>
      </c>
      <c r="BW13" s="171">
        <v>28638</v>
      </c>
      <c r="BX13" s="171">
        <v>42656</v>
      </c>
      <c r="BY13" s="171">
        <v>8640</v>
      </c>
      <c r="BZ13" s="203"/>
      <c r="CA13" s="203"/>
      <c r="CB13" s="171">
        <v>30500</v>
      </c>
      <c r="CC13" s="216">
        <f t="shared" si="29"/>
        <v>2.7012377020799935E-2</v>
      </c>
      <c r="CD13" s="216">
        <f t="shared" si="30"/>
        <v>1.7801874424615546E-2</v>
      </c>
      <c r="CE13" s="216">
        <f t="shared" si="31"/>
        <v>2.6515704848676609E-2</v>
      </c>
      <c r="CF13" s="216">
        <f t="shared" si="32"/>
        <v>5.3707729250882848E-3</v>
      </c>
      <c r="CG13" s="216">
        <f t="shared" si="33"/>
        <v>0</v>
      </c>
      <c r="CH13" s="217">
        <f t="shared" si="34"/>
        <v>19642.024000000001</v>
      </c>
      <c r="CI13" s="217">
        <f t="shared" si="35"/>
        <v>176778.21599999999</v>
      </c>
      <c r="CJ13" s="218"/>
      <c r="CK13" s="141"/>
    </row>
    <row r="14" spans="1:89" x14ac:dyDescent="0.35">
      <c r="A14" s="193"/>
      <c r="B14" s="194" t="s">
        <v>221</v>
      </c>
      <c r="C14" s="195" t="s">
        <v>222</v>
      </c>
      <c r="D14" s="196"/>
      <c r="E14" s="197"/>
      <c r="F14" s="198">
        <v>40</v>
      </c>
      <c r="G14" s="171">
        <f t="shared" si="0"/>
        <v>0</v>
      </c>
      <c r="H14" s="199">
        <v>3455</v>
      </c>
      <c r="I14" s="200">
        <v>50</v>
      </c>
      <c r="J14" s="171">
        <f t="shared" si="1"/>
        <v>172750</v>
      </c>
      <c r="K14" s="197"/>
      <c r="L14" s="198">
        <v>60</v>
      </c>
      <c r="M14" s="171">
        <f t="shared" si="2"/>
        <v>0</v>
      </c>
      <c r="N14" s="199">
        <v>2020</v>
      </c>
      <c r="O14" s="198">
        <v>15</v>
      </c>
      <c r="P14" s="171">
        <f t="shared" si="3"/>
        <v>30300</v>
      </c>
      <c r="Q14" s="199">
        <v>610</v>
      </c>
      <c r="R14" s="201">
        <v>12</v>
      </c>
      <c r="S14" s="171">
        <f t="shared" si="4"/>
        <v>7320</v>
      </c>
      <c r="T14" s="199">
        <v>282</v>
      </c>
      <c r="U14" s="171">
        <f t="shared" si="5"/>
        <v>2256</v>
      </c>
      <c r="V14" s="199">
        <v>127</v>
      </c>
      <c r="W14" s="198">
        <v>12</v>
      </c>
      <c r="X14" s="171">
        <f t="shared" si="6"/>
        <v>1524</v>
      </c>
      <c r="Y14" s="199">
        <v>336</v>
      </c>
      <c r="Z14" s="198">
        <v>10</v>
      </c>
      <c r="AA14" s="171">
        <f t="shared" si="7"/>
        <v>3360</v>
      </c>
      <c r="AB14" s="199">
        <v>61</v>
      </c>
      <c r="AC14" s="198">
        <v>25</v>
      </c>
      <c r="AD14" s="171">
        <f t="shared" si="8"/>
        <v>1525</v>
      </c>
      <c r="AE14" s="197"/>
      <c r="AF14" s="198">
        <v>7.5</v>
      </c>
      <c r="AG14" s="171">
        <f t="shared" si="9"/>
        <v>0</v>
      </c>
      <c r="AH14" s="197"/>
      <c r="AI14" s="200">
        <v>15</v>
      </c>
      <c r="AJ14" s="171">
        <f t="shared" si="10"/>
        <v>0</v>
      </c>
      <c r="AK14" s="199">
        <v>118</v>
      </c>
      <c r="AL14" s="198">
        <v>10</v>
      </c>
      <c r="AM14" s="171">
        <f t="shared" si="11"/>
        <v>1180</v>
      </c>
      <c r="AN14" s="199">
        <f t="shared" si="12"/>
        <v>1534</v>
      </c>
      <c r="AO14" s="197"/>
      <c r="AP14" s="203"/>
      <c r="AQ14" s="197"/>
      <c r="AR14" s="197"/>
      <c r="AS14" s="203"/>
      <c r="AT14" s="197"/>
      <c r="AU14" s="197"/>
      <c r="AV14" s="199">
        <f>672+120+73+113</f>
        <v>978</v>
      </c>
      <c r="AW14" s="197"/>
      <c r="AX14" s="205">
        <f t="shared" si="13"/>
        <v>0.58465991316931987</v>
      </c>
      <c r="AY14" s="205">
        <f t="shared" si="14"/>
        <v>0.44399421128798844</v>
      </c>
      <c r="AZ14" s="205">
        <f t="shared" si="15"/>
        <v>0.48415841584158414</v>
      </c>
      <c r="BA14" s="171">
        <f t="shared" si="16"/>
        <v>188735</v>
      </c>
      <c r="BB14" s="171">
        <f t="shared" si="17"/>
        <v>181595</v>
      </c>
      <c r="BC14" s="171">
        <f t="shared" si="18"/>
        <v>188735</v>
      </c>
      <c r="BD14" s="171">
        <f t="shared" si="19"/>
        <v>188735</v>
      </c>
      <c r="BE14" s="206">
        <v>243481</v>
      </c>
      <c r="BF14" s="207">
        <v>161431.57999999999</v>
      </c>
      <c r="BG14" s="208">
        <f t="shared" si="20"/>
        <v>66.301510179439049</v>
      </c>
      <c r="BH14" s="209"/>
      <c r="BI14" s="210">
        <f t="shared" si="21"/>
        <v>8.2868889153568465E-2</v>
      </c>
      <c r="BJ14" s="211">
        <v>12100</v>
      </c>
      <c r="BK14" s="208">
        <f t="shared" si="22"/>
        <v>6.1040735537190081</v>
      </c>
      <c r="BL14" s="211">
        <v>11250</v>
      </c>
      <c r="BM14" s="208">
        <f t="shared" si="23"/>
        <v>6.5652702222222219</v>
      </c>
      <c r="BN14" s="203"/>
      <c r="BO14" s="208" t="e">
        <f t="shared" si="24"/>
        <v>#DIV/0!</v>
      </c>
      <c r="BP14" s="203"/>
      <c r="BQ14" s="208" t="e">
        <f t="shared" si="25"/>
        <v>#DIV/0!</v>
      </c>
      <c r="BR14" s="212">
        <v>73859.289999999994</v>
      </c>
      <c r="BS14" s="220">
        <f t="shared" si="26"/>
        <v>30.334724270066246</v>
      </c>
      <c r="BT14" s="214">
        <f t="shared" si="27"/>
        <v>8190.1300000000192</v>
      </c>
      <c r="BU14" s="215">
        <f t="shared" si="28"/>
        <v>3.3637655504947079</v>
      </c>
      <c r="BV14" s="171">
        <v>8288</v>
      </c>
      <c r="BW14" s="171">
        <v>4773</v>
      </c>
      <c r="BX14" s="171">
        <v>5496</v>
      </c>
      <c r="BY14" s="171">
        <v>1620</v>
      </c>
      <c r="BZ14" s="203"/>
      <c r="CA14" s="203"/>
      <c r="CB14" s="171">
        <v>15000</v>
      </c>
      <c r="CC14" s="221">
        <f t="shared" si="29"/>
        <v>3.4039617054308142E-2</v>
      </c>
      <c r="CD14" s="216">
        <f t="shared" si="30"/>
        <v>1.960317232145424E-2</v>
      </c>
      <c r="CE14" s="216">
        <f t="shared" si="31"/>
        <v>2.2572603201071132E-2</v>
      </c>
      <c r="CF14" s="216">
        <f t="shared" si="32"/>
        <v>6.6534965767349403E-3</v>
      </c>
      <c r="CG14" s="216">
        <f t="shared" si="33"/>
        <v>0</v>
      </c>
      <c r="CH14" s="217">
        <f t="shared" si="34"/>
        <v>819.01300000000197</v>
      </c>
      <c r="CI14" s="217">
        <f t="shared" si="35"/>
        <v>7371.1170000000175</v>
      </c>
      <c r="CJ14" s="218"/>
      <c r="CK14" s="141"/>
    </row>
    <row r="15" spans="1:89" x14ac:dyDescent="0.35">
      <c r="CI15" s="229">
        <f>SUM(CI4:CI14)</f>
        <v>375596.26200000005</v>
      </c>
    </row>
  </sheetData>
  <mergeCells count="63">
    <mergeCell ref="BF6:BF7"/>
    <mergeCell ref="BA6:BA7"/>
    <mergeCell ref="BB6:BB7"/>
    <mergeCell ref="BC6:BC7"/>
    <mergeCell ref="BD6:BD7"/>
    <mergeCell ref="BE6:BE7"/>
    <mergeCell ref="AU6:AU7"/>
    <mergeCell ref="AV6:AV7"/>
    <mergeCell ref="AX6:AX7"/>
    <mergeCell ref="AY6:AY7"/>
    <mergeCell ref="AZ6:AZ7"/>
    <mergeCell ref="AB6:AD6"/>
    <mergeCell ref="AE6:AG6"/>
    <mergeCell ref="AH6:AJ6"/>
    <mergeCell ref="AK6:AM6"/>
    <mergeCell ref="AN6:AN7"/>
    <mergeCell ref="W5:X5"/>
    <mergeCell ref="Z5:AA5"/>
    <mergeCell ref="A6:A7"/>
    <mergeCell ref="B6:B7"/>
    <mergeCell ref="C6:C7"/>
    <mergeCell ref="D6:D7"/>
    <mergeCell ref="E6:G6"/>
    <mergeCell ref="H6:J6"/>
    <mergeCell ref="K6:M6"/>
    <mergeCell ref="N6:P6"/>
    <mergeCell ref="Q6:S6"/>
    <mergeCell ref="T6:U6"/>
    <mergeCell ref="V6:X6"/>
    <mergeCell ref="Y6:AA6"/>
    <mergeCell ref="F5:G5"/>
    <mergeCell ref="I5:J5"/>
    <mergeCell ref="L5:M5"/>
    <mergeCell ref="O5:P5"/>
    <mergeCell ref="R5:S5"/>
    <mergeCell ref="BG5:BP5"/>
    <mergeCell ref="BS5:BU5"/>
    <mergeCell ref="CC5:CH5"/>
    <mergeCell ref="AC5:AD5"/>
    <mergeCell ref="AF5:AG5"/>
    <mergeCell ref="AI5:AJ5"/>
    <mergeCell ref="AL5:AN5"/>
    <mergeCell ref="AP5:AQ5"/>
    <mergeCell ref="AS5:AT5"/>
    <mergeCell ref="AX5:BD5"/>
    <mergeCell ref="CH6:CH7"/>
    <mergeCell ref="CI6:CI7"/>
    <mergeCell ref="BP6:BP7"/>
    <mergeCell ref="BQ6:BQ7"/>
    <mergeCell ref="BR6:BR7"/>
    <mergeCell ref="BS6:BS7"/>
    <mergeCell ref="BT6:BT7"/>
    <mergeCell ref="BU6:BU7"/>
    <mergeCell ref="BV6:CG6"/>
    <mergeCell ref="BN6:BN7"/>
    <mergeCell ref="BO6:BO7"/>
    <mergeCell ref="BG6:BG7"/>
    <mergeCell ref="BH6:BH7"/>
    <mergeCell ref="BI6:BI7"/>
    <mergeCell ref="BJ6:BJ7"/>
    <mergeCell ref="BK6:BK7"/>
    <mergeCell ref="BL6:BL7"/>
    <mergeCell ref="BM6:BM7"/>
  </mergeCells>
  <pageMargins left="1" right="1" top="1" bottom="1" header="0" footer="0"/>
  <pageSetup paperSize="5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  <pageSetUpPr fitToPage="1"/>
  </sheetPr>
  <dimension ref="A1:CL34"/>
  <sheetViews>
    <sheetView workbookViewId="0">
      <pane xSplit="3" topLeftCell="D1" activePane="topRight" state="frozen"/>
      <selection pane="topRight" activeCell="E2" sqref="E2"/>
    </sheetView>
  </sheetViews>
  <sheetFormatPr defaultColWidth="14.453125" defaultRowHeight="15" customHeight="1" outlineLevelCol="1" x14ac:dyDescent="0.35"/>
  <cols>
    <col min="1" max="2" width="14.453125" hidden="1" outlineLevel="1"/>
    <col min="3" max="3" width="14.453125" outlineLevel="1"/>
    <col min="4" max="4" width="14.453125" hidden="1"/>
    <col min="9" max="9" width="14.08984375" hidden="1" customWidth="1"/>
    <col min="10" max="10" width="14.08984375" customWidth="1"/>
    <col min="51" max="51" width="6.54296875" customWidth="1"/>
    <col min="52" max="52" width="8.7265625" customWidth="1"/>
    <col min="53" max="53" width="7.453125" customWidth="1"/>
    <col min="54" max="57" width="14.453125" hidden="1"/>
    <col min="60" max="60" width="7.7265625" customWidth="1"/>
    <col min="61" max="62" width="14.453125" hidden="1"/>
    <col min="63" max="63" width="12.26953125" customWidth="1"/>
    <col min="64" max="64" width="14.453125" hidden="1"/>
    <col min="65" max="65" width="9.7265625" customWidth="1"/>
    <col min="66" max="70" width="14.453125" hidden="1"/>
    <col min="71" max="71" width="12.453125" customWidth="1"/>
    <col min="72" max="72" width="10.26953125" customWidth="1"/>
    <col min="73" max="73" width="12.81640625" customWidth="1"/>
    <col min="74" max="80" width="14.453125" hidden="1"/>
    <col min="81" max="81" width="12.81640625" customWidth="1"/>
    <col min="82" max="82" width="9.81640625" customWidth="1"/>
    <col min="83" max="83" width="10.81640625" customWidth="1"/>
    <col min="84" max="84" width="10.08984375" customWidth="1"/>
    <col min="85" max="85" width="10.26953125" customWidth="1"/>
    <col min="86" max="86" width="12.08984375" customWidth="1"/>
    <col min="89" max="89" width="14.453125" hidden="1"/>
  </cols>
  <sheetData>
    <row r="1" spans="1:90" x14ac:dyDescent="0.35">
      <c r="A1" s="150" t="s">
        <v>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1"/>
      <c r="BP1" s="152" t="s">
        <v>0</v>
      </c>
      <c r="BQ1" s="151"/>
      <c r="BR1" s="151"/>
      <c r="BS1" s="151"/>
      <c r="BT1" s="151"/>
      <c r="BU1" s="151"/>
      <c r="BV1" s="151"/>
      <c r="BW1" s="151"/>
      <c r="BX1" s="151"/>
      <c r="BY1" s="151"/>
      <c r="BZ1" s="151"/>
      <c r="CA1" s="151"/>
      <c r="CB1" s="151"/>
      <c r="CC1" s="151"/>
      <c r="CD1" s="151"/>
      <c r="CE1" s="151"/>
      <c r="CF1" s="151"/>
      <c r="CG1" s="151"/>
      <c r="CH1" s="151"/>
      <c r="CI1" s="153"/>
      <c r="CJ1" s="154"/>
      <c r="CK1" s="154"/>
      <c r="CL1" s="141"/>
    </row>
    <row r="2" spans="1:90" x14ac:dyDescent="0.35">
      <c r="A2" s="155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6"/>
      <c r="AU2" s="156"/>
      <c r="AV2" s="156"/>
      <c r="AW2" s="156"/>
      <c r="AX2" s="156"/>
      <c r="AY2" s="156"/>
      <c r="AZ2" s="156"/>
      <c r="BA2" s="156"/>
      <c r="BB2" s="156"/>
      <c r="BC2" s="156"/>
      <c r="BD2" s="156"/>
      <c r="BE2" s="156"/>
      <c r="BF2" s="156"/>
      <c r="BG2" s="156"/>
      <c r="BH2" s="156"/>
      <c r="BI2" s="156"/>
      <c r="BJ2" s="156"/>
      <c r="BK2" s="156"/>
      <c r="BL2" s="156"/>
      <c r="BM2" s="156"/>
      <c r="BN2" s="156"/>
      <c r="BO2" s="156"/>
      <c r="BP2" s="156"/>
      <c r="BQ2" s="156"/>
      <c r="BR2" s="156"/>
      <c r="BS2" s="156"/>
      <c r="BT2" s="156"/>
      <c r="BU2" s="156"/>
      <c r="BV2" s="156"/>
      <c r="BW2" s="156"/>
      <c r="BX2" s="156"/>
      <c r="BY2" s="156"/>
      <c r="BZ2" s="156"/>
      <c r="CA2" s="156"/>
      <c r="CB2" s="156"/>
      <c r="CC2" s="156"/>
      <c r="CD2" s="156"/>
      <c r="CE2" s="156"/>
      <c r="CF2" s="156"/>
      <c r="CG2" s="156"/>
      <c r="CH2" s="156"/>
      <c r="CI2" s="158"/>
      <c r="CJ2" s="154"/>
      <c r="CK2" s="154"/>
      <c r="CL2" s="141"/>
    </row>
    <row r="3" spans="1:90" x14ac:dyDescent="0.35">
      <c r="A3" s="159" t="s">
        <v>10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1" t="s">
        <v>109</v>
      </c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2"/>
      <c r="CJ3" s="163"/>
      <c r="CK3" s="163"/>
      <c r="CL3" s="141"/>
    </row>
    <row r="4" spans="1:90" x14ac:dyDescent="0.35">
      <c r="A4" s="164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5"/>
      <c r="BG4" s="165"/>
      <c r="BH4" s="165"/>
      <c r="BI4" s="165"/>
      <c r="BJ4" s="165"/>
      <c r="BK4" s="165"/>
      <c r="BL4" s="165"/>
      <c r="BM4" s="165"/>
      <c r="BN4" s="165"/>
      <c r="BO4" s="165"/>
      <c r="BP4" s="165"/>
      <c r="BQ4" s="165"/>
      <c r="BR4" s="165"/>
      <c r="BS4" s="165"/>
      <c r="BT4" s="165"/>
      <c r="BU4" s="165"/>
      <c r="BV4" s="165"/>
      <c r="BW4" s="165"/>
      <c r="BX4" s="165"/>
      <c r="BY4" s="165"/>
      <c r="BZ4" s="165"/>
      <c r="CA4" s="165"/>
      <c r="CB4" s="165"/>
      <c r="CC4" s="165"/>
      <c r="CD4" s="165"/>
      <c r="CE4" s="165"/>
      <c r="CF4" s="165"/>
      <c r="CG4" s="165"/>
      <c r="CH4" s="165"/>
      <c r="CI4" s="166"/>
      <c r="CJ4" s="163"/>
      <c r="CK4" s="163"/>
      <c r="CL4" s="141"/>
    </row>
    <row r="5" spans="1:90" x14ac:dyDescent="0.35">
      <c r="A5" s="167"/>
      <c r="B5" s="167"/>
      <c r="C5" s="167"/>
      <c r="D5" s="167"/>
      <c r="E5" s="168"/>
      <c r="F5" s="434" t="s">
        <v>16</v>
      </c>
      <c r="G5" s="406"/>
      <c r="H5" s="168"/>
      <c r="I5" s="247"/>
      <c r="J5" s="434" t="s">
        <v>16</v>
      </c>
      <c r="K5" s="406"/>
      <c r="L5" s="169"/>
      <c r="M5" s="434" t="s">
        <v>16</v>
      </c>
      <c r="N5" s="406"/>
      <c r="O5" s="169"/>
      <c r="P5" s="434" t="s">
        <v>16</v>
      </c>
      <c r="Q5" s="406"/>
      <c r="R5" s="169"/>
      <c r="S5" s="434" t="s">
        <v>16</v>
      </c>
      <c r="T5" s="406"/>
      <c r="U5" s="169"/>
      <c r="V5" s="170"/>
      <c r="W5" s="169"/>
      <c r="X5" s="434" t="s">
        <v>16</v>
      </c>
      <c r="Y5" s="406"/>
      <c r="Z5" s="169"/>
      <c r="AA5" s="434" t="s">
        <v>16</v>
      </c>
      <c r="AB5" s="406"/>
      <c r="AC5" s="169"/>
      <c r="AD5" s="434" t="s">
        <v>16</v>
      </c>
      <c r="AE5" s="406"/>
      <c r="AF5" s="169"/>
      <c r="AG5" s="434" t="s">
        <v>16</v>
      </c>
      <c r="AH5" s="406"/>
      <c r="AI5" s="169"/>
      <c r="AJ5" s="434" t="s">
        <v>16</v>
      </c>
      <c r="AK5" s="406"/>
      <c r="AL5" s="169"/>
      <c r="AM5" s="432" t="s">
        <v>17</v>
      </c>
      <c r="AN5" s="406"/>
      <c r="AO5" s="406"/>
      <c r="AP5" s="169"/>
      <c r="AQ5" s="435" t="s">
        <v>17</v>
      </c>
      <c r="AR5" s="406"/>
      <c r="AS5" s="169"/>
      <c r="AT5" s="435" t="s">
        <v>17</v>
      </c>
      <c r="AU5" s="406"/>
      <c r="AV5" s="169"/>
      <c r="AW5" s="172" t="s">
        <v>18</v>
      </c>
      <c r="AX5" s="173"/>
      <c r="AY5" s="432" t="s">
        <v>19</v>
      </c>
      <c r="AZ5" s="406"/>
      <c r="BA5" s="406"/>
      <c r="BB5" s="406"/>
      <c r="BC5" s="406"/>
      <c r="BD5" s="406"/>
      <c r="BE5" s="406"/>
      <c r="BF5" s="169"/>
      <c r="BG5" s="174"/>
      <c r="BH5" s="432" t="s">
        <v>19</v>
      </c>
      <c r="BI5" s="406"/>
      <c r="BJ5" s="406"/>
      <c r="BK5" s="406"/>
      <c r="BL5" s="406"/>
      <c r="BM5" s="406"/>
      <c r="BN5" s="406"/>
      <c r="BO5" s="406"/>
      <c r="BP5" s="406"/>
      <c r="BQ5" s="406"/>
      <c r="BR5" s="175"/>
      <c r="BS5" s="167"/>
      <c r="BT5" s="433" t="s">
        <v>21</v>
      </c>
      <c r="BU5" s="406"/>
      <c r="BV5" s="406"/>
      <c r="BW5" s="167"/>
      <c r="BX5" s="167"/>
      <c r="BY5" s="167"/>
      <c r="BZ5" s="167"/>
      <c r="CA5" s="167"/>
      <c r="CB5" s="167"/>
      <c r="CC5" s="167"/>
      <c r="CD5" s="432" t="s">
        <v>19</v>
      </c>
      <c r="CE5" s="406"/>
      <c r="CF5" s="406"/>
      <c r="CG5" s="406"/>
      <c r="CH5" s="406"/>
      <c r="CI5" s="406"/>
      <c r="CJ5" s="176"/>
      <c r="CK5" s="176"/>
      <c r="CL5" s="141"/>
    </row>
    <row r="6" spans="1:90" x14ac:dyDescent="0.35">
      <c r="A6" s="436" t="s">
        <v>22</v>
      </c>
      <c r="B6" s="437" t="s">
        <v>23</v>
      </c>
      <c r="C6" s="430" t="s">
        <v>24</v>
      </c>
      <c r="D6" s="430" t="s">
        <v>26</v>
      </c>
      <c r="E6" s="438" t="s">
        <v>27</v>
      </c>
      <c r="F6" s="415"/>
      <c r="G6" s="415"/>
      <c r="H6" s="439" t="s">
        <v>28</v>
      </c>
      <c r="I6" s="406"/>
      <c r="J6" s="406"/>
      <c r="K6" s="407"/>
      <c r="L6" s="439" t="s">
        <v>29</v>
      </c>
      <c r="M6" s="406"/>
      <c r="N6" s="407"/>
      <c r="O6" s="439" t="s">
        <v>30</v>
      </c>
      <c r="P6" s="406"/>
      <c r="Q6" s="407"/>
      <c r="R6" s="439" t="s">
        <v>31</v>
      </c>
      <c r="S6" s="406"/>
      <c r="T6" s="407"/>
      <c r="U6" s="439" t="s">
        <v>32</v>
      </c>
      <c r="V6" s="407"/>
      <c r="W6" s="439" t="s">
        <v>33</v>
      </c>
      <c r="X6" s="406"/>
      <c r="Y6" s="407"/>
      <c r="Z6" s="439" t="s">
        <v>34</v>
      </c>
      <c r="AA6" s="406"/>
      <c r="AB6" s="407"/>
      <c r="AC6" s="439" t="s">
        <v>35</v>
      </c>
      <c r="AD6" s="406"/>
      <c r="AE6" s="407"/>
      <c r="AF6" s="439" t="s">
        <v>36</v>
      </c>
      <c r="AG6" s="406"/>
      <c r="AH6" s="407"/>
      <c r="AI6" s="439" t="s">
        <v>37</v>
      </c>
      <c r="AJ6" s="406"/>
      <c r="AK6" s="407"/>
      <c r="AL6" s="439" t="s">
        <v>251</v>
      </c>
      <c r="AM6" s="406"/>
      <c r="AN6" s="406"/>
      <c r="AO6" s="440" t="s">
        <v>40</v>
      </c>
      <c r="AP6" s="177"/>
      <c r="AQ6" s="177"/>
      <c r="AR6" s="177"/>
      <c r="AS6" s="177"/>
      <c r="AT6" s="177"/>
      <c r="AU6" s="177"/>
      <c r="AV6" s="441" t="s">
        <v>41</v>
      </c>
      <c r="AW6" s="440" t="s">
        <v>42</v>
      </c>
      <c r="AX6" s="178"/>
      <c r="AY6" s="442" t="s">
        <v>43</v>
      </c>
      <c r="AZ6" s="443" t="s">
        <v>44</v>
      </c>
      <c r="BA6" s="443" t="s">
        <v>45</v>
      </c>
      <c r="BB6" s="443" t="s">
        <v>46</v>
      </c>
      <c r="BC6" s="443" t="s">
        <v>47</v>
      </c>
      <c r="BD6" s="443" t="s">
        <v>48</v>
      </c>
      <c r="BE6" s="443" t="s">
        <v>49</v>
      </c>
      <c r="BF6" s="443" t="s">
        <v>50</v>
      </c>
      <c r="BG6" s="426" t="s">
        <v>51</v>
      </c>
      <c r="BH6" s="426" t="s">
        <v>52</v>
      </c>
      <c r="BI6" s="427" t="s">
        <v>53</v>
      </c>
      <c r="BJ6" s="427" t="s">
        <v>54</v>
      </c>
      <c r="BK6" s="425" t="s">
        <v>55</v>
      </c>
      <c r="BL6" s="425" t="s">
        <v>56</v>
      </c>
      <c r="BM6" s="425" t="s">
        <v>57</v>
      </c>
      <c r="BN6" s="425" t="s">
        <v>58</v>
      </c>
      <c r="BO6" s="425" t="s">
        <v>59</v>
      </c>
      <c r="BP6" s="425" t="s">
        <v>60</v>
      </c>
      <c r="BQ6" s="425" t="s">
        <v>62</v>
      </c>
      <c r="BR6" s="425" t="s">
        <v>63</v>
      </c>
      <c r="BS6" s="425" t="s">
        <v>64</v>
      </c>
      <c r="BT6" s="429" t="s">
        <v>65</v>
      </c>
      <c r="BU6" s="430" t="s">
        <v>8</v>
      </c>
      <c r="BV6" s="430" t="s">
        <v>66</v>
      </c>
      <c r="BW6" s="431" t="s">
        <v>67</v>
      </c>
      <c r="BX6" s="406"/>
      <c r="BY6" s="406"/>
      <c r="BZ6" s="406"/>
      <c r="CA6" s="406"/>
      <c r="CB6" s="406"/>
      <c r="CC6" s="406"/>
      <c r="CD6" s="406"/>
      <c r="CE6" s="406"/>
      <c r="CF6" s="406"/>
      <c r="CG6" s="406"/>
      <c r="CH6" s="407"/>
      <c r="CI6" s="428" t="s">
        <v>113</v>
      </c>
      <c r="CJ6" s="428" t="s">
        <v>114</v>
      </c>
      <c r="CK6" s="179"/>
      <c r="CL6" s="141"/>
    </row>
    <row r="7" spans="1:90" x14ac:dyDescent="0.35">
      <c r="A7" s="378"/>
      <c r="B7" s="378"/>
      <c r="C7" s="378"/>
      <c r="D7" s="378"/>
      <c r="E7" s="180" t="s">
        <v>69</v>
      </c>
      <c r="F7" s="181" t="s">
        <v>70</v>
      </c>
      <c r="G7" s="182" t="s">
        <v>71</v>
      </c>
      <c r="H7" s="183" t="s">
        <v>72</v>
      </c>
      <c r="I7" s="184"/>
      <c r="J7" s="184" t="s">
        <v>70</v>
      </c>
      <c r="K7" s="185" t="s">
        <v>71</v>
      </c>
      <c r="L7" s="186" t="s">
        <v>73</v>
      </c>
      <c r="M7" s="181" t="s">
        <v>70</v>
      </c>
      <c r="N7" s="187" t="s">
        <v>71</v>
      </c>
      <c r="O7" s="180" t="s">
        <v>74</v>
      </c>
      <c r="P7" s="181" t="s">
        <v>70</v>
      </c>
      <c r="Q7" s="187" t="s">
        <v>71</v>
      </c>
      <c r="R7" s="180" t="s">
        <v>31</v>
      </c>
      <c r="S7" s="181" t="s">
        <v>70</v>
      </c>
      <c r="T7" s="187" t="s">
        <v>71</v>
      </c>
      <c r="U7" s="180" t="s">
        <v>75</v>
      </c>
      <c r="V7" s="187" t="s">
        <v>71</v>
      </c>
      <c r="W7" s="180" t="s">
        <v>76</v>
      </c>
      <c r="X7" s="181" t="s">
        <v>70</v>
      </c>
      <c r="Y7" s="187" t="s">
        <v>71</v>
      </c>
      <c r="Z7" s="180" t="s">
        <v>77</v>
      </c>
      <c r="AA7" s="181" t="s">
        <v>70</v>
      </c>
      <c r="AB7" s="187" t="s">
        <v>71</v>
      </c>
      <c r="AC7" s="180" t="s">
        <v>79</v>
      </c>
      <c r="AD7" s="181" t="s">
        <v>70</v>
      </c>
      <c r="AE7" s="187" t="s">
        <v>71</v>
      </c>
      <c r="AF7" s="188" t="s">
        <v>80</v>
      </c>
      <c r="AG7" s="181" t="s">
        <v>70</v>
      </c>
      <c r="AH7" s="187" t="s">
        <v>71</v>
      </c>
      <c r="AI7" s="180" t="s">
        <v>82</v>
      </c>
      <c r="AJ7" s="181" t="s">
        <v>70</v>
      </c>
      <c r="AK7" s="187" t="s">
        <v>71</v>
      </c>
      <c r="AL7" s="180" t="s">
        <v>83</v>
      </c>
      <c r="AM7" s="181" t="s">
        <v>70</v>
      </c>
      <c r="AN7" s="182" t="s">
        <v>71</v>
      </c>
      <c r="AO7" s="378"/>
      <c r="AP7" s="183" t="s">
        <v>84</v>
      </c>
      <c r="AQ7" s="184" t="s">
        <v>85</v>
      </c>
      <c r="AR7" s="185" t="s">
        <v>86</v>
      </c>
      <c r="AS7" s="183" t="s">
        <v>87</v>
      </c>
      <c r="AT7" s="184" t="s">
        <v>88</v>
      </c>
      <c r="AU7" s="185" t="s">
        <v>86</v>
      </c>
      <c r="AV7" s="378"/>
      <c r="AW7" s="378"/>
      <c r="AX7" s="189" t="s">
        <v>89</v>
      </c>
      <c r="AY7" s="420"/>
      <c r="AZ7" s="378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378"/>
      <c r="BW7" s="190" t="s">
        <v>90</v>
      </c>
      <c r="BX7" s="190" t="s">
        <v>91</v>
      </c>
      <c r="BY7" s="190" t="s">
        <v>92</v>
      </c>
      <c r="BZ7" s="190" t="s">
        <v>93</v>
      </c>
      <c r="CA7" s="190" t="s">
        <v>55</v>
      </c>
      <c r="CB7" s="191" t="s">
        <v>57</v>
      </c>
      <c r="CC7" s="190" t="s">
        <v>59</v>
      </c>
      <c r="CD7" s="192" t="s">
        <v>90</v>
      </c>
      <c r="CE7" s="192" t="s">
        <v>91</v>
      </c>
      <c r="CF7" s="192" t="s">
        <v>92</v>
      </c>
      <c r="CG7" s="192" t="s">
        <v>93</v>
      </c>
      <c r="CH7" s="192" t="s">
        <v>55</v>
      </c>
      <c r="CI7" s="378"/>
      <c r="CJ7" s="378"/>
      <c r="CK7" s="179"/>
      <c r="CL7" s="141"/>
    </row>
    <row r="8" spans="1:90" x14ac:dyDescent="0.35">
      <c r="A8" s="193">
        <f t="shared" ref="A8:A9" si="0">A7+1</f>
        <v>1</v>
      </c>
      <c r="B8" s="194">
        <v>7</v>
      </c>
      <c r="C8" s="195" t="s">
        <v>103</v>
      </c>
      <c r="D8" s="196"/>
      <c r="E8" s="197"/>
      <c r="F8" s="198">
        <v>40</v>
      </c>
      <c r="G8" s="171">
        <f t="shared" ref="G8:G14" si="1">SUM(E8*F8)</f>
        <v>0</v>
      </c>
      <c r="H8" s="199">
        <v>21990</v>
      </c>
      <c r="I8" s="200"/>
      <c r="J8" s="200">
        <v>50</v>
      </c>
      <c r="K8" s="171">
        <f t="shared" ref="K8:K15" si="2">J8*H8</f>
        <v>1099500</v>
      </c>
      <c r="L8" s="197"/>
      <c r="M8" s="198">
        <v>60</v>
      </c>
      <c r="N8" s="171">
        <f t="shared" ref="N8:N15" si="3">M8*L8</f>
        <v>0</v>
      </c>
      <c r="O8" s="199">
        <v>6678</v>
      </c>
      <c r="P8" s="198">
        <v>15</v>
      </c>
      <c r="Q8" s="171">
        <f t="shared" ref="Q8:Q15" si="4">O8*P8</f>
        <v>100170</v>
      </c>
      <c r="R8" s="199">
        <v>1660</v>
      </c>
      <c r="S8" s="201">
        <v>12</v>
      </c>
      <c r="T8" s="171">
        <f t="shared" ref="T8:T15" si="5">R8*S8</f>
        <v>19920</v>
      </c>
      <c r="U8" s="199">
        <v>964</v>
      </c>
      <c r="V8" s="171">
        <f t="shared" ref="V8:V15" si="6">U8*8</f>
        <v>7712</v>
      </c>
      <c r="W8" s="199">
        <v>732</v>
      </c>
      <c r="X8" s="198">
        <v>12</v>
      </c>
      <c r="Y8" s="171">
        <f t="shared" ref="Y8:Y15" si="7">W8*X8</f>
        <v>8784</v>
      </c>
      <c r="Z8" s="199">
        <v>1472</v>
      </c>
      <c r="AA8" s="198">
        <v>10</v>
      </c>
      <c r="AB8" s="171">
        <f t="shared" ref="AB8:AB15" si="8">Z8*AA8</f>
        <v>14720</v>
      </c>
      <c r="AC8" s="199">
        <v>355</v>
      </c>
      <c r="AD8" s="198">
        <v>25</v>
      </c>
      <c r="AE8" s="171">
        <f t="shared" ref="AE8:AE15" si="9">AC8*AD8</f>
        <v>8875</v>
      </c>
      <c r="AF8" s="197"/>
      <c r="AG8" s="198">
        <v>7.5</v>
      </c>
      <c r="AH8" s="171">
        <f t="shared" ref="AH8:AH15" si="10">AF8*AG8</f>
        <v>0</v>
      </c>
      <c r="AI8" s="197"/>
      <c r="AJ8" s="200">
        <v>15</v>
      </c>
      <c r="AK8" s="171">
        <f t="shared" ref="AK8:AK15" si="11">AI8*AJ8</f>
        <v>0</v>
      </c>
      <c r="AL8" s="199">
        <v>393</v>
      </c>
      <c r="AM8" s="198">
        <v>12</v>
      </c>
      <c r="AN8" s="171">
        <f t="shared" ref="AN8:AN15" si="12">AL8*AM8</f>
        <v>4716</v>
      </c>
      <c r="AO8" s="199">
        <f t="shared" ref="AO8:AO15" si="13">R8+U8+W8+Z8+AC8+AF8+AL8</f>
        <v>5576</v>
      </c>
      <c r="AP8" s="197"/>
      <c r="AQ8" s="203"/>
      <c r="AR8" s="197"/>
      <c r="AS8" s="197"/>
      <c r="AT8" s="203"/>
      <c r="AU8" s="197"/>
      <c r="AV8" s="197"/>
      <c r="AW8" s="199">
        <v>3061</v>
      </c>
      <c r="AX8" s="197"/>
      <c r="AY8" s="204">
        <f t="shared" ref="AY8:AY15" si="14">O8/(H8+E8+L8)</f>
        <v>0.30368349249658938</v>
      </c>
      <c r="AZ8" s="205">
        <f t="shared" ref="AZ8:AZ15" si="15">AO8/(H8+E8+L8)</f>
        <v>0.25356980445657118</v>
      </c>
      <c r="BA8" s="205">
        <f t="shared" ref="BA8:BA15" si="16">AW8/O8</f>
        <v>0.4583707696915244</v>
      </c>
      <c r="BB8" s="171">
        <f t="shared" ref="BB8:BB15" si="17">G8+V8+Y8+AB8+AE8+T8+K8+N8</f>
        <v>1159511</v>
      </c>
      <c r="BC8" s="171">
        <f t="shared" ref="BC8:BC15" si="18">G8+AE8+T8+K8+N8</f>
        <v>1128295</v>
      </c>
      <c r="BD8" s="171">
        <f t="shared" ref="BD8:BD15" si="19">G8+V8+Y8+AB8+AE8+T8+K8+N8</f>
        <v>1159511</v>
      </c>
      <c r="BE8" s="171">
        <f t="shared" ref="BE8:BE15" si="20">G8+V8+Y8+AB8+AE8+AH8+T8+K8+N8</f>
        <v>1159511</v>
      </c>
      <c r="BF8" s="206">
        <v>1344920</v>
      </c>
      <c r="BG8" s="207">
        <v>885019</v>
      </c>
      <c r="BH8" s="208">
        <f t="shared" ref="BH8:BH15" si="21">+BG8/BF8%</f>
        <v>65.804583172233293</v>
      </c>
      <c r="BI8" s="209"/>
      <c r="BJ8" s="210">
        <f t="shared" ref="BJ8:BJ14" si="22">SUM(CD8+CE8+CF8+CG8)</f>
        <v>7.3787288463254316E-2</v>
      </c>
      <c r="BK8" s="211">
        <v>85806.25</v>
      </c>
      <c r="BL8" s="208">
        <f t="shared" ref="BL8:BL14" si="23">+BS8/BK8</f>
        <v>3.4572591157404036</v>
      </c>
      <c r="BM8" s="211">
        <v>1168</v>
      </c>
      <c r="BN8" s="208">
        <f t="shared" ref="BN8:BN14" si="24">+BS8/BM8</f>
        <v>253.98496575342466</v>
      </c>
      <c r="BO8" s="203"/>
      <c r="BP8" s="208" t="e">
        <f t="shared" ref="BP8:BP14" si="25">+BS8/BO8</f>
        <v>#DIV/0!</v>
      </c>
      <c r="BQ8" s="203"/>
      <c r="BR8" s="208" t="e">
        <f t="shared" ref="BR8:BR14" si="26">+BS8/BQ8</f>
        <v>#DIV/0!</v>
      </c>
      <c r="BS8" s="212">
        <v>296654.44</v>
      </c>
      <c r="BT8" s="213">
        <f t="shared" ref="BT8:BT15" si="27">+BS8/BF8%</f>
        <v>22.057404157868124</v>
      </c>
      <c r="BU8" s="214">
        <f t="shared" ref="BU8:BU15" si="28">SUM(BF8-BG8-BS8)</f>
        <v>163246.56</v>
      </c>
      <c r="BV8" s="215">
        <f t="shared" ref="BV8:BV15" si="29">+BU8/BF8%</f>
        <v>12.138012669898581</v>
      </c>
      <c r="BW8" s="171">
        <v>35132</v>
      </c>
      <c r="BX8" s="171">
        <v>24220</v>
      </c>
      <c r="BY8" s="171">
        <v>31566</v>
      </c>
      <c r="BZ8" s="171">
        <v>8320</v>
      </c>
      <c r="CA8" s="203"/>
      <c r="CB8" s="203"/>
      <c r="CC8" s="171">
        <v>20000</v>
      </c>
      <c r="CD8" s="216">
        <f t="shared" ref="CD8:CD15" si="30">BW8/BF8</f>
        <v>2.6121999821550723E-2</v>
      </c>
      <c r="CE8" s="216">
        <f t="shared" ref="CE8:CE15" si="31">BX8/BF8</f>
        <v>1.8008506082146152E-2</v>
      </c>
      <c r="CF8" s="216">
        <f t="shared" ref="CF8:CF15" si="32">BY8/BF8</f>
        <v>2.3470540998721114E-2</v>
      </c>
      <c r="CG8" s="216">
        <f t="shared" ref="CG8:CG15" si="33">BZ8/BF8</f>
        <v>6.1862415608363325E-3</v>
      </c>
      <c r="CH8" s="216">
        <f t="shared" ref="CH8:CH15" si="34">CA8/BF8</f>
        <v>0</v>
      </c>
      <c r="CI8" s="217">
        <f t="shared" ref="CI8:CI15" si="35">+BU8*10%</f>
        <v>16324.656000000001</v>
      </c>
      <c r="CJ8" s="217">
        <f t="shared" ref="CJ8:CJ15" si="36">BU8*90%</f>
        <v>146921.90400000001</v>
      </c>
      <c r="CK8" s="218"/>
      <c r="CL8" s="141"/>
    </row>
    <row r="9" spans="1:90" x14ac:dyDescent="0.35">
      <c r="A9" s="193">
        <f t="shared" si="0"/>
        <v>2</v>
      </c>
      <c r="B9" s="194">
        <v>6</v>
      </c>
      <c r="C9" s="195" t="s">
        <v>210</v>
      </c>
      <c r="D9" s="196"/>
      <c r="E9" s="197"/>
      <c r="F9" s="198">
        <v>40</v>
      </c>
      <c r="G9" s="171">
        <f t="shared" si="1"/>
        <v>0</v>
      </c>
      <c r="H9" s="199">
        <v>10469</v>
      </c>
      <c r="I9" s="200"/>
      <c r="J9" s="200">
        <v>50</v>
      </c>
      <c r="K9" s="171">
        <f t="shared" si="2"/>
        <v>523450</v>
      </c>
      <c r="L9" s="197"/>
      <c r="M9" s="198">
        <v>60</v>
      </c>
      <c r="N9" s="171">
        <f t="shared" si="3"/>
        <v>0</v>
      </c>
      <c r="O9" s="199">
        <v>5269</v>
      </c>
      <c r="P9" s="198">
        <v>15</v>
      </c>
      <c r="Q9" s="171">
        <f t="shared" si="4"/>
        <v>79035</v>
      </c>
      <c r="R9" s="199">
        <v>1160</v>
      </c>
      <c r="S9" s="201">
        <v>12</v>
      </c>
      <c r="T9" s="171">
        <f t="shared" si="5"/>
        <v>13920</v>
      </c>
      <c r="U9" s="199">
        <v>912</v>
      </c>
      <c r="V9" s="171">
        <f t="shared" si="6"/>
        <v>7296</v>
      </c>
      <c r="W9" s="199">
        <v>771</v>
      </c>
      <c r="X9" s="198">
        <v>12</v>
      </c>
      <c r="Y9" s="171">
        <f t="shared" si="7"/>
        <v>9252</v>
      </c>
      <c r="Z9" s="199">
        <v>1280</v>
      </c>
      <c r="AA9" s="198">
        <v>10</v>
      </c>
      <c r="AB9" s="171">
        <f t="shared" si="8"/>
        <v>12800</v>
      </c>
      <c r="AC9" s="199">
        <v>250</v>
      </c>
      <c r="AD9" s="198">
        <v>25</v>
      </c>
      <c r="AE9" s="171">
        <f t="shared" si="9"/>
        <v>6250</v>
      </c>
      <c r="AF9" s="197"/>
      <c r="AG9" s="198">
        <v>7.5</v>
      </c>
      <c r="AH9" s="171">
        <f t="shared" si="10"/>
        <v>0</v>
      </c>
      <c r="AI9" s="197"/>
      <c r="AJ9" s="200">
        <v>15</v>
      </c>
      <c r="AK9" s="171">
        <f t="shared" si="11"/>
        <v>0</v>
      </c>
      <c r="AL9" s="199">
        <v>75</v>
      </c>
      <c r="AM9" s="198">
        <v>12</v>
      </c>
      <c r="AN9" s="171">
        <f t="shared" si="12"/>
        <v>900</v>
      </c>
      <c r="AO9" s="199">
        <f t="shared" si="13"/>
        <v>4448</v>
      </c>
      <c r="AP9" s="197"/>
      <c r="AQ9" s="203"/>
      <c r="AR9" s="197"/>
      <c r="AS9" s="197"/>
      <c r="AT9" s="203"/>
      <c r="AU9" s="197"/>
      <c r="AV9" s="197"/>
      <c r="AW9" s="199">
        <v>2154</v>
      </c>
      <c r="AX9" s="197"/>
      <c r="AY9" s="205">
        <f t="shared" si="14"/>
        <v>0.50329544369089696</v>
      </c>
      <c r="AZ9" s="205">
        <f t="shared" si="15"/>
        <v>0.42487343585824816</v>
      </c>
      <c r="BA9" s="205">
        <f t="shared" si="16"/>
        <v>0.40880622509014991</v>
      </c>
      <c r="BB9" s="171">
        <f t="shared" si="17"/>
        <v>572968</v>
      </c>
      <c r="BC9" s="171">
        <f t="shared" si="18"/>
        <v>543620</v>
      </c>
      <c r="BD9" s="171">
        <f t="shared" si="19"/>
        <v>572968</v>
      </c>
      <c r="BE9" s="171">
        <f t="shared" si="20"/>
        <v>572968</v>
      </c>
      <c r="BF9" s="206">
        <v>702813</v>
      </c>
      <c r="BG9" s="207">
        <v>449448.5</v>
      </c>
      <c r="BH9" s="208">
        <f t="shared" si="21"/>
        <v>63.949941165004063</v>
      </c>
      <c r="BI9" s="209"/>
      <c r="BJ9" s="210">
        <f t="shared" si="22"/>
        <v>8.0197719734836997E-2</v>
      </c>
      <c r="BK9" s="211">
        <v>72500</v>
      </c>
      <c r="BL9" s="208">
        <f t="shared" si="23"/>
        <v>2.7111285517241379</v>
      </c>
      <c r="BM9" s="203"/>
      <c r="BN9" s="208" t="e">
        <f t="shared" si="24"/>
        <v>#DIV/0!</v>
      </c>
      <c r="BO9" s="203"/>
      <c r="BP9" s="208" t="e">
        <f t="shared" si="25"/>
        <v>#DIV/0!</v>
      </c>
      <c r="BQ9" s="203"/>
      <c r="BR9" s="208" t="e">
        <f t="shared" si="26"/>
        <v>#DIV/0!</v>
      </c>
      <c r="BS9" s="212">
        <v>196556.82</v>
      </c>
      <c r="BT9" s="220">
        <f t="shared" si="27"/>
        <v>27.967157693440502</v>
      </c>
      <c r="BU9" s="214">
        <f t="shared" si="28"/>
        <v>56807.679999999993</v>
      </c>
      <c r="BV9" s="215">
        <f t="shared" si="29"/>
        <v>8.0829011415554337</v>
      </c>
      <c r="BW9" s="171">
        <v>21816</v>
      </c>
      <c r="BX9" s="171">
        <v>13840</v>
      </c>
      <c r="BY9" s="171">
        <v>15268</v>
      </c>
      <c r="BZ9" s="171">
        <v>5440</v>
      </c>
      <c r="CA9" s="203"/>
      <c r="CB9" s="203"/>
      <c r="CC9" s="171">
        <v>8997</v>
      </c>
      <c r="CD9" s="221">
        <f t="shared" si="30"/>
        <v>3.1040973914825139E-2</v>
      </c>
      <c r="CE9" s="216">
        <f t="shared" si="31"/>
        <v>1.9692293682672345E-2</v>
      </c>
      <c r="CF9" s="216">
        <f t="shared" si="32"/>
        <v>2.1724128608890274E-2</v>
      </c>
      <c r="CG9" s="216">
        <f t="shared" si="33"/>
        <v>7.7403235284492465E-3</v>
      </c>
      <c r="CH9" s="216">
        <f t="shared" si="34"/>
        <v>0</v>
      </c>
      <c r="CI9" s="217">
        <f t="shared" si="35"/>
        <v>5680.768</v>
      </c>
      <c r="CJ9" s="217">
        <f t="shared" si="36"/>
        <v>51126.911999999997</v>
      </c>
      <c r="CK9" s="218"/>
      <c r="CL9" s="141"/>
    </row>
    <row r="10" spans="1:90" x14ac:dyDescent="0.35">
      <c r="A10" s="193"/>
      <c r="B10" s="194">
        <v>2</v>
      </c>
      <c r="C10" s="195" t="s">
        <v>217</v>
      </c>
      <c r="D10" s="196"/>
      <c r="E10" s="197"/>
      <c r="F10" s="198">
        <v>40</v>
      </c>
      <c r="G10" s="171">
        <f t="shared" si="1"/>
        <v>0</v>
      </c>
      <c r="H10" s="199">
        <v>6055</v>
      </c>
      <c r="I10" s="200"/>
      <c r="J10" s="200">
        <v>50</v>
      </c>
      <c r="K10" s="171">
        <f t="shared" si="2"/>
        <v>302750</v>
      </c>
      <c r="L10" s="197"/>
      <c r="M10" s="198">
        <v>60</v>
      </c>
      <c r="N10" s="171">
        <f t="shared" si="3"/>
        <v>0</v>
      </c>
      <c r="O10" s="199">
        <v>2453</v>
      </c>
      <c r="P10" s="198">
        <v>15</v>
      </c>
      <c r="Q10" s="171">
        <f t="shared" si="4"/>
        <v>36795</v>
      </c>
      <c r="R10" s="199">
        <v>2900</v>
      </c>
      <c r="S10" s="201">
        <v>12</v>
      </c>
      <c r="T10" s="171">
        <f t="shared" si="5"/>
        <v>34800</v>
      </c>
      <c r="U10" s="199">
        <v>356</v>
      </c>
      <c r="V10" s="171">
        <f t="shared" si="6"/>
        <v>2848</v>
      </c>
      <c r="W10" s="199">
        <v>188</v>
      </c>
      <c r="X10" s="198">
        <v>12</v>
      </c>
      <c r="Y10" s="171">
        <f t="shared" si="7"/>
        <v>2256</v>
      </c>
      <c r="Z10" s="199">
        <v>329</v>
      </c>
      <c r="AA10" s="198">
        <v>10</v>
      </c>
      <c r="AB10" s="171">
        <f t="shared" si="8"/>
        <v>3290</v>
      </c>
      <c r="AC10" s="199">
        <v>65</v>
      </c>
      <c r="AD10" s="198">
        <v>25</v>
      </c>
      <c r="AE10" s="171">
        <f t="shared" si="9"/>
        <v>1625</v>
      </c>
      <c r="AF10" s="197"/>
      <c r="AG10" s="198">
        <v>7.5</v>
      </c>
      <c r="AH10" s="171">
        <f t="shared" si="10"/>
        <v>0</v>
      </c>
      <c r="AI10" s="197"/>
      <c r="AJ10" s="200">
        <v>15</v>
      </c>
      <c r="AK10" s="171">
        <f t="shared" si="11"/>
        <v>0</v>
      </c>
      <c r="AL10" s="199">
        <v>42</v>
      </c>
      <c r="AM10" s="198">
        <v>12</v>
      </c>
      <c r="AN10" s="171">
        <f t="shared" si="12"/>
        <v>504</v>
      </c>
      <c r="AO10" s="199">
        <f t="shared" si="13"/>
        <v>3880</v>
      </c>
      <c r="AP10" s="197"/>
      <c r="AQ10" s="203"/>
      <c r="AR10" s="197"/>
      <c r="AS10" s="197"/>
      <c r="AT10" s="203"/>
      <c r="AU10" s="197"/>
      <c r="AV10" s="197"/>
      <c r="AW10" s="199">
        <v>833</v>
      </c>
      <c r="AX10" s="197"/>
      <c r="AY10" s="204">
        <f t="shared" si="14"/>
        <v>0.40511973575557392</v>
      </c>
      <c r="AZ10" s="205">
        <f t="shared" si="15"/>
        <v>0.64079273327828246</v>
      </c>
      <c r="BA10" s="204">
        <f t="shared" si="16"/>
        <v>0.33958418263350998</v>
      </c>
      <c r="BB10" s="171">
        <f t="shared" si="17"/>
        <v>347569</v>
      </c>
      <c r="BC10" s="171">
        <f t="shared" si="18"/>
        <v>339175</v>
      </c>
      <c r="BD10" s="171">
        <f t="shared" si="19"/>
        <v>347569</v>
      </c>
      <c r="BE10" s="171">
        <f t="shared" si="20"/>
        <v>347569</v>
      </c>
      <c r="BF10" s="206">
        <v>404408</v>
      </c>
      <c r="BG10" s="207">
        <v>260348.19</v>
      </c>
      <c r="BH10" s="208">
        <f t="shared" si="21"/>
        <v>64.377606278807548</v>
      </c>
      <c r="BI10" s="209"/>
      <c r="BJ10" s="210">
        <f t="shared" si="22"/>
        <v>9.2688571937251482E-2</v>
      </c>
      <c r="BK10" s="211">
        <v>34950</v>
      </c>
      <c r="BL10" s="208">
        <f t="shared" si="23"/>
        <v>3.5810311874105865</v>
      </c>
      <c r="BM10" s="203"/>
      <c r="BN10" s="208" t="e">
        <f t="shared" si="24"/>
        <v>#DIV/0!</v>
      </c>
      <c r="BO10" s="203"/>
      <c r="BP10" s="208" t="e">
        <f t="shared" si="25"/>
        <v>#DIV/0!</v>
      </c>
      <c r="BQ10" s="203"/>
      <c r="BR10" s="208" t="e">
        <f t="shared" si="26"/>
        <v>#DIV/0!</v>
      </c>
      <c r="BS10" s="212">
        <v>125157.04</v>
      </c>
      <c r="BT10" s="220">
        <f t="shared" si="27"/>
        <v>30.948210717888863</v>
      </c>
      <c r="BU10" s="214">
        <f t="shared" si="28"/>
        <v>18902.770000000004</v>
      </c>
      <c r="BV10" s="215">
        <f t="shared" si="29"/>
        <v>4.6741830033035958</v>
      </c>
      <c r="BW10" s="171">
        <v>13676</v>
      </c>
      <c r="BX10" s="171">
        <v>10380</v>
      </c>
      <c r="BY10" s="171">
        <v>10868</v>
      </c>
      <c r="BZ10" s="171">
        <v>2560</v>
      </c>
      <c r="CA10" s="203"/>
      <c r="CB10" s="203"/>
      <c r="CC10" s="171">
        <v>14000</v>
      </c>
      <c r="CD10" s="221">
        <f t="shared" si="30"/>
        <v>3.3817332990445294E-2</v>
      </c>
      <c r="CE10" s="216">
        <f t="shared" si="31"/>
        <v>2.5667148028723469E-2</v>
      </c>
      <c r="CF10" s="216">
        <f t="shared" si="32"/>
        <v>2.6873850171114322E-2</v>
      </c>
      <c r="CG10" s="216">
        <f t="shared" si="33"/>
        <v>6.3302407469684081E-3</v>
      </c>
      <c r="CH10" s="216">
        <f t="shared" si="34"/>
        <v>0</v>
      </c>
      <c r="CI10" s="217">
        <f t="shared" si="35"/>
        <v>1890.2770000000005</v>
      </c>
      <c r="CJ10" s="217">
        <f t="shared" si="36"/>
        <v>17012.493000000006</v>
      </c>
      <c r="CK10" s="218"/>
      <c r="CL10" s="141"/>
    </row>
    <row r="11" spans="1:90" x14ac:dyDescent="0.35">
      <c r="A11" s="193"/>
      <c r="B11" s="194">
        <v>5</v>
      </c>
      <c r="C11" s="195" t="s">
        <v>211</v>
      </c>
      <c r="D11" s="196"/>
      <c r="E11" s="197"/>
      <c r="F11" s="198">
        <v>40</v>
      </c>
      <c r="G11" s="171">
        <f t="shared" si="1"/>
        <v>0</v>
      </c>
      <c r="H11" s="199">
        <v>8975</v>
      </c>
      <c r="I11" s="200"/>
      <c r="J11" s="200">
        <v>50</v>
      </c>
      <c r="K11" s="171">
        <f t="shared" si="2"/>
        <v>448750</v>
      </c>
      <c r="L11" s="197"/>
      <c r="M11" s="198">
        <v>60</v>
      </c>
      <c r="N11" s="171">
        <f t="shared" si="3"/>
        <v>0</v>
      </c>
      <c r="O11" s="199">
        <v>3567</v>
      </c>
      <c r="P11" s="198">
        <v>15</v>
      </c>
      <c r="Q11" s="171">
        <f t="shared" si="4"/>
        <v>53505</v>
      </c>
      <c r="R11" s="199">
        <v>2761</v>
      </c>
      <c r="S11" s="201">
        <v>12</v>
      </c>
      <c r="T11" s="171">
        <f t="shared" si="5"/>
        <v>33132</v>
      </c>
      <c r="U11" s="199">
        <v>467</v>
      </c>
      <c r="V11" s="171">
        <f t="shared" si="6"/>
        <v>3736</v>
      </c>
      <c r="W11" s="199">
        <v>596</v>
      </c>
      <c r="X11" s="198">
        <v>12</v>
      </c>
      <c r="Y11" s="171">
        <f t="shared" si="7"/>
        <v>7152</v>
      </c>
      <c r="Z11" s="199">
        <v>595</v>
      </c>
      <c r="AA11" s="198">
        <v>10</v>
      </c>
      <c r="AB11" s="171">
        <f t="shared" si="8"/>
        <v>5950</v>
      </c>
      <c r="AC11" s="199">
        <v>251</v>
      </c>
      <c r="AD11" s="198">
        <v>25</v>
      </c>
      <c r="AE11" s="171">
        <f t="shared" si="9"/>
        <v>6275</v>
      </c>
      <c r="AF11" s="197"/>
      <c r="AG11" s="198">
        <v>7.5</v>
      </c>
      <c r="AH11" s="171">
        <f t="shared" si="10"/>
        <v>0</v>
      </c>
      <c r="AI11" s="197"/>
      <c r="AJ11" s="200">
        <v>15</v>
      </c>
      <c r="AK11" s="171">
        <f t="shared" si="11"/>
        <v>0</v>
      </c>
      <c r="AL11" s="199">
        <v>93</v>
      </c>
      <c r="AM11" s="198">
        <v>12</v>
      </c>
      <c r="AN11" s="171">
        <f t="shared" si="12"/>
        <v>1116</v>
      </c>
      <c r="AO11" s="199">
        <f t="shared" si="13"/>
        <v>4763</v>
      </c>
      <c r="AP11" s="197"/>
      <c r="AQ11" s="203"/>
      <c r="AR11" s="197"/>
      <c r="AS11" s="197"/>
      <c r="AT11" s="203"/>
      <c r="AU11" s="197"/>
      <c r="AV11" s="197"/>
      <c r="AW11" s="199">
        <v>993</v>
      </c>
      <c r="AX11" s="197"/>
      <c r="AY11" s="204">
        <f t="shared" si="14"/>
        <v>0.39743732590529246</v>
      </c>
      <c r="AZ11" s="205">
        <f t="shared" si="15"/>
        <v>0.53069637883008358</v>
      </c>
      <c r="BA11" s="204">
        <f t="shared" si="16"/>
        <v>0.27838519764507991</v>
      </c>
      <c r="BB11" s="171">
        <f t="shared" si="17"/>
        <v>504995</v>
      </c>
      <c r="BC11" s="171">
        <f t="shared" si="18"/>
        <v>488157</v>
      </c>
      <c r="BD11" s="171">
        <f t="shared" si="19"/>
        <v>504995</v>
      </c>
      <c r="BE11" s="171">
        <f t="shared" si="20"/>
        <v>504995</v>
      </c>
      <c r="BF11" s="206">
        <v>582266</v>
      </c>
      <c r="BG11" s="207">
        <v>377695.82</v>
      </c>
      <c r="BH11" s="208">
        <f t="shared" si="21"/>
        <v>64.866542095880575</v>
      </c>
      <c r="BI11" s="209"/>
      <c r="BJ11" s="210">
        <f t="shared" si="22"/>
        <v>7.9870712011348766E-2</v>
      </c>
      <c r="BK11" s="211">
        <v>48300</v>
      </c>
      <c r="BL11" s="208">
        <f t="shared" si="23"/>
        <v>3.6332703933747412</v>
      </c>
      <c r="BM11" s="211">
        <v>693.75</v>
      </c>
      <c r="BN11" s="208">
        <f t="shared" si="24"/>
        <v>252.95417657657657</v>
      </c>
      <c r="BO11" s="203"/>
      <c r="BP11" s="208" t="e">
        <f t="shared" si="25"/>
        <v>#DIV/0!</v>
      </c>
      <c r="BQ11" s="203"/>
      <c r="BR11" s="208" t="e">
        <f t="shared" si="26"/>
        <v>#DIV/0!</v>
      </c>
      <c r="BS11" s="212">
        <v>175486.96</v>
      </c>
      <c r="BT11" s="220">
        <f t="shared" si="27"/>
        <v>30.138623927895498</v>
      </c>
      <c r="BU11" s="214">
        <f t="shared" si="28"/>
        <v>29083.22</v>
      </c>
      <c r="BV11" s="215">
        <f t="shared" si="29"/>
        <v>4.9948339762239256</v>
      </c>
      <c r="BW11" s="171">
        <v>17866</v>
      </c>
      <c r="BX11" s="171">
        <v>12110</v>
      </c>
      <c r="BY11" s="171">
        <v>11090</v>
      </c>
      <c r="BZ11" s="171">
        <v>5440</v>
      </c>
      <c r="CA11" s="203"/>
      <c r="CB11" s="203"/>
      <c r="CC11" s="171">
        <v>15000</v>
      </c>
      <c r="CD11" s="221">
        <f t="shared" si="30"/>
        <v>3.0683570739146713E-2</v>
      </c>
      <c r="CE11" s="216">
        <f t="shared" si="31"/>
        <v>2.0798054497429011E-2</v>
      </c>
      <c r="CF11" s="216">
        <f t="shared" si="32"/>
        <v>1.9046277818041926E-2</v>
      </c>
      <c r="CG11" s="216">
        <f t="shared" si="33"/>
        <v>9.3428089567311155E-3</v>
      </c>
      <c r="CH11" s="216">
        <f t="shared" si="34"/>
        <v>0</v>
      </c>
      <c r="CI11" s="217">
        <f t="shared" si="35"/>
        <v>2908.3220000000001</v>
      </c>
      <c r="CJ11" s="217">
        <f t="shared" si="36"/>
        <v>26174.898000000001</v>
      </c>
      <c r="CK11" s="218"/>
      <c r="CL11" s="141"/>
    </row>
    <row r="12" spans="1:90" x14ac:dyDescent="0.35">
      <c r="A12" s="193"/>
      <c r="B12" s="194">
        <v>4</v>
      </c>
      <c r="C12" s="195" t="s">
        <v>256</v>
      </c>
      <c r="D12" s="196"/>
      <c r="E12" s="197"/>
      <c r="F12" s="198">
        <v>40</v>
      </c>
      <c r="G12" s="171">
        <f t="shared" si="1"/>
        <v>0</v>
      </c>
      <c r="H12" s="199">
        <v>7287</v>
      </c>
      <c r="I12" s="200"/>
      <c r="J12" s="200">
        <v>50</v>
      </c>
      <c r="K12" s="171">
        <f t="shared" si="2"/>
        <v>364350</v>
      </c>
      <c r="L12" s="197"/>
      <c r="M12" s="198">
        <v>60</v>
      </c>
      <c r="N12" s="171">
        <f t="shared" si="3"/>
        <v>0</v>
      </c>
      <c r="O12" s="53">
        <v>3022</v>
      </c>
      <c r="P12" s="198">
        <v>15</v>
      </c>
      <c r="Q12" s="171">
        <f t="shared" si="4"/>
        <v>45330</v>
      </c>
      <c r="R12" s="199">
        <v>2920</v>
      </c>
      <c r="S12" s="201">
        <v>12</v>
      </c>
      <c r="T12" s="171">
        <f t="shared" si="5"/>
        <v>35040</v>
      </c>
      <c r="U12" s="199">
        <v>753</v>
      </c>
      <c r="V12" s="171">
        <f t="shared" si="6"/>
        <v>6024</v>
      </c>
      <c r="W12" s="199">
        <v>854</v>
      </c>
      <c r="X12" s="198">
        <v>12</v>
      </c>
      <c r="Y12" s="171">
        <f t="shared" si="7"/>
        <v>10248</v>
      </c>
      <c r="Z12" s="199">
        <v>1509</v>
      </c>
      <c r="AA12" s="198">
        <v>10</v>
      </c>
      <c r="AB12" s="171">
        <f t="shared" si="8"/>
        <v>15090</v>
      </c>
      <c r="AC12" s="199">
        <v>325</v>
      </c>
      <c r="AD12" s="198">
        <v>25</v>
      </c>
      <c r="AE12" s="171">
        <f t="shared" si="9"/>
        <v>8125</v>
      </c>
      <c r="AF12" s="197"/>
      <c r="AG12" s="198">
        <v>7.5</v>
      </c>
      <c r="AH12" s="171">
        <f t="shared" si="10"/>
        <v>0</v>
      </c>
      <c r="AI12" s="197"/>
      <c r="AJ12" s="200">
        <v>15</v>
      </c>
      <c r="AK12" s="171">
        <f t="shared" si="11"/>
        <v>0</v>
      </c>
      <c r="AL12" s="199"/>
      <c r="AM12" s="198">
        <v>12</v>
      </c>
      <c r="AN12" s="171">
        <f t="shared" si="12"/>
        <v>0</v>
      </c>
      <c r="AO12" s="199">
        <f t="shared" si="13"/>
        <v>6361</v>
      </c>
      <c r="AP12" s="197"/>
      <c r="AQ12" s="203"/>
      <c r="AR12" s="197"/>
      <c r="AS12" s="197"/>
      <c r="AT12" s="203"/>
      <c r="AU12" s="197"/>
      <c r="AV12" s="197"/>
      <c r="AW12" s="199">
        <v>2154</v>
      </c>
      <c r="AX12" s="197"/>
      <c r="AY12" s="205">
        <f t="shared" si="14"/>
        <v>0.41471112940853577</v>
      </c>
      <c r="AZ12" s="205">
        <f t="shared" si="15"/>
        <v>0.87292438589268562</v>
      </c>
      <c r="BA12" s="205">
        <f t="shared" si="16"/>
        <v>0.71277299801455984</v>
      </c>
      <c r="BB12" s="171">
        <f t="shared" si="17"/>
        <v>438877</v>
      </c>
      <c r="BC12" s="171">
        <f t="shared" si="18"/>
        <v>407515</v>
      </c>
      <c r="BD12" s="171">
        <f t="shared" si="19"/>
        <v>438877</v>
      </c>
      <c r="BE12" s="171">
        <f t="shared" si="20"/>
        <v>438877</v>
      </c>
      <c r="BF12" s="62">
        <v>519732</v>
      </c>
      <c r="BG12" s="63">
        <v>336127.57</v>
      </c>
      <c r="BH12" s="208">
        <f t="shared" si="21"/>
        <v>64.673248905205</v>
      </c>
      <c r="BI12" s="209"/>
      <c r="BJ12" s="210">
        <f t="shared" si="22"/>
        <v>7.201018986708535E-2</v>
      </c>
      <c r="BK12" s="211">
        <v>44300</v>
      </c>
      <c r="BL12" s="208">
        <f t="shared" si="23"/>
        <v>3.0282203160270882</v>
      </c>
      <c r="BM12" s="203"/>
      <c r="BN12" s="208" t="e">
        <f t="shared" si="24"/>
        <v>#DIV/0!</v>
      </c>
      <c r="BO12" s="203"/>
      <c r="BP12" s="208" t="e">
        <f t="shared" si="25"/>
        <v>#DIV/0!</v>
      </c>
      <c r="BQ12" s="203"/>
      <c r="BR12" s="208" t="e">
        <f t="shared" si="26"/>
        <v>#DIV/0!</v>
      </c>
      <c r="BS12" s="212">
        <v>134150.16</v>
      </c>
      <c r="BT12" s="220">
        <f t="shared" si="27"/>
        <v>25.811410496178802</v>
      </c>
      <c r="BU12" s="214">
        <f t="shared" si="28"/>
        <v>49454.26999999999</v>
      </c>
      <c r="BV12" s="215">
        <f t="shared" si="29"/>
        <v>9.5153405986162092</v>
      </c>
      <c r="BW12" s="171">
        <v>11890</v>
      </c>
      <c r="BX12" s="171">
        <v>10380</v>
      </c>
      <c r="BY12" s="171">
        <v>9716</v>
      </c>
      <c r="BZ12" s="171">
        <v>5440</v>
      </c>
      <c r="CA12" s="203"/>
      <c r="CB12" s="203"/>
      <c r="CC12" s="64">
        <v>12000</v>
      </c>
      <c r="CD12" s="249">
        <f t="shared" si="30"/>
        <v>2.2877175159505284E-2</v>
      </c>
      <c r="CE12" s="216">
        <f t="shared" si="31"/>
        <v>1.9971831636304865E-2</v>
      </c>
      <c r="CF12" s="216">
        <f t="shared" si="32"/>
        <v>1.8694250113520047E-2</v>
      </c>
      <c r="CG12" s="216">
        <f t="shared" si="33"/>
        <v>1.0466932957755151E-2</v>
      </c>
      <c r="CH12" s="216">
        <f t="shared" si="34"/>
        <v>0</v>
      </c>
      <c r="CI12" s="217">
        <f t="shared" si="35"/>
        <v>4945.4269999999997</v>
      </c>
      <c r="CJ12" s="217">
        <f t="shared" si="36"/>
        <v>44508.842999999993</v>
      </c>
      <c r="CK12" s="218"/>
      <c r="CL12" s="141"/>
    </row>
    <row r="13" spans="1:90" x14ac:dyDescent="0.35">
      <c r="A13" s="193"/>
      <c r="B13" s="194">
        <v>4</v>
      </c>
      <c r="C13" s="195" t="s">
        <v>216</v>
      </c>
      <c r="D13" s="196"/>
      <c r="E13" s="197"/>
      <c r="F13" s="198">
        <v>40</v>
      </c>
      <c r="G13" s="171">
        <f t="shared" si="1"/>
        <v>0</v>
      </c>
      <c r="H13" s="199">
        <v>8922</v>
      </c>
      <c r="I13" s="200"/>
      <c r="J13" s="200">
        <v>50</v>
      </c>
      <c r="K13" s="171">
        <f t="shared" si="2"/>
        <v>446100</v>
      </c>
      <c r="L13" s="197"/>
      <c r="M13" s="198">
        <v>60</v>
      </c>
      <c r="N13" s="171">
        <f t="shared" si="3"/>
        <v>0</v>
      </c>
      <c r="O13" s="199">
        <v>2969</v>
      </c>
      <c r="P13" s="198">
        <v>15</v>
      </c>
      <c r="Q13" s="171">
        <f t="shared" si="4"/>
        <v>44535</v>
      </c>
      <c r="R13" s="199">
        <v>1160</v>
      </c>
      <c r="S13" s="201">
        <v>12</v>
      </c>
      <c r="T13" s="171">
        <f t="shared" si="5"/>
        <v>13920</v>
      </c>
      <c r="U13" s="199">
        <v>560</v>
      </c>
      <c r="V13" s="171">
        <f t="shared" si="6"/>
        <v>4480</v>
      </c>
      <c r="W13" s="199">
        <v>478</v>
      </c>
      <c r="X13" s="198">
        <v>12</v>
      </c>
      <c r="Y13" s="171">
        <f t="shared" si="7"/>
        <v>5736</v>
      </c>
      <c r="Z13" s="199">
        <v>745</v>
      </c>
      <c r="AA13" s="198">
        <v>10</v>
      </c>
      <c r="AB13" s="171">
        <f t="shared" si="8"/>
        <v>7450</v>
      </c>
      <c r="AC13" s="199">
        <v>120</v>
      </c>
      <c r="AD13" s="198">
        <v>25</v>
      </c>
      <c r="AE13" s="171">
        <f t="shared" si="9"/>
        <v>3000</v>
      </c>
      <c r="AF13" s="197"/>
      <c r="AG13" s="198">
        <v>7.5</v>
      </c>
      <c r="AH13" s="171">
        <f t="shared" si="10"/>
        <v>0</v>
      </c>
      <c r="AI13" s="197"/>
      <c r="AJ13" s="200">
        <v>15</v>
      </c>
      <c r="AK13" s="171">
        <f t="shared" si="11"/>
        <v>0</v>
      </c>
      <c r="AL13" s="199">
        <v>63</v>
      </c>
      <c r="AM13" s="198">
        <v>12</v>
      </c>
      <c r="AN13" s="171">
        <f t="shared" si="12"/>
        <v>756</v>
      </c>
      <c r="AO13" s="199">
        <f t="shared" si="13"/>
        <v>3126</v>
      </c>
      <c r="AP13" s="197"/>
      <c r="AQ13" s="203"/>
      <c r="AR13" s="197"/>
      <c r="AS13" s="197"/>
      <c r="AT13" s="203"/>
      <c r="AU13" s="197"/>
      <c r="AV13" s="197"/>
      <c r="AW13" s="199">
        <v>970</v>
      </c>
      <c r="AX13" s="197"/>
      <c r="AY13" s="204">
        <f t="shared" si="14"/>
        <v>0.33277292086976012</v>
      </c>
      <c r="AZ13" s="205">
        <f t="shared" si="15"/>
        <v>0.35036987222595828</v>
      </c>
      <c r="BA13" s="204">
        <f t="shared" si="16"/>
        <v>0.32670932974065342</v>
      </c>
      <c r="BB13" s="171">
        <f t="shared" si="17"/>
        <v>480686</v>
      </c>
      <c r="BC13" s="171">
        <f t="shared" si="18"/>
        <v>463020</v>
      </c>
      <c r="BD13" s="171">
        <f t="shared" si="19"/>
        <v>480686</v>
      </c>
      <c r="BE13" s="171">
        <f t="shared" si="20"/>
        <v>480686</v>
      </c>
      <c r="BF13" s="206">
        <v>548522</v>
      </c>
      <c r="BG13" s="207">
        <v>360200.9</v>
      </c>
      <c r="BH13" s="208">
        <f t="shared" si="21"/>
        <v>65.667539314740338</v>
      </c>
      <c r="BI13" s="209"/>
      <c r="BJ13" s="210">
        <f t="shared" si="22"/>
        <v>9.6933213253069153E-2</v>
      </c>
      <c r="BK13" s="211">
        <v>49650</v>
      </c>
      <c r="BL13" s="208">
        <f t="shared" si="23"/>
        <v>3.635337764350453</v>
      </c>
      <c r="BM13" s="211">
        <v>2268.75</v>
      </c>
      <c r="BN13" s="208">
        <f t="shared" si="24"/>
        <v>79.556813223140495</v>
      </c>
      <c r="BO13" s="203"/>
      <c r="BP13" s="208" t="e">
        <f t="shared" si="25"/>
        <v>#DIV/0!</v>
      </c>
      <c r="BQ13" s="203"/>
      <c r="BR13" s="208" t="e">
        <f t="shared" si="26"/>
        <v>#DIV/0!</v>
      </c>
      <c r="BS13" s="212">
        <v>180494.52</v>
      </c>
      <c r="BT13" s="220">
        <f t="shared" si="27"/>
        <v>32.905611807730587</v>
      </c>
      <c r="BU13" s="214">
        <f t="shared" si="28"/>
        <v>7826.5799999999872</v>
      </c>
      <c r="BV13" s="215">
        <f t="shared" si="29"/>
        <v>1.4268488775290666</v>
      </c>
      <c r="BW13" s="171">
        <v>21836</v>
      </c>
      <c r="BX13" s="171">
        <v>13840</v>
      </c>
      <c r="BY13" s="171">
        <v>12694</v>
      </c>
      <c r="BZ13" s="171">
        <v>4800</v>
      </c>
      <c r="CA13" s="203"/>
      <c r="CB13" s="203"/>
      <c r="CC13" s="171">
        <v>30000</v>
      </c>
      <c r="CD13" s="221">
        <f t="shared" si="30"/>
        <v>3.9808795271657288E-2</v>
      </c>
      <c r="CE13" s="216">
        <f t="shared" si="31"/>
        <v>2.523144012455289E-2</v>
      </c>
      <c r="CF13" s="216">
        <f t="shared" si="32"/>
        <v>2.3142189374355086E-2</v>
      </c>
      <c r="CG13" s="216">
        <f t="shared" si="33"/>
        <v>8.7507884825038917E-3</v>
      </c>
      <c r="CH13" s="216">
        <f t="shared" si="34"/>
        <v>0</v>
      </c>
      <c r="CI13" s="217">
        <f t="shared" si="35"/>
        <v>782.65799999999876</v>
      </c>
      <c r="CJ13" s="217">
        <f t="shared" si="36"/>
        <v>7043.9219999999887</v>
      </c>
      <c r="CK13" s="218"/>
      <c r="CL13" s="141"/>
    </row>
    <row r="14" spans="1:90" x14ac:dyDescent="0.35">
      <c r="A14" s="193"/>
      <c r="B14" s="194">
        <v>4</v>
      </c>
      <c r="C14" s="195" t="s">
        <v>214</v>
      </c>
      <c r="D14" s="196"/>
      <c r="E14" s="197"/>
      <c r="F14" s="198">
        <v>40</v>
      </c>
      <c r="G14" s="171">
        <f t="shared" si="1"/>
        <v>0</v>
      </c>
      <c r="H14" s="199">
        <v>8664</v>
      </c>
      <c r="I14" s="200"/>
      <c r="J14" s="200">
        <v>50</v>
      </c>
      <c r="K14" s="171">
        <f t="shared" si="2"/>
        <v>433200</v>
      </c>
      <c r="L14" s="197"/>
      <c r="M14" s="198">
        <v>60</v>
      </c>
      <c r="N14" s="171">
        <f t="shared" si="3"/>
        <v>0</v>
      </c>
      <c r="O14" s="199">
        <v>4093</v>
      </c>
      <c r="P14" s="198">
        <v>15</v>
      </c>
      <c r="Q14" s="171">
        <f t="shared" si="4"/>
        <v>61395</v>
      </c>
      <c r="R14" s="199">
        <v>1880</v>
      </c>
      <c r="S14" s="201">
        <v>12</v>
      </c>
      <c r="T14" s="171">
        <f t="shared" si="5"/>
        <v>22560</v>
      </c>
      <c r="U14" s="199">
        <v>693</v>
      </c>
      <c r="V14" s="171">
        <f t="shared" si="6"/>
        <v>5544</v>
      </c>
      <c r="W14" s="199">
        <v>647</v>
      </c>
      <c r="X14" s="198">
        <v>12</v>
      </c>
      <c r="Y14" s="171">
        <f t="shared" si="7"/>
        <v>7764</v>
      </c>
      <c r="Z14" s="199">
        <v>1150</v>
      </c>
      <c r="AA14" s="198">
        <v>10</v>
      </c>
      <c r="AB14" s="171">
        <f t="shared" si="8"/>
        <v>11500</v>
      </c>
      <c r="AC14" s="199">
        <v>156</v>
      </c>
      <c r="AD14" s="198">
        <v>25</v>
      </c>
      <c r="AE14" s="171">
        <f t="shared" si="9"/>
        <v>3900</v>
      </c>
      <c r="AF14" s="197"/>
      <c r="AG14" s="198">
        <v>7.5</v>
      </c>
      <c r="AH14" s="171">
        <f t="shared" si="10"/>
        <v>0</v>
      </c>
      <c r="AI14" s="197"/>
      <c r="AJ14" s="200">
        <v>15</v>
      </c>
      <c r="AK14" s="171">
        <f t="shared" si="11"/>
        <v>0</v>
      </c>
      <c r="AL14" s="199">
        <v>70</v>
      </c>
      <c r="AM14" s="198">
        <v>10</v>
      </c>
      <c r="AN14" s="171">
        <f t="shared" si="12"/>
        <v>700</v>
      </c>
      <c r="AO14" s="199">
        <f t="shared" si="13"/>
        <v>4596</v>
      </c>
      <c r="AP14" s="197"/>
      <c r="AQ14" s="203"/>
      <c r="AR14" s="197"/>
      <c r="AS14" s="197"/>
      <c r="AT14" s="203"/>
      <c r="AU14" s="197"/>
      <c r="AV14" s="197"/>
      <c r="AW14" s="199">
        <v>1785</v>
      </c>
      <c r="AX14" s="197"/>
      <c r="AY14" s="204">
        <f t="shared" si="14"/>
        <v>0.47241458910433981</v>
      </c>
      <c r="AZ14" s="205">
        <f t="shared" si="15"/>
        <v>0.53047091412742386</v>
      </c>
      <c r="BA14" s="205">
        <f t="shared" si="16"/>
        <v>0.43611043244563891</v>
      </c>
      <c r="BB14" s="171">
        <f t="shared" si="17"/>
        <v>484468</v>
      </c>
      <c r="BC14" s="171">
        <f t="shared" si="18"/>
        <v>459660</v>
      </c>
      <c r="BD14" s="171">
        <f t="shared" si="19"/>
        <v>484468</v>
      </c>
      <c r="BE14" s="171">
        <f t="shared" si="20"/>
        <v>484468</v>
      </c>
      <c r="BF14" s="206">
        <v>588401</v>
      </c>
      <c r="BG14" s="207">
        <v>376197.81</v>
      </c>
      <c r="BH14" s="208">
        <f t="shared" si="21"/>
        <v>63.935617036680767</v>
      </c>
      <c r="BI14" s="209"/>
      <c r="BJ14" s="210">
        <f t="shared" si="22"/>
        <v>7.2491379178485429E-2</v>
      </c>
      <c r="BK14" s="211">
        <v>50200</v>
      </c>
      <c r="BL14" s="208">
        <f t="shared" si="23"/>
        <v>2.9913760956175297</v>
      </c>
      <c r="BM14" s="211">
        <v>1169</v>
      </c>
      <c r="BN14" s="208">
        <f t="shared" si="24"/>
        <v>128.45772455089821</v>
      </c>
      <c r="BO14" s="203"/>
      <c r="BP14" s="208" t="e">
        <f t="shared" si="25"/>
        <v>#DIV/0!</v>
      </c>
      <c r="BQ14" s="203"/>
      <c r="BR14" s="208" t="e">
        <f t="shared" si="26"/>
        <v>#DIV/0!</v>
      </c>
      <c r="BS14" s="212">
        <v>150167.07999999999</v>
      </c>
      <c r="BT14" s="220">
        <f t="shared" si="27"/>
        <v>25.521214273939027</v>
      </c>
      <c r="BU14" s="214">
        <f t="shared" si="28"/>
        <v>62036.110000000015</v>
      </c>
      <c r="BV14" s="215">
        <f t="shared" si="29"/>
        <v>10.543168689380204</v>
      </c>
      <c r="BW14" s="171">
        <v>17866</v>
      </c>
      <c r="BX14" s="171">
        <v>10380</v>
      </c>
      <c r="BY14" s="171">
        <v>8328</v>
      </c>
      <c r="BZ14" s="171">
        <v>6080</v>
      </c>
      <c r="CA14" s="203"/>
      <c r="CB14" s="203"/>
      <c r="CC14" s="171">
        <v>21000</v>
      </c>
      <c r="CD14" s="221">
        <f t="shared" si="30"/>
        <v>3.0363646560763832E-2</v>
      </c>
      <c r="CE14" s="216">
        <f t="shared" si="31"/>
        <v>1.7641030521702038E-2</v>
      </c>
      <c r="CF14" s="216">
        <f t="shared" si="32"/>
        <v>1.4153612927238397E-2</v>
      </c>
      <c r="CG14" s="216">
        <f t="shared" si="33"/>
        <v>1.0333089168781154E-2</v>
      </c>
      <c r="CH14" s="216">
        <f t="shared" si="34"/>
        <v>0</v>
      </c>
      <c r="CI14" s="217">
        <f t="shared" si="35"/>
        <v>6203.6110000000017</v>
      </c>
      <c r="CJ14" s="217">
        <f t="shared" si="36"/>
        <v>55832.499000000018</v>
      </c>
      <c r="CK14" s="218"/>
      <c r="CL14" s="141"/>
    </row>
    <row r="15" spans="1:90" x14ac:dyDescent="0.35">
      <c r="A15" s="193"/>
      <c r="B15" s="223">
        <v>4</v>
      </c>
      <c r="C15" s="195" t="s">
        <v>253</v>
      </c>
      <c r="D15" s="196"/>
      <c r="E15" s="197"/>
      <c r="F15" s="250"/>
      <c r="G15" s="203"/>
      <c r="H15" s="251">
        <v>10075</v>
      </c>
      <c r="I15" s="252"/>
      <c r="J15" s="252">
        <v>50</v>
      </c>
      <c r="K15" s="253">
        <f t="shared" si="2"/>
        <v>503750</v>
      </c>
      <c r="L15" s="197"/>
      <c r="M15" s="198">
        <v>60</v>
      </c>
      <c r="N15" s="171">
        <f t="shared" si="3"/>
        <v>0</v>
      </c>
      <c r="O15" s="254">
        <v>4032</v>
      </c>
      <c r="P15" s="198">
        <v>15</v>
      </c>
      <c r="Q15" s="171">
        <f t="shared" si="4"/>
        <v>60480</v>
      </c>
      <c r="R15" s="255">
        <v>299</v>
      </c>
      <c r="S15" s="256">
        <v>12</v>
      </c>
      <c r="T15" s="257">
        <f t="shared" si="5"/>
        <v>3588</v>
      </c>
      <c r="U15" s="255">
        <v>968</v>
      </c>
      <c r="V15" s="171">
        <f t="shared" si="6"/>
        <v>7744</v>
      </c>
      <c r="W15" s="255">
        <v>1062</v>
      </c>
      <c r="X15" s="198">
        <v>12</v>
      </c>
      <c r="Y15" s="171">
        <f t="shared" si="7"/>
        <v>12744</v>
      </c>
      <c r="Z15" s="255">
        <v>1675</v>
      </c>
      <c r="AA15" s="198">
        <v>10</v>
      </c>
      <c r="AB15" s="171">
        <f t="shared" si="8"/>
        <v>16750</v>
      </c>
      <c r="AC15" s="255">
        <v>250</v>
      </c>
      <c r="AD15" s="198">
        <v>25</v>
      </c>
      <c r="AE15" s="171">
        <f t="shared" si="9"/>
        <v>6250</v>
      </c>
      <c r="AF15" s="258"/>
      <c r="AG15" s="198">
        <v>7.5</v>
      </c>
      <c r="AH15" s="171">
        <f t="shared" si="10"/>
        <v>0</v>
      </c>
      <c r="AI15" s="197"/>
      <c r="AJ15" s="200">
        <v>15</v>
      </c>
      <c r="AK15" s="171">
        <f t="shared" si="11"/>
        <v>0</v>
      </c>
      <c r="AL15" s="255">
        <v>88</v>
      </c>
      <c r="AM15" s="198">
        <v>10</v>
      </c>
      <c r="AN15" s="171">
        <f t="shared" si="12"/>
        <v>880</v>
      </c>
      <c r="AO15" s="199">
        <f t="shared" si="13"/>
        <v>4342</v>
      </c>
      <c r="AP15" s="197"/>
      <c r="AQ15" s="203"/>
      <c r="AR15" s="197"/>
      <c r="AS15" s="197"/>
      <c r="AT15" s="203"/>
      <c r="AU15" s="197"/>
      <c r="AV15" s="197"/>
      <c r="AW15" s="255">
        <v>1214</v>
      </c>
      <c r="AX15" s="197"/>
      <c r="AY15" s="204">
        <f t="shared" si="14"/>
        <v>0.4001985111662531</v>
      </c>
      <c r="AZ15" s="205">
        <f t="shared" si="15"/>
        <v>0.43096774193548387</v>
      </c>
      <c r="BA15" s="204">
        <f t="shared" si="16"/>
        <v>0.30109126984126983</v>
      </c>
      <c r="BB15" s="171">
        <f t="shared" si="17"/>
        <v>550826</v>
      </c>
      <c r="BC15" s="171">
        <f t="shared" si="18"/>
        <v>513588</v>
      </c>
      <c r="BD15" s="171">
        <f t="shared" si="19"/>
        <v>550826</v>
      </c>
      <c r="BE15" s="171">
        <f t="shared" si="20"/>
        <v>550826</v>
      </c>
      <c r="BF15" s="206">
        <v>640902</v>
      </c>
      <c r="BG15" s="207">
        <v>417118</v>
      </c>
      <c r="BH15" s="208">
        <f t="shared" si="21"/>
        <v>65.082961201556557</v>
      </c>
      <c r="BI15" s="203"/>
      <c r="BJ15" s="259"/>
      <c r="BK15" s="260">
        <v>48200</v>
      </c>
      <c r="BL15" s="261"/>
      <c r="BM15" s="260">
        <v>3954</v>
      </c>
      <c r="BN15" s="261"/>
      <c r="BO15" s="203"/>
      <c r="BP15" s="261"/>
      <c r="BQ15" s="203"/>
      <c r="BR15" s="261"/>
      <c r="BS15" s="212">
        <v>155038.35999999999</v>
      </c>
      <c r="BT15" s="220">
        <f t="shared" si="27"/>
        <v>24.190650052582139</v>
      </c>
      <c r="BU15" s="214">
        <f t="shared" si="28"/>
        <v>68745.640000000014</v>
      </c>
      <c r="BV15" s="215">
        <f t="shared" si="29"/>
        <v>10.726388745861303</v>
      </c>
      <c r="BW15" s="262">
        <v>17194</v>
      </c>
      <c r="BX15" s="263">
        <v>12110</v>
      </c>
      <c r="BY15" s="171">
        <v>13880</v>
      </c>
      <c r="BZ15" s="171">
        <v>6400</v>
      </c>
      <c r="CA15" s="203"/>
      <c r="CB15" s="203"/>
      <c r="CC15" s="171">
        <v>21600</v>
      </c>
      <c r="CD15" s="216">
        <f t="shared" si="30"/>
        <v>2.6827814548870187E-2</v>
      </c>
      <c r="CE15" s="216">
        <f t="shared" si="31"/>
        <v>1.8895244514762006E-2</v>
      </c>
      <c r="CF15" s="216">
        <f t="shared" si="32"/>
        <v>2.1656977197761905E-2</v>
      </c>
      <c r="CG15" s="216">
        <f t="shared" si="33"/>
        <v>9.9859260854233568E-3</v>
      </c>
      <c r="CH15" s="216">
        <f t="shared" si="34"/>
        <v>0</v>
      </c>
      <c r="CI15" s="217">
        <f t="shared" si="35"/>
        <v>6874.5640000000021</v>
      </c>
      <c r="CJ15" s="217">
        <f t="shared" si="36"/>
        <v>61871.076000000015</v>
      </c>
      <c r="CK15" s="218"/>
      <c r="CL15" s="141"/>
    </row>
    <row r="16" spans="1:90" x14ac:dyDescent="0.35">
      <c r="CJ16" s="264">
        <f>SUM(CJ6:CJ15)</f>
        <v>410492.54699999996</v>
      </c>
    </row>
    <row r="18" spans="4:22" x14ac:dyDescent="0.35">
      <c r="D18" s="265"/>
      <c r="G18" s="266" t="s">
        <v>257</v>
      </c>
      <c r="H18" s="6">
        <v>46174</v>
      </c>
      <c r="I18" s="6"/>
      <c r="J18" s="6">
        <v>46204</v>
      </c>
      <c r="K18" s="241" t="s">
        <v>258</v>
      </c>
      <c r="L18" s="232">
        <v>46174</v>
      </c>
      <c r="M18" s="232">
        <v>46204</v>
      </c>
      <c r="O18" s="6">
        <v>46174</v>
      </c>
      <c r="P18" s="6">
        <v>46204</v>
      </c>
      <c r="Q18" s="266" t="s">
        <v>259</v>
      </c>
      <c r="R18" s="6">
        <v>46174</v>
      </c>
      <c r="S18" s="6">
        <v>46204</v>
      </c>
      <c r="T18" s="266" t="s">
        <v>260</v>
      </c>
      <c r="U18" s="6">
        <v>46174</v>
      </c>
      <c r="V18" s="6">
        <v>46204</v>
      </c>
    </row>
    <row r="19" spans="4:22" x14ac:dyDescent="0.35">
      <c r="D19" s="265"/>
      <c r="G19" s="267" t="s">
        <v>5</v>
      </c>
      <c r="H19" s="9">
        <v>1447407</v>
      </c>
      <c r="I19" s="9"/>
      <c r="J19" s="9">
        <v>1344920</v>
      </c>
      <c r="K19" s="268" t="s">
        <v>5</v>
      </c>
      <c r="L19" s="269">
        <v>405507</v>
      </c>
      <c r="M19" s="269">
        <v>404408</v>
      </c>
      <c r="O19" s="9">
        <v>405507</v>
      </c>
      <c r="P19" s="9">
        <v>404408</v>
      </c>
      <c r="Q19" s="267" t="s">
        <v>5</v>
      </c>
      <c r="R19" s="9">
        <v>620871</v>
      </c>
      <c r="S19" s="9">
        <v>582266</v>
      </c>
      <c r="T19" s="267" t="s">
        <v>5</v>
      </c>
      <c r="U19" s="9">
        <v>715413</v>
      </c>
      <c r="V19" s="9">
        <v>702813</v>
      </c>
    </row>
    <row r="20" spans="4:22" x14ac:dyDescent="0.35">
      <c r="D20" s="265"/>
      <c r="G20" s="267" t="s">
        <v>6</v>
      </c>
      <c r="H20" s="9">
        <v>952812.43</v>
      </c>
      <c r="I20" s="9"/>
      <c r="J20" s="9">
        <v>885019.08</v>
      </c>
      <c r="K20" s="268" t="s">
        <v>6</v>
      </c>
      <c r="L20" s="269">
        <v>262224.27</v>
      </c>
      <c r="M20" s="269">
        <v>260348.19</v>
      </c>
      <c r="O20" s="9">
        <v>262224.27</v>
      </c>
      <c r="P20" s="9">
        <v>260348.19</v>
      </c>
      <c r="Q20" s="267" t="s">
        <v>6</v>
      </c>
      <c r="R20" s="9">
        <v>400742.45</v>
      </c>
      <c r="S20" s="9">
        <v>377695.82</v>
      </c>
      <c r="T20" s="267" t="s">
        <v>6</v>
      </c>
      <c r="U20" s="9">
        <v>451901.43</v>
      </c>
      <c r="V20" s="9">
        <v>449448.5</v>
      </c>
    </row>
    <row r="21" spans="4:22" x14ac:dyDescent="0.35">
      <c r="D21" s="265"/>
      <c r="G21" s="267" t="s">
        <v>7</v>
      </c>
      <c r="H21" s="9">
        <v>321561.69</v>
      </c>
      <c r="I21" s="9"/>
      <c r="J21" s="9">
        <v>296654.44</v>
      </c>
      <c r="K21" s="268" t="s">
        <v>7</v>
      </c>
      <c r="L21" s="269">
        <v>125964.86</v>
      </c>
      <c r="M21" s="269">
        <v>125157.04</v>
      </c>
      <c r="O21" s="9">
        <v>125964.86</v>
      </c>
      <c r="P21" s="9">
        <v>125157.04</v>
      </c>
      <c r="Q21" s="267" t="s">
        <v>7</v>
      </c>
      <c r="R21" s="9">
        <v>201252.53</v>
      </c>
      <c r="S21" s="9">
        <v>175486.96</v>
      </c>
      <c r="T21" s="267" t="s">
        <v>7</v>
      </c>
      <c r="U21" s="9">
        <v>202429.35</v>
      </c>
      <c r="V21" s="9">
        <v>196556.82</v>
      </c>
    </row>
    <row r="22" spans="4:22" x14ac:dyDescent="0.35">
      <c r="D22" s="265"/>
      <c r="G22" s="267" t="s">
        <v>8</v>
      </c>
      <c r="H22" s="9">
        <v>173032.98</v>
      </c>
      <c r="I22" s="9"/>
      <c r="J22" s="9">
        <f>J19-J20-J21</f>
        <v>163246.48000000004</v>
      </c>
      <c r="K22" s="268" t="s">
        <v>8</v>
      </c>
      <c r="L22" s="269">
        <v>17317.87</v>
      </c>
      <c r="M22" s="269">
        <f>M19-M20-M21</f>
        <v>18902.770000000004</v>
      </c>
      <c r="O22" s="9">
        <v>17317.87</v>
      </c>
      <c r="P22" s="9">
        <f>P19-P20-P21</f>
        <v>18902.770000000004</v>
      </c>
      <c r="Q22" s="267" t="s">
        <v>8</v>
      </c>
      <c r="R22" s="9">
        <v>18876.02</v>
      </c>
      <c r="S22" s="9">
        <f>S19-S20-S21</f>
        <v>29083.22</v>
      </c>
      <c r="T22" s="267" t="s">
        <v>8</v>
      </c>
      <c r="U22" s="9">
        <v>61082.22</v>
      </c>
      <c r="V22" s="9">
        <f>V19-V20-V21</f>
        <v>56807.679999999993</v>
      </c>
    </row>
    <row r="23" spans="4:22" x14ac:dyDescent="0.35">
      <c r="D23" s="270"/>
    </row>
    <row r="24" spans="4:22" x14ac:dyDescent="0.35">
      <c r="D24" s="265"/>
      <c r="G24" s="266" t="s">
        <v>261</v>
      </c>
      <c r="H24" s="6">
        <v>46174</v>
      </c>
      <c r="I24" s="6"/>
      <c r="J24" s="6">
        <v>46204</v>
      </c>
      <c r="K24" s="266" t="s">
        <v>262</v>
      </c>
      <c r="O24" s="6">
        <v>46174</v>
      </c>
      <c r="P24" s="6">
        <v>46204</v>
      </c>
      <c r="Q24" s="266" t="s">
        <v>263</v>
      </c>
      <c r="R24" s="6">
        <v>46174</v>
      </c>
      <c r="S24" s="6">
        <v>46204</v>
      </c>
      <c r="T24" s="266" t="s">
        <v>256</v>
      </c>
      <c r="U24" s="6">
        <v>46174</v>
      </c>
      <c r="V24" s="6">
        <v>46204</v>
      </c>
    </row>
    <row r="25" spans="4:22" x14ac:dyDescent="0.35">
      <c r="D25" s="265"/>
      <c r="G25" s="267" t="s">
        <v>5</v>
      </c>
      <c r="H25" s="9">
        <v>570657</v>
      </c>
      <c r="I25" s="9"/>
      <c r="J25" s="9">
        <v>548522</v>
      </c>
      <c r="K25" s="267" t="s">
        <v>5</v>
      </c>
      <c r="O25" s="9">
        <v>550770</v>
      </c>
      <c r="P25" s="9">
        <v>588401</v>
      </c>
      <c r="Q25" s="267" t="s">
        <v>5</v>
      </c>
      <c r="R25" s="9">
        <v>704061</v>
      </c>
      <c r="S25" s="9">
        <v>640902</v>
      </c>
      <c r="T25" s="267" t="s">
        <v>5</v>
      </c>
      <c r="U25" s="9">
        <v>522741</v>
      </c>
      <c r="V25" s="9">
        <v>519732</v>
      </c>
    </row>
    <row r="26" spans="4:22" x14ac:dyDescent="0.35">
      <c r="D26" s="265"/>
      <c r="G26" s="267" t="s">
        <v>6</v>
      </c>
      <c r="H26" s="9">
        <v>373467.52</v>
      </c>
      <c r="I26" s="9"/>
      <c r="J26" s="9">
        <v>360200.9</v>
      </c>
      <c r="K26" s="267" t="s">
        <v>6</v>
      </c>
      <c r="O26" s="9">
        <v>358311</v>
      </c>
      <c r="P26" s="9">
        <v>376197.81</v>
      </c>
      <c r="Q26" s="267" t="s">
        <v>6</v>
      </c>
      <c r="R26" s="9">
        <v>459217.21</v>
      </c>
      <c r="S26" s="9">
        <v>417118.1</v>
      </c>
      <c r="T26" s="267" t="s">
        <v>6</v>
      </c>
      <c r="U26" s="9">
        <v>337301.98</v>
      </c>
      <c r="V26" s="9">
        <v>336127.57</v>
      </c>
    </row>
    <row r="27" spans="4:22" x14ac:dyDescent="0.35">
      <c r="D27" s="265"/>
      <c r="G27" s="267" t="s">
        <v>7</v>
      </c>
      <c r="H27" s="9">
        <v>176133.93</v>
      </c>
      <c r="I27" s="9"/>
      <c r="J27" s="9">
        <v>180494</v>
      </c>
      <c r="K27" s="267" t="s">
        <v>7</v>
      </c>
      <c r="O27" s="9">
        <v>172945</v>
      </c>
      <c r="P27" s="9">
        <v>150167.07999999999</v>
      </c>
      <c r="Q27" s="267" t="s">
        <v>7</v>
      </c>
      <c r="R27" s="9">
        <v>173421</v>
      </c>
      <c r="S27" s="9">
        <v>155038.35999999999</v>
      </c>
      <c r="T27" s="267" t="s">
        <v>7</v>
      </c>
      <c r="U27" s="9">
        <v>144147.10999999999</v>
      </c>
      <c r="V27" s="9">
        <v>134150.16</v>
      </c>
    </row>
    <row r="28" spans="4:22" x14ac:dyDescent="0.35">
      <c r="D28" s="265"/>
      <c r="G28" s="267" t="s">
        <v>8</v>
      </c>
      <c r="H28" s="9">
        <v>21055.55</v>
      </c>
      <c r="I28" s="9"/>
      <c r="J28" s="9">
        <f>J25-J26-J27</f>
        <v>7827.0999999999767</v>
      </c>
      <c r="K28" s="267" t="s">
        <v>8</v>
      </c>
      <c r="O28" s="9">
        <v>19512.810000000001</v>
      </c>
      <c r="P28" s="9">
        <f>P25-P26-P27</f>
        <v>62036.110000000015</v>
      </c>
      <c r="Q28" s="267" t="s">
        <v>8</v>
      </c>
      <c r="R28" s="9">
        <v>71422.13</v>
      </c>
      <c r="S28" s="9">
        <f>S25-S26-S27</f>
        <v>68745.540000000037</v>
      </c>
      <c r="T28" s="267" t="s">
        <v>8</v>
      </c>
      <c r="U28" s="9">
        <f t="shared" ref="U28:V28" si="37">U25-U26-U27</f>
        <v>41291.910000000033</v>
      </c>
      <c r="V28" s="9">
        <f t="shared" si="37"/>
        <v>49454.26999999999</v>
      </c>
    </row>
    <row r="29" spans="4:22" x14ac:dyDescent="0.35">
      <c r="D29" s="270"/>
    </row>
    <row r="30" spans="4:22" x14ac:dyDescent="0.35">
      <c r="D30" s="271"/>
      <c r="G30" s="5" t="s">
        <v>78</v>
      </c>
      <c r="H30" s="6">
        <v>46174</v>
      </c>
      <c r="I30" s="6"/>
      <c r="J30" s="6">
        <v>46204</v>
      </c>
    </row>
    <row r="31" spans="4:22" x14ac:dyDescent="0.35">
      <c r="D31" s="271"/>
      <c r="G31" s="8" t="s">
        <v>5</v>
      </c>
      <c r="H31" s="9">
        <v>465862</v>
      </c>
      <c r="I31" s="9"/>
      <c r="J31" s="9">
        <v>532773</v>
      </c>
    </row>
    <row r="32" spans="4:22" x14ac:dyDescent="0.35">
      <c r="D32" s="271"/>
      <c r="G32" s="8" t="s">
        <v>6</v>
      </c>
      <c r="H32" s="9">
        <v>306138.26</v>
      </c>
      <c r="I32" s="9"/>
      <c r="J32" s="9">
        <v>350670.31</v>
      </c>
    </row>
    <row r="33" spans="4:10" x14ac:dyDescent="0.35">
      <c r="D33" s="271"/>
      <c r="G33" s="8" t="s">
        <v>7</v>
      </c>
      <c r="H33" s="9">
        <v>118814.89</v>
      </c>
      <c r="I33" s="9"/>
      <c r="J33" s="9">
        <v>149660.57999999999</v>
      </c>
    </row>
    <row r="34" spans="4:10" x14ac:dyDescent="0.35">
      <c r="D34" s="271"/>
      <c r="G34" s="8" t="s">
        <v>8</v>
      </c>
      <c r="H34" s="9">
        <v>40908</v>
      </c>
      <c r="I34" s="9"/>
      <c r="J34" s="9">
        <f>J31-J32-J33</f>
        <v>32442.110000000015</v>
      </c>
    </row>
  </sheetData>
  <mergeCells count="63">
    <mergeCell ref="BG6:BG7"/>
    <mergeCell ref="BB6:BB7"/>
    <mergeCell ref="BC6:BC7"/>
    <mergeCell ref="BD6:BD7"/>
    <mergeCell ref="BE6:BE7"/>
    <mergeCell ref="BF6:BF7"/>
    <mergeCell ref="AV6:AV7"/>
    <mergeCell ref="AW6:AW7"/>
    <mergeCell ref="AY6:AY7"/>
    <mergeCell ref="AZ6:AZ7"/>
    <mergeCell ref="BA6:BA7"/>
    <mergeCell ref="AC6:AE6"/>
    <mergeCell ref="AF6:AH6"/>
    <mergeCell ref="AI6:AK6"/>
    <mergeCell ref="AL6:AN6"/>
    <mergeCell ref="AO6:AO7"/>
    <mergeCell ref="X5:Y5"/>
    <mergeCell ref="AA5:AB5"/>
    <mergeCell ref="A6:A7"/>
    <mergeCell ref="B6:B7"/>
    <mergeCell ref="C6:C7"/>
    <mergeCell ref="D6:D7"/>
    <mergeCell ref="E6:G6"/>
    <mergeCell ref="H6:K6"/>
    <mergeCell ref="L6:N6"/>
    <mergeCell ref="O6:Q6"/>
    <mergeCell ref="R6:T6"/>
    <mergeCell ref="U6:V6"/>
    <mergeCell ref="W6:Y6"/>
    <mergeCell ref="Z6:AB6"/>
    <mergeCell ref="F5:G5"/>
    <mergeCell ref="J5:K5"/>
    <mergeCell ref="M5:N5"/>
    <mergeCell ref="P5:Q5"/>
    <mergeCell ref="S5:T5"/>
    <mergeCell ref="BH5:BQ5"/>
    <mergeCell ref="BT5:BV5"/>
    <mergeCell ref="CD5:CI5"/>
    <mergeCell ref="AD5:AE5"/>
    <mergeCell ref="AG5:AH5"/>
    <mergeCell ref="AJ5:AK5"/>
    <mergeCell ref="AM5:AO5"/>
    <mergeCell ref="AQ5:AR5"/>
    <mergeCell ref="AT5:AU5"/>
    <mergeCell ref="AY5:BE5"/>
    <mergeCell ref="CI6:CI7"/>
    <mergeCell ref="CJ6:CJ7"/>
    <mergeCell ref="BQ6:BQ7"/>
    <mergeCell ref="BR6:BR7"/>
    <mergeCell ref="BS6:BS7"/>
    <mergeCell ref="BT6:BT7"/>
    <mergeCell ref="BU6:BU7"/>
    <mergeCell ref="BV6:BV7"/>
    <mergeCell ref="BW6:CH6"/>
    <mergeCell ref="BO6:BO7"/>
    <mergeCell ref="BP6:BP7"/>
    <mergeCell ref="BH6:BH7"/>
    <mergeCell ref="BI6:BI7"/>
    <mergeCell ref="BJ6:BJ7"/>
    <mergeCell ref="BK6:BK7"/>
    <mergeCell ref="BL6:BL7"/>
    <mergeCell ref="BM6:BM7"/>
    <mergeCell ref="BN6:BN7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CK22"/>
  <sheetViews>
    <sheetView topLeftCell="BK1" workbookViewId="0"/>
  </sheetViews>
  <sheetFormatPr defaultColWidth="14.453125" defaultRowHeight="15" customHeight="1" x14ac:dyDescent="0.35"/>
  <cols>
    <col min="1" max="2" width="14.453125" hidden="1"/>
    <col min="4" max="7" width="14.453125" hidden="1"/>
    <col min="8" max="8" width="9.54296875" hidden="1" customWidth="1"/>
    <col min="9" max="9" width="14.453125" hidden="1"/>
    <col min="10" max="10" width="10.54296875" hidden="1" customWidth="1"/>
    <col min="11" max="49" width="14.453125" hidden="1"/>
    <col min="53" max="56" width="14.453125" hidden="1"/>
    <col min="59" max="61" width="14.453125" hidden="1"/>
    <col min="65" max="69" width="14.453125" hidden="1"/>
    <col min="73" max="79" width="14.453125" hidden="1"/>
    <col min="85" max="85" width="14.453125" hidden="1"/>
  </cols>
  <sheetData>
    <row r="1" spans="1:89" x14ac:dyDescent="0.35">
      <c r="A1" s="150" t="s">
        <v>3</v>
      </c>
      <c r="B1" s="150" t="s">
        <v>3</v>
      </c>
      <c r="C1" s="151"/>
      <c r="D1" s="151"/>
      <c r="E1" s="151"/>
    </row>
    <row r="2" spans="1:89" x14ac:dyDescent="0.35">
      <c r="A2" s="155"/>
      <c r="B2" s="155"/>
      <c r="C2" s="156"/>
      <c r="D2" s="156"/>
      <c r="E2" s="156"/>
    </row>
    <row r="3" spans="1:89" x14ac:dyDescent="0.35">
      <c r="A3" s="159" t="s">
        <v>10</v>
      </c>
      <c r="B3" s="159" t="s">
        <v>10</v>
      </c>
      <c r="C3" s="160"/>
      <c r="D3" s="160"/>
      <c r="E3" s="160"/>
    </row>
    <row r="5" spans="1:89" x14ac:dyDescent="0.35">
      <c r="A5" s="167"/>
      <c r="B5" s="167"/>
      <c r="C5" s="167"/>
      <c r="D5" s="167"/>
      <c r="E5" s="168"/>
      <c r="F5" s="434" t="s">
        <v>16</v>
      </c>
      <c r="G5" s="444"/>
      <c r="H5" s="168"/>
      <c r="I5" s="434" t="s">
        <v>16</v>
      </c>
      <c r="J5" s="444"/>
      <c r="K5" s="169"/>
      <c r="L5" s="434" t="s">
        <v>16</v>
      </c>
      <c r="M5" s="444"/>
      <c r="N5" s="169"/>
      <c r="O5" s="434" t="s">
        <v>16</v>
      </c>
      <c r="P5" s="444"/>
      <c r="Q5" s="169"/>
      <c r="R5" s="434" t="s">
        <v>16</v>
      </c>
      <c r="S5" s="444"/>
      <c r="T5" s="169"/>
      <c r="U5" s="170"/>
      <c r="V5" s="169"/>
      <c r="W5" s="434" t="s">
        <v>16</v>
      </c>
      <c r="X5" s="444"/>
      <c r="Y5" s="169"/>
      <c r="Z5" s="434" t="s">
        <v>16</v>
      </c>
      <c r="AA5" s="444"/>
      <c r="AB5" s="169"/>
      <c r="AC5" s="434" t="s">
        <v>16</v>
      </c>
      <c r="AD5" s="444"/>
      <c r="AE5" s="169"/>
      <c r="AF5" s="434" t="s">
        <v>16</v>
      </c>
      <c r="AG5" s="444"/>
      <c r="AH5" s="169"/>
      <c r="AI5" s="434" t="s">
        <v>16</v>
      </c>
      <c r="AJ5" s="444"/>
      <c r="AK5" s="169"/>
      <c r="AL5" s="432" t="s">
        <v>17</v>
      </c>
      <c r="AM5" s="406"/>
      <c r="AN5" s="444"/>
      <c r="AO5" s="169"/>
      <c r="AP5" s="435" t="s">
        <v>17</v>
      </c>
      <c r="AQ5" s="444"/>
      <c r="AR5" s="169"/>
      <c r="AS5" s="435" t="s">
        <v>17</v>
      </c>
      <c r="AT5" s="444"/>
      <c r="AU5" s="169"/>
      <c r="AV5" s="172" t="s">
        <v>18</v>
      </c>
      <c r="AW5" s="173"/>
      <c r="AX5" s="432" t="s">
        <v>19</v>
      </c>
      <c r="AY5" s="406"/>
      <c r="AZ5" s="406"/>
      <c r="BA5" s="406"/>
      <c r="BB5" s="406"/>
      <c r="BC5" s="406"/>
      <c r="BD5" s="444"/>
      <c r="BE5" s="169"/>
      <c r="BF5" s="174"/>
      <c r="BG5" s="432" t="s">
        <v>19</v>
      </c>
      <c r="BH5" s="406"/>
      <c r="BI5" s="406"/>
      <c r="BJ5" s="406"/>
      <c r="BK5" s="406"/>
      <c r="BL5" s="406"/>
      <c r="BM5" s="406"/>
      <c r="BN5" s="406"/>
      <c r="BO5" s="406"/>
      <c r="BP5" s="444"/>
      <c r="BQ5" s="175"/>
      <c r="BR5" s="167"/>
      <c r="BS5" s="433" t="s">
        <v>21</v>
      </c>
      <c r="BT5" s="406"/>
      <c r="BU5" s="444"/>
      <c r="BV5" s="167"/>
      <c r="BW5" s="167"/>
      <c r="BX5" s="167"/>
      <c r="BY5" s="167"/>
      <c r="BZ5" s="167"/>
      <c r="CA5" s="167"/>
      <c r="CB5" s="167"/>
      <c r="CC5" s="432" t="s">
        <v>19</v>
      </c>
      <c r="CD5" s="406"/>
      <c r="CE5" s="406"/>
      <c r="CF5" s="406"/>
      <c r="CG5" s="406"/>
      <c r="CH5" s="444"/>
      <c r="CI5" s="176"/>
      <c r="CJ5" s="176"/>
      <c r="CK5" s="141"/>
    </row>
    <row r="6" spans="1:89" x14ac:dyDescent="0.35">
      <c r="A6" s="436" t="s">
        <v>22</v>
      </c>
      <c r="B6" s="437" t="s">
        <v>23</v>
      </c>
      <c r="C6" s="430" t="s">
        <v>24</v>
      </c>
      <c r="D6" s="430" t="s">
        <v>26</v>
      </c>
      <c r="E6" s="438" t="s">
        <v>27</v>
      </c>
      <c r="F6" s="415"/>
      <c r="G6" s="445"/>
      <c r="H6" s="439" t="s">
        <v>28</v>
      </c>
      <c r="I6" s="406"/>
      <c r="J6" s="407"/>
      <c r="K6" s="439" t="s">
        <v>29</v>
      </c>
      <c r="L6" s="406"/>
      <c r="M6" s="407"/>
      <c r="N6" s="439" t="s">
        <v>30</v>
      </c>
      <c r="O6" s="406"/>
      <c r="P6" s="407"/>
      <c r="Q6" s="439" t="s">
        <v>31</v>
      </c>
      <c r="R6" s="406"/>
      <c r="S6" s="407"/>
      <c r="T6" s="439" t="s">
        <v>32</v>
      </c>
      <c r="U6" s="407"/>
      <c r="V6" s="439" t="s">
        <v>33</v>
      </c>
      <c r="W6" s="406"/>
      <c r="X6" s="407"/>
      <c r="Y6" s="439" t="s">
        <v>34</v>
      </c>
      <c r="Z6" s="406"/>
      <c r="AA6" s="407"/>
      <c r="AB6" s="439" t="s">
        <v>35</v>
      </c>
      <c r="AC6" s="406"/>
      <c r="AD6" s="407"/>
      <c r="AE6" s="439" t="s">
        <v>36</v>
      </c>
      <c r="AF6" s="406"/>
      <c r="AG6" s="407"/>
      <c r="AH6" s="439" t="s">
        <v>37</v>
      </c>
      <c r="AI6" s="406"/>
      <c r="AJ6" s="407"/>
      <c r="AK6" s="439" t="s">
        <v>38</v>
      </c>
      <c r="AL6" s="406"/>
      <c r="AM6" s="444"/>
      <c r="AN6" s="440" t="s">
        <v>40</v>
      </c>
      <c r="AO6" s="177"/>
      <c r="AP6" s="177"/>
      <c r="AQ6" s="177"/>
      <c r="AR6" s="177"/>
      <c r="AS6" s="177"/>
      <c r="AT6" s="177"/>
      <c r="AU6" s="441" t="s">
        <v>41</v>
      </c>
      <c r="AV6" s="440" t="s">
        <v>42</v>
      </c>
      <c r="AW6" s="178"/>
      <c r="AX6" s="442" t="s">
        <v>43</v>
      </c>
      <c r="AY6" s="443" t="s">
        <v>44</v>
      </c>
      <c r="AZ6" s="443" t="s">
        <v>45</v>
      </c>
      <c r="BA6" s="443" t="s">
        <v>46</v>
      </c>
      <c r="BB6" s="443" t="s">
        <v>47</v>
      </c>
      <c r="BC6" s="443" t="s">
        <v>48</v>
      </c>
      <c r="BD6" s="443" t="s">
        <v>49</v>
      </c>
      <c r="BE6" s="443" t="s">
        <v>50</v>
      </c>
      <c r="BF6" s="426" t="s">
        <v>51</v>
      </c>
      <c r="BG6" s="426" t="s">
        <v>52</v>
      </c>
      <c r="BH6" s="427" t="s">
        <v>53</v>
      </c>
      <c r="BI6" s="427" t="s">
        <v>54</v>
      </c>
      <c r="BJ6" s="425" t="s">
        <v>55</v>
      </c>
      <c r="BK6" s="425" t="s">
        <v>56</v>
      </c>
      <c r="BL6" s="425" t="s">
        <v>57</v>
      </c>
      <c r="BM6" s="425" t="s">
        <v>58</v>
      </c>
      <c r="BN6" s="425" t="s">
        <v>59</v>
      </c>
      <c r="BO6" s="425" t="s">
        <v>60</v>
      </c>
      <c r="BP6" s="425" t="s">
        <v>62</v>
      </c>
      <c r="BQ6" s="425" t="s">
        <v>63</v>
      </c>
      <c r="BR6" s="425" t="s">
        <v>64</v>
      </c>
      <c r="BS6" s="429" t="s">
        <v>65</v>
      </c>
      <c r="BT6" s="430" t="s">
        <v>8</v>
      </c>
      <c r="BU6" s="430" t="s">
        <v>66</v>
      </c>
      <c r="BV6" s="431" t="s">
        <v>67</v>
      </c>
      <c r="BW6" s="406"/>
      <c r="BX6" s="406"/>
      <c r="BY6" s="406"/>
      <c r="BZ6" s="406"/>
      <c r="CA6" s="406"/>
      <c r="CB6" s="406"/>
      <c r="CC6" s="406"/>
      <c r="CD6" s="406"/>
      <c r="CE6" s="406"/>
      <c r="CF6" s="406"/>
      <c r="CG6" s="407"/>
      <c r="CH6" s="428" t="s">
        <v>113</v>
      </c>
      <c r="CI6" s="428" t="s">
        <v>114</v>
      </c>
      <c r="CJ6" s="179"/>
      <c r="CK6" s="141"/>
    </row>
    <row r="7" spans="1:89" x14ac:dyDescent="0.35">
      <c r="A7" s="378"/>
      <c r="B7" s="378"/>
      <c r="C7" s="378"/>
      <c r="D7" s="378"/>
      <c r="E7" s="180" t="s">
        <v>69</v>
      </c>
      <c r="F7" s="181" t="s">
        <v>70</v>
      </c>
      <c r="G7" s="182" t="s">
        <v>71</v>
      </c>
      <c r="H7" s="183" t="s">
        <v>72</v>
      </c>
      <c r="I7" s="184" t="s">
        <v>70</v>
      </c>
      <c r="J7" s="185" t="s">
        <v>71</v>
      </c>
      <c r="K7" s="186" t="s">
        <v>73</v>
      </c>
      <c r="L7" s="181" t="s">
        <v>70</v>
      </c>
      <c r="M7" s="187" t="s">
        <v>71</v>
      </c>
      <c r="N7" s="180" t="s">
        <v>74</v>
      </c>
      <c r="O7" s="181" t="s">
        <v>70</v>
      </c>
      <c r="P7" s="187" t="s">
        <v>71</v>
      </c>
      <c r="Q7" s="180" t="s">
        <v>31</v>
      </c>
      <c r="R7" s="181" t="s">
        <v>70</v>
      </c>
      <c r="S7" s="187" t="s">
        <v>71</v>
      </c>
      <c r="T7" s="180" t="s">
        <v>75</v>
      </c>
      <c r="U7" s="187" t="s">
        <v>71</v>
      </c>
      <c r="V7" s="180" t="s">
        <v>76</v>
      </c>
      <c r="W7" s="181" t="s">
        <v>70</v>
      </c>
      <c r="X7" s="187" t="s">
        <v>71</v>
      </c>
      <c r="Y7" s="180" t="s">
        <v>77</v>
      </c>
      <c r="Z7" s="181" t="s">
        <v>70</v>
      </c>
      <c r="AA7" s="187" t="s">
        <v>71</v>
      </c>
      <c r="AB7" s="180" t="s">
        <v>79</v>
      </c>
      <c r="AC7" s="181" t="s">
        <v>70</v>
      </c>
      <c r="AD7" s="187" t="s">
        <v>71</v>
      </c>
      <c r="AE7" s="188" t="s">
        <v>80</v>
      </c>
      <c r="AF7" s="181" t="s">
        <v>70</v>
      </c>
      <c r="AG7" s="187" t="s">
        <v>71</v>
      </c>
      <c r="AH7" s="180" t="s">
        <v>82</v>
      </c>
      <c r="AI7" s="181" t="s">
        <v>70</v>
      </c>
      <c r="AJ7" s="187" t="s">
        <v>71</v>
      </c>
      <c r="AK7" s="180" t="s">
        <v>83</v>
      </c>
      <c r="AL7" s="181" t="s">
        <v>70</v>
      </c>
      <c r="AM7" s="182" t="s">
        <v>71</v>
      </c>
      <c r="AN7" s="378"/>
      <c r="AO7" s="183" t="s">
        <v>84</v>
      </c>
      <c r="AP7" s="184" t="s">
        <v>85</v>
      </c>
      <c r="AQ7" s="185" t="s">
        <v>86</v>
      </c>
      <c r="AR7" s="183" t="s">
        <v>87</v>
      </c>
      <c r="AS7" s="184" t="s">
        <v>88</v>
      </c>
      <c r="AT7" s="185" t="s">
        <v>86</v>
      </c>
      <c r="AU7" s="378"/>
      <c r="AV7" s="378"/>
      <c r="AW7" s="189" t="s">
        <v>89</v>
      </c>
      <c r="AX7" s="420"/>
      <c r="AY7" s="378"/>
      <c r="AZ7" s="378"/>
      <c r="BA7" s="378"/>
      <c r="BB7" s="378"/>
      <c r="BC7" s="378"/>
      <c r="BD7" s="378"/>
      <c r="BE7" s="378"/>
      <c r="BF7" s="378"/>
      <c r="BG7" s="378"/>
      <c r="BH7" s="378"/>
      <c r="BI7" s="378"/>
      <c r="BJ7" s="378"/>
      <c r="BK7" s="378"/>
      <c r="BL7" s="378"/>
      <c r="BM7" s="378"/>
      <c r="BN7" s="378"/>
      <c r="BO7" s="378"/>
      <c r="BP7" s="378"/>
      <c r="BQ7" s="378"/>
      <c r="BR7" s="378"/>
      <c r="BS7" s="378"/>
      <c r="BT7" s="378"/>
      <c r="BU7" s="378"/>
      <c r="BV7" s="190" t="s">
        <v>90</v>
      </c>
      <c r="BW7" s="190" t="s">
        <v>91</v>
      </c>
      <c r="BX7" s="190" t="s">
        <v>92</v>
      </c>
      <c r="BY7" s="190" t="s">
        <v>93</v>
      </c>
      <c r="BZ7" s="190" t="s">
        <v>55</v>
      </c>
      <c r="CA7" s="191" t="s">
        <v>57</v>
      </c>
      <c r="CB7" s="190" t="s">
        <v>59</v>
      </c>
      <c r="CC7" s="192" t="s">
        <v>90</v>
      </c>
      <c r="CD7" s="192" t="s">
        <v>91</v>
      </c>
      <c r="CE7" s="192" t="s">
        <v>92</v>
      </c>
      <c r="CF7" s="192" t="s">
        <v>93</v>
      </c>
      <c r="CG7" s="192" t="s">
        <v>55</v>
      </c>
      <c r="CH7" s="378"/>
      <c r="CI7" s="378"/>
      <c r="CJ7" s="179"/>
      <c r="CK7" s="141"/>
    </row>
    <row r="8" spans="1:89" x14ac:dyDescent="0.35">
      <c r="A8" s="193">
        <f>A18+1</f>
        <v>7</v>
      </c>
      <c r="B8" s="194">
        <v>9</v>
      </c>
      <c r="C8" s="195" t="s">
        <v>98</v>
      </c>
      <c r="D8" s="196"/>
      <c r="E8" s="197"/>
      <c r="F8" s="198">
        <v>40</v>
      </c>
      <c r="G8" s="171">
        <f t="shared" ref="G8:G22" si="0">SUM(E8*F8)</f>
        <v>0</v>
      </c>
      <c r="H8" s="199">
        <v>23508</v>
      </c>
      <c r="I8" s="200">
        <v>50</v>
      </c>
      <c r="J8" s="171">
        <f t="shared" ref="J8:J22" si="1">I8*H8</f>
        <v>1175400</v>
      </c>
      <c r="K8" s="197"/>
      <c r="L8" s="198">
        <v>60</v>
      </c>
      <c r="M8" s="171">
        <f t="shared" ref="M8:M22" si="2">L8*K8</f>
        <v>0</v>
      </c>
      <c r="N8" s="199">
        <v>21871</v>
      </c>
      <c r="O8" s="198">
        <v>15</v>
      </c>
      <c r="P8" s="171">
        <f t="shared" ref="P8:P22" si="3">N8*O8</f>
        <v>328065</v>
      </c>
      <c r="Q8" s="197"/>
      <c r="R8" s="201">
        <v>12</v>
      </c>
      <c r="S8" s="171">
        <f t="shared" ref="S8:S22" si="4">Q8*R8</f>
        <v>0</v>
      </c>
      <c r="T8" s="199">
        <v>3520</v>
      </c>
      <c r="U8" s="171">
        <f t="shared" ref="U8:U22" si="5">T8*8</f>
        <v>28160</v>
      </c>
      <c r="V8" s="199">
        <v>882</v>
      </c>
      <c r="W8" s="198">
        <v>12</v>
      </c>
      <c r="X8" s="171">
        <f t="shared" ref="X8:X22" si="6">V8*W8</f>
        <v>10584</v>
      </c>
      <c r="Y8" s="199">
        <v>2840</v>
      </c>
      <c r="Z8" s="198">
        <v>10</v>
      </c>
      <c r="AA8" s="171">
        <f t="shared" ref="AA8:AA22" si="7">Y8*Z8</f>
        <v>28400</v>
      </c>
      <c r="AB8" s="199">
        <v>1670</v>
      </c>
      <c r="AC8" s="198">
        <v>25</v>
      </c>
      <c r="AD8" s="171">
        <f t="shared" ref="AD8:AD22" si="8">AB8*AC8</f>
        <v>41750</v>
      </c>
      <c r="AE8" s="197"/>
      <c r="AF8" s="198">
        <v>7.5</v>
      </c>
      <c r="AG8" s="171">
        <f t="shared" ref="AG8:AG22" si="9">AE8*AF8</f>
        <v>0</v>
      </c>
      <c r="AH8" s="197"/>
      <c r="AI8" s="200">
        <v>15</v>
      </c>
      <c r="AJ8" s="171">
        <f t="shared" ref="AJ8:AJ22" si="10">AH8*AI8</f>
        <v>0</v>
      </c>
      <c r="AK8" s="199">
        <v>814</v>
      </c>
      <c r="AL8" s="198">
        <v>10</v>
      </c>
      <c r="AM8" s="171">
        <f t="shared" ref="AM8:AM22" si="11">AK8*AL8</f>
        <v>8140</v>
      </c>
      <c r="AN8" s="199">
        <f t="shared" ref="AN8:AN22" si="12">Q8+T8+V8+Y8+AB8+AE8+AK8</f>
        <v>9726</v>
      </c>
      <c r="AO8" s="197"/>
      <c r="AP8" s="203"/>
      <c r="AQ8" s="197"/>
      <c r="AR8" s="197"/>
      <c r="AS8" s="203"/>
      <c r="AT8" s="197"/>
      <c r="AU8" s="197"/>
      <c r="AV8" s="199">
        <f>919+4198+878+1108+420+522+226</f>
        <v>8271</v>
      </c>
      <c r="AW8" s="197"/>
      <c r="AX8" s="205">
        <f t="shared" ref="AX8:AX22" si="13">N8/(H8+E8+K8)</f>
        <v>0.93036413135953722</v>
      </c>
      <c r="AY8" s="205">
        <f t="shared" ref="AY8:AY22" si="14">AN8/(H8+E8+K8)</f>
        <v>0.41373149566105155</v>
      </c>
      <c r="AZ8" s="204">
        <f t="shared" ref="AZ8:AZ22" si="15">AV8/N8</f>
        <v>0.37817200859585753</v>
      </c>
      <c r="BA8" s="171">
        <f t="shared" ref="BA8:BA22" si="16">G8+U8+X8+AA8+AD8+S8+J8+M8</f>
        <v>1284294</v>
      </c>
      <c r="BB8" s="171">
        <f t="shared" ref="BB8:BB22" si="17">G8+AD8+S8+J8+M8</f>
        <v>1217150</v>
      </c>
      <c r="BC8" s="171">
        <f t="shared" ref="BC8:BC22" si="18">G8+U8+X8+AA8+AD8+S8+J8+M8</f>
        <v>1284294</v>
      </c>
      <c r="BD8" s="171">
        <f t="shared" ref="BD8:BD22" si="19">G8+U8+X8+AA8+AD8+AG8+S8+J8+M8</f>
        <v>1284294</v>
      </c>
      <c r="BE8" s="206">
        <v>1814929</v>
      </c>
      <c r="BF8" s="207">
        <v>1194683.1100000001</v>
      </c>
      <c r="BG8" s="208">
        <f t="shared" ref="BG8:BG22" si="20">+BF8/BE8%</f>
        <v>65.825335867133091</v>
      </c>
      <c r="BH8" s="209"/>
      <c r="BI8" s="210">
        <f t="shared" ref="BI8:BI22" si="21">SUM(CC8+CD8+CE8+CF8)</f>
        <v>5.324505807114218E-2</v>
      </c>
      <c r="BJ8" s="211">
        <f>98250+1150</f>
        <v>99400</v>
      </c>
      <c r="BK8" s="208">
        <f t="shared" ref="BK8:BK22" si="22">+BR8/BJ8</f>
        <v>3.6202170020120725</v>
      </c>
      <c r="BL8" s="203"/>
      <c r="BM8" s="208" t="e">
        <f t="shared" ref="BM8:BM22" si="23">+BR8/BL8</f>
        <v>#DIV/0!</v>
      </c>
      <c r="BN8" s="203"/>
      <c r="BO8" s="208" t="e">
        <f t="shared" ref="BO8:BO22" si="24">+BR8/BN8</f>
        <v>#DIV/0!</v>
      </c>
      <c r="BP8" s="203"/>
      <c r="BQ8" s="208" t="e">
        <f t="shared" ref="BQ8:BQ22" si="25">+BR8/BP8</f>
        <v>#DIV/0!</v>
      </c>
      <c r="BR8" s="212">
        <v>359849.57</v>
      </c>
      <c r="BS8" s="213">
        <f t="shared" ref="BS8:BS22" si="26">+BR8/BE8%</f>
        <v>19.827198198937808</v>
      </c>
      <c r="BT8" s="214">
        <f t="shared" ref="BT8:BT22" si="27">SUM(BE8-BF8-BR8)</f>
        <v>260396.31999999989</v>
      </c>
      <c r="BU8" s="215">
        <f t="shared" ref="BU8:BU22" si="28">+BT8/BE8%</f>
        <v>14.347465933929088</v>
      </c>
      <c r="BV8" s="171">
        <v>29344</v>
      </c>
      <c r="BW8" s="171">
        <v>22274</v>
      </c>
      <c r="BX8" s="171">
        <v>35724</v>
      </c>
      <c r="BY8" s="171">
        <f>7020+2274</f>
        <v>9294</v>
      </c>
      <c r="BZ8" s="203"/>
      <c r="CA8" s="203"/>
      <c r="CB8" s="171">
        <v>69457.5</v>
      </c>
      <c r="CC8" s="216">
        <f t="shared" ref="CC8:CC22" si="29">BV8/BE8</f>
        <v>1.6168125585077985E-2</v>
      </c>
      <c r="CD8" s="216">
        <f t="shared" ref="CD8:CD22" si="30">BW8/BE8</f>
        <v>1.2272656395925129E-2</v>
      </c>
      <c r="CE8" s="216">
        <f t="shared" ref="CE8:CE22" si="31">BX8/BE8</f>
        <v>1.9683414612913234E-2</v>
      </c>
      <c r="CF8" s="216">
        <f t="shared" ref="CF8:CF22" si="32">BY8/BE8</f>
        <v>5.1208614772258309E-3</v>
      </c>
      <c r="CG8" s="216">
        <f t="shared" ref="CG8:CG22" si="33">BZ8/BE8</f>
        <v>0</v>
      </c>
      <c r="CH8" s="217">
        <f>+BT8*20%</f>
        <v>52079.263999999981</v>
      </c>
      <c r="CI8" s="217">
        <f t="shared" ref="CI8:CI22" si="34">BT8*90%</f>
        <v>234356.68799999991</v>
      </c>
      <c r="CJ8" s="218"/>
      <c r="CK8" s="141"/>
    </row>
    <row r="9" spans="1:89" x14ac:dyDescent="0.35">
      <c r="A9" s="193">
        <f>A8+1</f>
        <v>8</v>
      </c>
      <c r="B9" s="194">
        <v>8</v>
      </c>
      <c r="C9" s="195" t="s">
        <v>104</v>
      </c>
      <c r="D9" s="196"/>
      <c r="E9" s="197"/>
      <c r="F9" s="198">
        <v>40</v>
      </c>
      <c r="G9" s="171">
        <f t="shared" si="0"/>
        <v>0</v>
      </c>
      <c r="H9" s="199">
        <v>23589</v>
      </c>
      <c r="I9" s="200">
        <v>50</v>
      </c>
      <c r="J9" s="171">
        <f t="shared" si="1"/>
        <v>1179450</v>
      </c>
      <c r="K9" s="197"/>
      <c r="L9" s="198">
        <v>60</v>
      </c>
      <c r="M9" s="171">
        <f t="shared" si="2"/>
        <v>0</v>
      </c>
      <c r="N9" s="199">
        <v>21414</v>
      </c>
      <c r="O9" s="198">
        <v>15</v>
      </c>
      <c r="P9" s="171">
        <f t="shared" si="3"/>
        <v>321210</v>
      </c>
      <c r="Q9" s="197"/>
      <c r="R9" s="201">
        <v>12</v>
      </c>
      <c r="S9" s="171">
        <f t="shared" si="4"/>
        <v>0</v>
      </c>
      <c r="T9" s="199">
        <v>3098</v>
      </c>
      <c r="U9" s="171">
        <f t="shared" si="5"/>
        <v>24784</v>
      </c>
      <c r="V9" s="199">
        <v>1230</v>
      </c>
      <c r="W9" s="198">
        <v>12</v>
      </c>
      <c r="X9" s="171">
        <f t="shared" si="6"/>
        <v>14760</v>
      </c>
      <c r="Y9" s="199">
        <v>3211</v>
      </c>
      <c r="Z9" s="198">
        <v>10</v>
      </c>
      <c r="AA9" s="171">
        <f t="shared" si="7"/>
        <v>32110</v>
      </c>
      <c r="AB9" s="199">
        <v>610</v>
      </c>
      <c r="AC9" s="198">
        <v>25</v>
      </c>
      <c r="AD9" s="171">
        <f t="shared" si="8"/>
        <v>15250</v>
      </c>
      <c r="AE9" s="197"/>
      <c r="AF9" s="198">
        <v>7.5</v>
      </c>
      <c r="AG9" s="171">
        <f t="shared" si="9"/>
        <v>0</v>
      </c>
      <c r="AH9" s="197"/>
      <c r="AI9" s="200">
        <v>15</v>
      </c>
      <c r="AJ9" s="171">
        <f t="shared" si="10"/>
        <v>0</v>
      </c>
      <c r="AK9" s="199">
        <v>890</v>
      </c>
      <c r="AL9" s="198">
        <v>10</v>
      </c>
      <c r="AM9" s="171">
        <f t="shared" si="11"/>
        <v>8900</v>
      </c>
      <c r="AN9" s="199">
        <f t="shared" si="12"/>
        <v>9039</v>
      </c>
      <c r="AO9" s="197"/>
      <c r="AP9" s="203"/>
      <c r="AQ9" s="197"/>
      <c r="AR9" s="197"/>
      <c r="AS9" s="203"/>
      <c r="AT9" s="197"/>
      <c r="AU9" s="197"/>
      <c r="AV9" s="199">
        <f>626+2781+762+926+60+367+172</f>
        <v>5694</v>
      </c>
      <c r="AW9" s="197"/>
      <c r="AX9" s="205">
        <f t="shared" si="13"/>
        <v>0.90779600661325199</v>
      </c>
      <c r="AY9" s="205">
        <f t="shared" si="14"/>
        <v>0.38318707872313368</v>
      </c>
      <c r="AZ9" s="204">
        <f t="shared" si="15"/>
        <v>0.26590081255253573</v>
      </c>
      <c r="BA9" s="171">
        <f t="shared" si="16"/>
        <v>1266354</v>
      </c>
      <c r="BB9" s="171">
        <f t="shared" si="17"/>
        <v>1194700</v>
      </c>
      <c r="BC9" s="171">
        <f t="shared" si="18"/>
        <v>1266354</v>
      </c>
      <c r="BD9" s="171">
        <f t="shared" si="19"/>
        <v>1266354</v>
      </c>
      <c r="BE9" s="206">
        <v>1731394</v>
      </c>
      <c r="BF9" s="207">
        <v>1146776.96</v>
      </c>
      <c r="BG9" s="208">
        <f t="shared" si="20"/>
        <v>66.234315239627719</v>
      </c>
      <c r="BH9" s="209"/>
      <c r="BI9" s="210">
        <f t="shared" si="21"/>
        <v>5.9071043332713402E-2</v>
      </c>
      <c r="BJ9" s="211">
        <f>97050</f>
        <v>97050</v>
      </c>
      <c r="BK9" s="208">
        <f t="shared" si="22"/>
        <v>3.2274021638330757</v>
      </c>
      <c r="BL9" s="203"/>
      <c r="BM9" s="208" t="e">
        <f t="shared" si="23"/>
        <v>#DIV/0!</v>
      </c>
      <c r="BN9" s="203"/>
      <c r="BO9" s="208" t="e">
        <f t="shared" si="24"/>
        <v>#DIV/0!</v>
      </c>
      <c r="BP9" s="203"/>
      <c r="BQ9" s="208" t="e">
        <f t="shared" si="25"/>
        <v>#DIV/0!</v>
      </c>
      <c r="BR9" s="212">
        <v>313219.38</v>
      </c>
      <c r="BS9" s="213">
        <f t="shared" si="26"/>
        <v>18.090589432561281</v>
      </c>
      <c r="BT9" s="214">
        <f t="shared" si="27"/>
        <v>271397.66000000003</v>
      </c>
      <c r="BU9" s="215">
        <f t="shared" si="28"/>
        <v>15.675095327811004</v>
      </c>
      <c r="BV9" s="171">
        <v>29512</v>
      </c>
      <c r="BW9" s="171">
        <v>28638</v>
      </c>
      <c r="BX9" s="171">
        <v>35724</v>
      </c>
      <c r="BY9" s="171">
        <f>7290+1111.25</f>
        <v>8401.25</v>
      </c>
      <c r="BZ9" s="203"/>
      <c r="CA9" s="203"/>
      <c r="CB9" s="171">
        <v>35280</v>
      </c>
      <c r="CC9" s="216">
        <f t="shared" si="29"/>
        <v>1.7045224830396777E-2</v>
      </c>
      <c r="CD9" s="216">
        <f t="shared" si="30"/>
        <v>1.6540429272597686E-2</v>
      </c>
      <c r="CE9" s="216">
        <f t="shared" si="31"/>
        <v>2.0633085248071784E-2</v>
      </c>
      <c r="CF9" s="216">
        <f t="shared" si="32"/>
        <v>4.8523039816471582E-3</v>
      </c>
      <c r="CG9" s="216">
        <f t="shared" si="33"/>
        <v>0</v>
      </c>
      <c r="CH9" s="217">
        <f t="shared" ref="CH9:CH22" si="35">+BT9*10%</f>
        <v>27139.766000000003</v>
      </c>
      <c r="CI9" s="217">
        <f t="shared" si="34"/>
        <v>244257.89400000003</v>
      </c>
      <c r="CJ9" s="218"/>
      <c r="CK9" s="141"/>
    </row>
    <row r="10" spans="1:89" x14ac:dyDescent="0.35">
      <c r="A10" s="193">
        <f>A21+1</f>
        <v>12</v>
      </c>
      <c r="B10" s="219">
        <v>6</v>
      </c>
      <c r="C10" s="195" t="s">
        <v>115</v>
      </c>
      <c r="D10" s="196"/>
      <c r="E10" s="197"/>
      <c r="F10" s="198">
        <v>40</v>
      </c>
      <c r="G10" s="171">
        <f t="shared" si="0"/>
        <v>0</v>
      </c>
      <c r="H10" s="199">
        <v>15563</v>
      </c>
      <c r="I10" s="200">
        <v>50</v>
      </c>
      <c r="J10" s="171">
        <f t="shared" si="1"/>
        <v>778150</v>
      </c>
      <c r="K10" s="197"/>
      <c r="L10" s="198">
        <v>60</v>
      </c>
      <c r="M10" s="171">
        <f t="shared" si="2"/>
        <v>0</v>
      </c>
      <c r="N10" s="199">
        <v>5506</v>
      </c>
      <c r="O10" s="198">
        <v>15</v>
      </c>
      <c r="P10" s="171">
        <f t="shared" si="3"/>
        <v>82590</v>
      </c>
      <c r="Q10" s="199">
        <v>1781</v>
      </c>
      <c r="R10" s="201">
        <v>12</v>
      </c>
      <c r="S10" s="171">
        <f t="shared" si="4"/>
        <v>21372</v>
      </c>
      <c r="T10" s="199">
        <v>737</v>
      </c>
      <c r="U10" s="171">
        <f t="shared" si="5"/>
        <v>5896</v>
      </c>
      <c r="V10" s="199">
        <v>264</v>
      </c>
      <c r="W10" s="198">
        <v>12</v>
      </c>
      <c r="X10" s="171">
        <f t="shared" si="6"/>
        <v>3168</v>
      </c>
      <c r="Y10" s="199">
        <v>991</v>
      </c>
      <c r="Z10" s="198">
        <v>10</v>
      </c>
      <c r="AA10" s="171">
        <f t="shared" si="7"/>
        <v>9910</v>
      </c>
      <c r="AB10" s="199">
        <v>383</v>
      </c>
      <c r="AC10" s="198">
        <v>25</v>
      </c>
      <c r="AD10" s="171">
        <f t="shared" si="8"/>
        <v>9575</v>
      </c>
      <c r="AE10" s="197"/>
      <c r="AF10" s="198">
        <v>7.5</v>
      </c>
      <c r="AG10" s="171">
        <f t="shared" si="9"/>
        <v>0</v>
      </c>
      <c r="AH10" s="197"/>
      <c r="AI10" s="200">
        <v>15</v>
      </c>
      <c r="AJ10" s="171">
        <f t="shared" si="10"/>
        <v>0</v>
      </c>
      <c r="AK10" s="199">
        <v>192</v>
      </c>
      <c r="AL10" s="198">
        <v>10</v>
      </c>
      <c r="AM10" s="171">
        <f t="shared" si="11"/>
        <v>1920</v>
      </c>
      <c r="AN10" s="199">
        <f t="shared" si="12"/>
        <v>4348</v>
      </c>
      <c r="AO10" s="197"/>
      <c r="AP10" s="203"/>
      <c r="AQ10" s="197"/>
      <c r="AR10" s="197"/>
      <c r="AS10" s="203"/>
      <c r="AT10" s="197"/>
      <c r="AU10" s="197"/>
      <c r="AV10" s="199">
        <f>953+141+705+138</f>
        <v>1937</v>
      </c>
      <c r="AW10" s="197"/>
      <c r="AX10" s="204">
        <f t="shared" si="13"/>
        <v>0.35378783010987597</v>
      </c>
      <c r="AY10" s="205">
        <f t="shared" si="14"/>
        <v>0.27938058214997108</v>
      </c>
      <c r="AZ10" s="204">
        <f t="shared" si="15"/>
        <v>0.35179803850345076</v>
      </c>
      <c r="BA10" s="171">
        <f t="shared" si="16"/>
        <v>828071</v>
      </c>
      <c r="BB10" s="171">
        <f t="shared" si="17"/>
        <v>809097</v>
      </c>
      <c r="BC10" s="171">
        <f t="shared" si="18"/>
        <v>828071</v>
      </c>
      <c r="BD10" s="171">
        <f t="shared" si="19"/>
        <v>828071</v>
      </c>
      <c r="BE10" s="206">
        <v>955536</v>
      </c>
      <c r="BF10" s="207">
        <v>627839.93999999994</v>
      </c>
      <c r="BG10" s="208">
        <f t="shared" si="20"/>
        <v>65.705524438639671</v>
      </c>
      <c r="BH10" s="209"/>
      <c r="BI10" s="210">
        <f t="shared" si="21"/>
        <v>7.9365926558497016E-2</v>
      </c>
      <c r="BJ10" s="211">
        <f>69100+1200</f>
        <v>70300</v>
      </c>
      <c r="BK10" s="208">
        <f t="shared" si="22"/>
        <v>2.9621004267425319</v>
      </c>
      <c r="BL10" s="211">
        <v>62.5</v>
      </c>
      <c r="BM10" s="208">
        <f t="shared" si="23"/>
        <v>3331.7705599999999</v>
      </c>
      <c r="BN10" s="203"/>
      <c r="BO10" s="208" t="e">
        <f t="shared" si="24"/>
        <v>#DIV/0!</v>
      </c>
      <c r="BP10" s="203"/>
      <c r="BQ10" s="208" t="e">
        <f t="shared" si="25"/>
        <v>#DIV/0!</v>
      </c>
      <c r="BR10" s="212">
        <v>208235.66</v>
      </c>
      <c r="BS10" s="213">
        <f t="shared" si="26"/>
        <v>21.792549940556921</v>
      </c>
      <c r="BT10" s="214">
        <f t="shared" si="27"/>
        <v>119460.40000000005</v>
      </c>
      <c r="BU10" s="215">
        <f t="shared" si="28"/>
        <v>12.501925620803407</v>
      </c>
      <c r="BV10" s="171">
        <v>25284</v>
      </c>
      <c r="BW10" s="171">
        <v>20683</v>
      </c>
      <c r="BX10" s="171">
        <v>23358</v>
      </c>
      <c r="BY10" s="171">
        <f>4590+1922</f>
        <v>6512</v>
      </c>
      <c r="BZ10" s="203"/>
      <c r="CA10" s="203"/>
      <c r="CB10" s="171">
        <v>10000</v>
      </c>
      <c r="CC10" s="216">
        <f t="shared" si="29"/>
        <v>2.6460541518058975E-2</v>
      </c>
      <c r="CD10" s="216">
        <f t="shared" si="30"/>
        <v>2.1645442976507428E-2</v>
      </c>
      <c r="CE10" s="216">
        <f t="shared" si="31"/>
        <v>2.4444918872758327E-2</v>
      </c>
      <c r="CF10" s="216">
        <f t="shared" si="32"/>
        <v>6.8150231911722845E-3</v>
      </c>
      <c r="CG10" s="216">
        <f t="shared" si="33"/>
        <v>0</v>
      </c>
      <c r="CH10" s="217">
        <f t="shared" si="35"/>
        <v>11946.040000000006</v>
      </c>
      <c r="CI10" s="217">
        <f t="shared" si="34"/>
        <v>107514.36000000004</v>
      </c>
      <c r="CJ10" s="218"/>
      <c r="CK10" s="141"/>
    </row>
    <row r="11" spans="1:89" x14ac:dyDescent="0.35">
      <c r="A11" s="193">
        <f>A17+1</f>
        <v>4</v>
      </c>
      <c r="B11" s="194">
        <v>5</v>
      </c>
      <c r="C11" s="195" t="s">
        <v>118</v>
      </c>
      <c r="D11" s="196"/>
      <c r="E11" s="197"/>
      <c r="F11" s="198">
        <v>40</v>
      </c>
      <c r="G11" s="171">
        <f t="shared" si="0"/>
        <v>0</v>
      </c>
      <c r="H11" s="199">
        <v>13082</v>
      </c>
      <c r="I11" s="200">
        <v>50</v>
      </c>
      <c r="J11" s="171">
        <f t="shared" si="1"/>
        <v>654100</v>
      </c>
      <c r="K11" s="197"/>
      <c r="L11" s="198">
        <v>60</v>
      </c>
      <c r="M11" s="171">
        <f t="shared" si="2"/>
        <v>0</v>
      </c>
      <c r="N11" s="199">
        <v>9511</v>
      </c>
      <c r="O11" s="198">
        <v>15</v>
      </c>
      <c r="P11" s="171">
        <f t="shared" si="3"/>
        <v>142665</v>
      </c>
      <c r="Q11" s="197"/>
      <c r="R11" s="201">
        <v>12</v>
      </c>
      <c r="S11" s="171">
        <f t="shared" si="4"/>
        <v>0</v>
      </c>
      <c r="T11" s="199">
        <v>1290</v>
      </c>
      <c r="U11" s="171">
        <f t="shared" si="5"/>
        <v>10320</v>
      </c>
      <c r="V11" s="199">
        <v>644</v>
      </c>
      <c r="W11" s="198">
        <v>12</v>
      </c>
      <c r="X11" s="171">
        <f t="shared" si="6"/>
        <v>7728</v>
      </c>
      <c r="Y11" s="199">
        <v>1233</v>
      </c>
      <c r="Z11" s="198">
        <v>10</v>
      </c>
      <c r="AA11" s="171">
        <f t="shared" si="7"/>
        <v>12330</v>
      </c>
      <c r="AB11" s="199">
        <v>317</v>
      </c>
      <c r="AC11" s="198">
        <v>25</v>
      </c>
      <c r="AD11" s="171">
        <f t="shared" si="8"/>
        <v>7925</v>
      </c>
      <c r="AE11" s="197"/>
      <c r="AF11" s="198">
        <v>7.5</v>
      </c>
      <c r="AG11" s="171">
        <f t="shared" si="9"/>
        <v>0</v>
      </c>
      <c r="AH11" s="197"/>
      <c r="AI11" s="200">
        <v>15</v>
      </c>
      <c r="AJ11" s="171">
        <f t="shared" si="10"/>
        <v>0</v>
      </c>
      <c r="AK11" s="199">
        <v>566</v>
      </c>
      <c r="AL11" s="198">
        <v>10</v>
      </c>
      <c r="AM11" s="171">
        <f t="shared" si="11"/>
        <v>5660</v>
      </c>
      <c r="AN11" s="199">
        <f t="shared" si="12"/>
        <v>4050</v>
      </c>
      <c r="AO11" s="197"/>
      <c r="AP11" s="203"/>
      <c r="AQ11" s="197"/>
      <c r="AR11" s="197"/>
      <c r="AS11" s="203"/>
      <c r="AT11" s="197"/>
      <c r="AU11" s="197"/>
      <c r="AV11" s="199">
        <f>2206+55</f>
        <v>2261</v>
      </c>
      <c r="AW11" s="197"/>
      <c r="AX11" s="205">
        <f t="shared" si="13"/>
        <v>0.7270295061917138</v>
      </c>
      <c r="AY11" s="205">
        <f t="shared" si="14"/>
        <v>0.3095856902614279</v>
      </c>
      <c r="AZ11" s="204">
        <f t="shared" si="15"/>
        <v>0.23772473977499736</v>
      </c>
      <c r="BA11" s="171">
        <f t="shared" si="16"/>
        <v>692403</v>
      </c>
      <c r="BB11" s="171">
        <f t="shared" si="17"/>
        <v>662025</v>
      </c>
      <c r="BC11" s="171">
        <f t="shared" si="18"/>
        <v>692403</v>
      </c>
      <c r="BD11" s="171">
        <f t="shared" si="19"/>
        <v>692403</v>
      </c>
      <c r="BE11" s="206">
        <v>894608</v>
      </c>
      <c r="BF11" s="207">
        <v>597642.63</v>
      </c>
      <c r="BG11" s="208">
        <f t="shared" si="20"/>
        <v>66.804972680771911</v>
      </c>
      <c r="BH11" s="209"/>
      <c r="BI11" s="210">
        <f t="shared" si="21"/>
        <v>6.1653819326453599E-2</v>
      </c>
      <c r="BJ11" s="211">
        <f>59050+1200</f>
        <v>60250</v>
      </c>
      <c r="BK11" s="208">
        <f t="shared" si="22"/>
        <v>3.1661551867219919</v>
      </c>
      <c r="BL11" s="211">
        <v>500</v>
      </c>
      <c r="BM11" s="208">
        <f t="shared" si="23"/>
        <v>381.52170000000001</v>
      </c>
      <c r="BN11" s="203"/>
      <c r="BO11" s="208" t="e">
        <f t="shared" si="24"/>
        <v>#DIV/0!</v>
      </c>
      <c r="BP11" s="203"/>
      <c r="BQ11" s="208" t="e">
        <f t="shared" si="25"/>
        <v>#DIV/0!</v>
      </c>
      <c r="BR11" s="212">
        <v>190760.85</v>
      </c>
      <c r="BS11" s="213">
        <f t="shared" si="26"/>
        <v>21.323400863842043</v>
      </c>
      <c r="BT11" s="214">
        <f t="shared" si="27"/>
        <v>106204.51999999999</v>
      </c>
      <c r="BU11" s="215">
        <f t="shared" si="28"/>
        <v>11.871626455386044</v>
      </c>
      <c r="BV11" s="171">
        <v>21056</v>
      </c>
      <c r="BW11" s="171">
        <v>12728</v>
      </c>
      <c r="BX11" s="171">
        <v>17862</v>
      </c>
      <c r="BY11" s="171">
        <v>3510</v>
      </c>
      <c r="BZ11" s="203"/>
      <c r="CA11" s="203"/>
      <c r="CB11" s="171">
        <v>22050</v>
      </c>
      <c r="CC11" s="216">
        <f t="shared" si="29"/>
        <v>2.3536565736054227E-2</v>
      </c>
      <c r="CD11" s="216">
        <f t="shared" si="30"/>
        <v>1.4227460519020621E-2</v>
      </c>
      <c r="CE11" s="216">
        <f t="shared" si="31"/>
        <v>1.9966286910020926E-2</v>
      </c>
      <c r="CF11" s="216">
        <f t="shared" si="32"/>
        <v>3.923506161357824E-3</v>
      </c>
      <c r="CG11" s="216">
        <f t="shared" si="33"/>
        <v>0</v>
      </c>
      <c r="CH11" s="217">
        <f t="shared" si="35"/>
        <v>10620.451999999999</v>
      </c>
      <c r="CI11" s="217">
        <f t="shared" si="34"/>
        <v>95584.067999999999</v>
      </c>
      <c r="CJ11" s="218"/>
      <c r="CK11" s="141"/>
    </row>
    <row r="12" spans="1:89" x14ac:dyDescent="0.35">
      <c r="A12" s="193">
        <f>A22+1</f>
        <v>10</v>
      </c>
      <c r="B12" s="219">
        <v>5</v>
      </c>
      <c r="C12" s="195" t="s">
        <v>209</v>
      </c>
      <c r="D12" s="196"/>
      <c r="E12" s="197"/>
      <c r="F12" s="198">
        <v>40</v>
      </c>
      <c r="G12" s="171">
        <f t="shared" si="0"/>
        <v>0</v>
      </c>
      <c r="H12" s="199">
        <v>8455</v>
      </c>
      <c r="I12" s="200">
        <v>50</v>
      </c>
      <c r="J12" s="171">
        <f t="shared" si="1"/>
        <v>422750</v>
      </c>
      <c r="K12" s="197"/>
      <c r="L12" s="198">
        <v>60</v>
      </c>
      <c r="M12" s="171">
        <f t="shared" si="2"/>
        <v>0</v>
      </c>
      <c r="N12" s="199">
        <v>7032</v>
      </c>
      <c r="O12" s="198">
        <v>15</v>
      </c>
      <c r="P12" s="171">
        <f t="shared" si="3"/>
        <v>105480</v>
      </c>
      <c r="Q12" s="199">
        <v>6910</v>
      </c>
      <c r="R12" s="201">
        <v>12</v>
      </c>
      <c r="S12" s="171">
        <f t="shared" si="4"/>
        <v>82920</v>
      </c>
      <c r="T12" s="199">
        <v>682</v>
      </c>
      <c r="U12" s="171">
        <f t="shared" si="5"/>
        <v>5456</v>
      </c>
      <c r="V12" s="199">
        <v>308</v>
      </c>
      <c r="W12" s="198">
        <v>12</v>
      </c>
      <c r="X12" s="171">
        <f t="shared" si="6"/>
        <v>3696</v>
      </c>
      <c r="Y12" s="199">
        <v>784</v>
      </c>
      <c r="Z12" s="198">
        <v>10</v>
      </c>
      <c r="AA12" s="171">
        <f t="shared" si="7"/>
        <v>7840</v>
      </c>
      <c r="AB12" s="199">
        <v>274</v>
      </c>
      <c r="AC12" s="198">
        <v>25</v>
      </c>
      <c r="AD12" s="171">
        <f t="shared" si="8"/>
        <v>6850</v>
      </c>
      <c r="AE12" s="197"/>
      <c r="AF12" s="198">
        <v>7.5</v>
      </c>
      <c r="AG12" s="171">
        <f t="shared" si="9"/>
        <v>0</v>
      </c>
      <c r="AH12" s="197"/>
      <c r="AI12" s="200">
        <v>15</v>
      </c>
      <c r="AJ12" s="171">
        <f t="shared" si="10"/>
        <v>0</v>
      </c>
      <c r="AK12" s="199">
        <v>392</v>
      </c>
      <c r="AL12" s="198">
        <v>10</v>
      </c>
      <c r="AM12" s="171">
        <f t="shared" si="11"/>
        <v>3920</v>
      </c>
      <c r="AN12" s="199">
        <f t="shared" si="12"/>
        <v>9350</v>
      </c>
      <c r="AO12" s="197"/>
      <c r="AP12" s="203"/>
      <c r="AQ12" s="197"/>
      <c r="AR12" s="197"/>
      <c r="AS12" s="203"/>
      <c r="AT12" s="197"/>
      <c r="AU12" s="197"/>
      <c r="AV12" s="199">
        <f>545+1652+493+139</f>
        <v>2829</v>
      </c>
      <c r="AW12" s="197"/>
      <c r="AX12" s="205">
        <f t="shared" si="13"/>
        <v>0.83169722057953877</v>
      </c>
      <c r="AY12" s="205">
        <f t="shared" si="14"/>
        <v>1.1058545239503252</v>
      </c>
      <c r="AZ12" s="205">
        <f t="shared" si="15"/>
        <v>0.40230375426621162</v>
      </c>
      <c r="BA12" s="171">
        <f t="shared" si="16"/>
        <v>529512</v>
      </c>
      <c r="BB12" s="171">
        <f t="shared" si="17"/>
        <v>512520</v>
      </c>
      <c r="BC12" s="171">
        <f t="shared" si="18"/>
        <v>529512</v>
      </c>
      <c r="BD12" s="171">
        <f t="shared" si="19"/>
        <v>529512</v>
      </c>
      <c r="BE12" s="206">
        <v>704447</v>
      </c>
      <c r="BF12" s="207">
        <v>455659.63</v>
      </c>
      <c r="BG12" s="208">
        <f t="shared" si="20"/>
        <v>64.683309035314224</v>
      </c>
      <c r="BH12" s="209"/>
      <c r="BI12" s="210">
        <f t="shared" si="21"/>
        <v>7.8220930744257566E-2</v>
      </c>
      <c r="BJ12" s="211">
        <f>53337.5</f>
        <v>53337.5</v>
      </c>
      <c r="BK12" s="208">
        <f t="shared" si="22"/>
        <v>3.7142376376845556</v>
      </c>
      <c r="BL12" s="211">
        <v>1000</v>
      </c>
      <c r="BM12" s="208">
        <f t="shared" si="23"/>
        <v>198.10814999999999</v>
      </c>
      <c r="BN12" s="203"/>
      <c r="BO12" s="208" t="e">
        <f t="shared" si="24"/>
        <v>#DIV/0!</v>
      </c>
      <c r="BP12" s="203"/>
      <c r="BQ12" s="208" t="e">
        <f t="shared" si="25"/>
        <v>#DIV/0!</v>
      </c>
      <c r="BR12" s="212">
        <v>198108.15</v>
      </c>
      <c r="BS12" s="220">
        <f t="shared" si="26"/>
        <v>28.122506022454491</v>
      </c>
      <c r="BT12" s="214">
        <f t="shared" si="27"/>
        <v>50679.22</v>
      </c>
      <c r="BU12" s="215">
        <f t="shared" si="28"/>
        <v>7.1941849422312822</v>
      </c>
      <c r="BV12" s="171">
        <v>21056</v>
      </c>
      <c r="BW12" s="171">
        <v>14319</v>
      </c>
      <c r="BX12" s="171">
        <v>15114</v>
      </c>
      <c r="BY12" s="171">
        <f>3510+1103.5</f>
        <v>4613.5</v>
      </c>
      <c r="BZ12" s="203"/>
      <c r="CA12" s="203"/>
      <c r="CB12" s="171">
        <v>44000</v>
      </c>
      <c r="CC12" s="216">
        <f t="shared" si="29"/>
        <v>2.9890112386027623E-2</v>
      </c>
      <c r="CD12" s="216">
        <f t="shared" si="30"/>
        <v>2.032658241145182E-2</v>
      </c>
      <c r="CE12" s="216">
        <f t="shared" si="31"/>
        <v>2.1455127213260899E-2</v>
      </c>
      <c r="CF12" s="216">
        <f t="shared" si="32"/>
        <v>6.5491087335172128E-3</v>
      </c>
      <c r="CG12" s="216">
        <f t="shared" si="33"/>
        <v>0</v>
      </c>
      <c r="CH12" s="217">
        <f t="shared" si="35"/>
        <v>5067.9220000000005</v>
      </c>
      <c r="CI12" s="217">
        <f t="shared" si="34"/>
        <v>45611.298000000003</v>
      </c>
      <c r="CJ12" s="218"/>
      <c r="CK12" s="141"/>
    </row>
    <row r="13" spans="1:89" x14ac:dyDescent="0.35">
      <c r="A13" s="193">
        <f>A10+1</f>
        <v>13</v>
      </c>
      <c r="B13" s="219">
        <v>4</v>
      </c>
      <c r="C13" s="195" t="s">
        <v>245</v>
      </c>
      <c r="D13" s="196"/>
      <c r="E13" s="197"/>
      <c r="F13" s="198">
        <v>40</v>
      </c>
      <c r="G13" s="171">
        <f t="shared" si="0"/>
        <v>0</v>
      </c>
      <c r="H13" s="199">
        <v>8755</v>
      </c>
      <c r="I13" s="200">
        <v>50</v>
      </c>
      <c r="J13" s="171">
        <f t="shared" si="1"/>
        <v>437750</v>
      </c>
      <c r="K13" s="197"/>
      <c r="L13" s="198">
        <v>60</v>
      </c>
      <c r="M13" s="171">
        <f t="shared" si="2"/>
        <v>0</v>
      </c>
      <c r="N13" s="199">
        <v>4009</v>
      </c>
      <c r="O13" s="198">
        <v>15</v>
      </c>
      <c r="P13" s="171">
        <f t="shared" si="3"/>
        <v>60135</v>
      </c>
      <c r="Q13" s="199">
        <v>1120</v>
      </c>
      <c r="R13" s="201">
        <v>12</v>
      </c>
      <c r="S13" s="171">
        <f t="shared" si="4"/>
        <v>13440</v>
      </c>
      <c r="T13" s="199">
        <v>1802</v>
      </c>
      <c r="U13" s="171">
        <f t="shared" si="5"/>
        <v>14416</v>
      </c>
      <c r="V13" s="199">
        <v>1362</v>
      </c>
      <c r="W13" s="198">
        <v>12</v>
      </c>
      <c r="X13" s="171">
        <f t="shared" si="6"/>
        <v>16344</v>
      </c>
      <c r="Y13" s="199">
        <v>979</v>
      </c>
      <c r="Z13" s="198">
        <v>10</v>
      </c>
      <c r="AA13" s="171">
        <f t="shared" si="7"/>
        <v>9790</v>
      </c>
      <c r="AB13" s="199">
        <v>853</v>
      </c>
      <c r="AC13" s="198">
        <v>25</v>
      </c>
      <c r="AD13" s="171">
        <f t="shared" si="8"/>
        <v>21325</v>
      </c>
      <c r="AE13" s="197"/>
      <c r="AF13" s="198">
        <v>7.5</v>
      </c>
      <c r="AG13" s="171">
        <f t="shared" si="9"/>
        <v>0</v>
      </c>
      <c r="AH13" s="197"/>
      <c r="AI13" s="200">
        <v>15</v>
      </c>
      <c r="AJ13" s="171">
        <f t="shared" si="10"/>
        <v>0</v>
      </c>
      <c r="AK13" s="197"/>
      <c r="AL13" s="198">
        <v>12</v>
      </c>
      <c r="AM13" s="171">
        <f t="shared" si="11"/>
        <v>0</v>
      </c>
      <c r="AN13" s="199">
        <f t="shared" si="12"/>
        <v>6116</v>
      </c>
      <c r="AO13" s="197"/>
      <c r="AP13" s="203"/>
      <c r="AQ13" s="197"/>
      <c r="AR13" s="197"/>
      <c r="AS13" s="203"/>
      <c r="AT13" s="197"/>
      <c r="AU13" s="197"/>
      <c r="AV13" s="199">
        <f>1057+254+51+102+174</f>
        <v>1638</v>
      </c>
      <c r="AW13" s="197"/>
      <c r="AX13" s="204">
        <f t="shared" si="13"/>
        <v>0.45790976584808679</v>
      </c>
      <c r="AY13" s="205">
        <f t="shared" si="14"/>
        <v>0.69857224443175325</v>
      </c>
      <c r="AZ13" s="205">
        <f t="shared" si="15"/>
        <v>0.40858069343976056</v>
      </c>
      <c r="BA13" s="171">
        <f t="shared" si="16"/>
        <v>513065</v>
      </c>
      <c r="BB13" s="171">
        <f t="shared" si="17"/>
        <v>472515</v>
      </c>
      <c r="BC13" s="171">
        <f t="shared" si="18"/>
        <v>513065</v>
      </c>
      <c r="BD13" s="171">
        <f t="shared" si="19"/>
        <v>513065</v>
      </c>
      <c r="BE13" s="206">
        <v>606779</v>
      </c>
      <c r="BF13" s="207">
        <v>392320</v>
      </c>
      <c r="BG13" s="208">
        <f t="shared" si="20"/>
        <v>64.656159820956233</v>
      </c>
      <c r="BH13" s="209"/>
      <c r="BI13" s="210">
        <f t="shared" si="21"/>
        <v>9.5358029859306276E-2</v>
      </c>
      <c r="BJ13" s="211">
        <f>43550+2400</f>
        <v>45950</v>
      </c>
      <c r="BK13" s="208">
        <f t="shared" si="22"/>
        <v>3.4963155603917304</v>
      </c>
      <c r="BL13" s="203"/>
      <c r="BM13" s="208" t="e">
        <f t="shared" si="23"/>
        <v>#DIV/0!</v>
      </c>
      <c r="BN13" s="203"/>
      <c r="BO13" s="208" t="e">
        <f t="shared" si="24"/>
        <v>#DIV/0!</v>
      </c>
      <c r="BP13" s="203"/>
      <c r="BQ13" s="208" t="e">
        <f t="shared" si="25"/>
        <v>#DIV/0!</v>
      </c>
      <c r="BR13" s="212">
        <v>160655.70000000001</v>
      </c>
      <c r="BS13" s="220">
        <f t="shared" si="26"/>
        <v>26.476806217749793</v>
      </c>
      <c r="BT13" s="214">
        <f t="shared" si="27"/>
        <v>53803.299999999988</v>
      </c>
      <c r="BU13" s="215">
        <f t="shared" si="28"/>
        <v>8.8670339612939788</v>
      </c>
      <c r="BV13" s="171">
        <v>20870</v>
      </c>
      <c r="BW13" s="171">
        <v>14319</v>
      </c>
      <c r="BX13" s="171">
        <v>16488</v>
      </c>
      <c r="BY13" s="171">
        <f>5400+784.25</f>
        <v>6184.25</v>
      </c>
      <c r="BZ13" s="203"/>
      <c r="CA13" s="203"/>
      <c r="CB13" s="171">
        <v>18000</v>
      </c>
      <c r="CC13" s="221">
        <f t="shared" si="29"/>
        <v>3.4394730206549665E-2</v>
      </c>
      <c r="CD13" s="216">
        <f t="shared" si="30"/>
        <v>2.3598377663037119E-2</v>
      </c>
      <c r="CE13" s="216">
        <f t="shared" si="31"/>
        <v>2.7172990495715903E-2</v>
      </c>
      <c r="CF13" s="216">
        <f t="shared" si="32"/>
        <v>1.0191931494003582E-2</v>
      </c>
      <c r="CG13" s="216">
        <f t="shared" si="33"/>
        <v>0</v>
      </c>
      <c r="CH13" s="217">
        <f t="shared" si="35"/>
        <v>5380.329999999999</v>
      </c>
      <c r="CI13" s="217">
        <f t="shared" si="34"/>
        <v>48422.969999999994</v>
      </c>
      <c r="CJ13" s="218"/>
      <c r="CK13" s="141"/>
    </row>
    <row r="14" spans="1:89" x14ac:dyDescent="0.35">
      <c r="A14" s="193">
        <f>A7+1</f>
        <v>1</v>
      </c>
      <c r="B14" s="194">
        <v>3</v>
      </c>
      <c r="C14" s="195" t="s">
        <v>11</v>
      </c>
      <c r="D14" s="196"/>
      <c r="E14" s="197"/>
      <c r="F14" s="198">
        <v>40</v>
      </c>
      <c r="G14" s="171">
        <f t="shared" si="0"/>
        <v>0</v>
      </c>
      <c r="H14" s="199">
        <v>8117</v>
      </c>
      <c r="I14" s="200">
        <v>50</v>
      </c>
      <c r="J14" s="171">
        <f t="shared" si="1"/>
        <v>405850</v>
      </c>
      <c r="K14" s="197"/>
      <c r="L14" s="198">
        <v>60</v>
      </c>
      <c r="M14" s="171">
        <f t="shared" si="2"/>
        <v>0</v>
      </c>
      <c r="N14" s="199">
        <v>4767</v>
      </c>
      <c r="O14" s="198">
        <v>15</v>
      </c>
      <c r="P14" s="171">
        <f t="shared" si="3"/>
        <v>71505</v>
      </c>
      <c r="Q14" s="199">
        <v>4570</v>
      </c>
      <c r="R14" s="201">
        <v>12</v>
      </c>
      <c r="S14" s="171">
        <f t="shared" si="4"/>
        <v>54840</v>
      </c>
      <c r="T14" s="199">
        <v>1140</v>
      </c>
      <c r="U14" s="171">
        <f t="shared" si="5"/>
        <v>9120</v>
      </c>
      <c r="V14" s="199">
        <v>239</v>
      </c>
      <c r="W14" s="198">
        <v>12</v>
      </c>
      <c r="X14" s="171">
        <f t="shared" si="6"/>
        <v>2868</v>
      </c>
      <c r="Y14" s="199">
        <v>1087</v>
      </c>
      <c r="Z14" s="198">
        <v>10</v>
      </c>
      <c r="AA14" s="171">
        <f t="shared" si="7"/>
        <v>10870</v>
      </c>
      <c r="AB14" s="199">
        <v>405</v>
      </c>
      <c r="AC14" s="198">
        <v>25</v>
      </c>
      <c r="AD14" s="171">
        <f t="shared" si="8"/>
        <v>10125</v>
      </c>
      <c r="AE14" s="197"/>
      <c r="AF14" s="198">
        <v>7.5</v>
      </c>
      <c r="AG14" s="171">
        <f t="shared" si="9"/>
        <v>0</v>
      </c>
      <c r="AH14" s="197"/>
      <c r="AI14" s="200">
        <v>15</v>
      </c>
      <c r="AJ14" s="171">
        <f t="shared" si="10"/>
        <v>0</v>
      </c>
      <c r="AK14" s="199">
        <v>278</v>
      </c>
      <c r="AL14" s="198">
        <v>10</v>
      </c>
      <c r="AM14" s="171">
        <f t="shared" si="11"/>
        <v>2780</v>
      </c>
      <c r="AN14" s="199">
        <f t="shared" si="12"/>
        <v>7719</v>
      </c>
      <c r="AO14" s="197"/>
      <c r="AP14" s="203"/>
      <c r="AQ14" s="197"/>
      <c r="AR14" s="197"/>
      <c r="AS14" s="203"/>
      <c r="AT14" s="197"/>
      <c r="AU14" s="197"/>
      <c r="AV14" s="199">
        <f>345+857+155+100+80</f>
        <v>1537</v>
      </c>
      <c r="AW14" s="197"/>
      <c r="AX14" s="205">
        <f t="shared" si="13"/>
        <v>0.58728594308241966</v>
      </c>
      <c r="AY14" s="205">
        <f t="shared" si="14"/>
        <v>0.95096710607367252</v>
      </c>
      <c r="AZ14" s="204">
        <f t="shared" si="15"/>
        <v>0.3224250052443885</v>
      </c>
      <c r="BA14" s="171">
        <f t="shared" si="16"/>
        <v>493673</v>
      </c>
      <c r="BB14" s="171">
        <f t="shared" si="17"/>
        <v>470815</v>
      </c>
      <c r="BC14" s="171">
        <f t="shared" si="18"/>
        <v>493673</v>
      </c>
      <c r="BD14" s="171">
        <f t="shared" si="19"/>
        <v>493673</v>
      </c>
      <c r="BE14" s="206">
        <v>603883</v>
      </c>
      <c r="BF14" s="207">
        <v>399363.25</v>
      </c>
      <c r="BG14" s="208">
        <f t="shared" si="20"/>
        <v>66.13255382251198</v>
      </c>
      <c r="BH14" s="209"/>
      <c r="BI14" s="210">
        <f t="shared" si="21"/>
        <v>6.0829664024322591E-2</v>
      </c>
      <c r="BJ14" s="211">
        <f>42550+1200</f>
        <v>43750</v>
      </c>
      <c r="BK14" s="208">
        <f t="shared" si="22"/>
        <v>2.9566998857142854</v>
      </c>
      <c r="BL14" s="211">
        <v>750</v>
      </c>
      <c r="BM14" s="208">
        <f t="shared" si="23"/>
        <v>172.47415999999998</v>
      </c>
      <c r="BN14" s="203"/>
      <c r="BO14" s="208" t="e">
        <f t="shared" si="24"/>
        <v>#DIV/0!</v>
      </c>
      <c r="BP14" s="203"/>
      <c r="BQ14" s="208" t="e">
        <f t="shared" si="25"/>
        <v>#DIV/0!</v>
      </c>
      <c r="BR14" s="212">
        <v>129355.62</v>
      </c>
      <c r="BS14" s="213">
        <f t="shared" si="26"/>
        <v>21.420642740398389</v>
      </c>
      <c r="BT14" s="214">
        <f t="shared" si="27"/>
        <v>75164.13</v>
      </c>
      <c r="BU14" s="215">
        <f t="shared" si="28"/>
        <v>12.446803437089637</v>
      </c>
      <c r="BV14" s="171">
        <v>12726</v>
      </c>
      <c r="BW14" s="171">
        <v>9546</v>
      </c>
      <c r="BX14" s="171">
        <v>10992</v>
      </c>
      <c r="BY14" s="171">
        <f>3240+230</f>
        <v>3470</v>
      </c>
      <c r="BZ14" s="203"/>
      <c r="CA14" s="203"/>
      <c r="CB14" s="171">
        <v>16000</v>
      </c>
      <c r="CC14" s="216">
        <f t="shared" si="29"/>
        <v>2.107361856518564E-2</v>
      </c>
      <c r="CD14" s="216">
        <f t="shared" si="30"/>
        <v>1.5807697848755471E-2</v>
      </c>
      <c r="CE14" s="216">
        <f t="shared" si="31"/>
        <v>1.8202201419811454E-2</v>
      </c>
      <c r="CF14" s="216">
        <f t="shared" si="32"/>
        <v>5.7461461905700274E-3</v>
      </c>
      <c r="CG14" s="216">
        <f t="shared" si="33"/>
        <v>0</v>
      </c>
      <c r="CH14" s="217">
        <f t="shared" si="35"/>
        <v>7516.4130000000005</v>
      </c>
      <c r="CI14" s="217">
        <f t="shared" si="34"/>
        <v>67647.717000000004</v>
      </c>
      <c r="CJ14" s="218"/>
      <c r="CK14" s="141"/>
    </row>
    <row r="15" spans="1:89" x14ac:dyDescent="0.35">
      <c r="A15" s="193">
        <f>A20+1</f>
        <v>15</v>
      </c>
      <c r="B15" s="219">
        <v>3</v>
      </c>
      <c r="C15" s="195" t="s">
        <v>247</v>
      </c>
      <c r="D15" s="196"/>
      <c r="E15" s="197"/>
      <c r="F15" s="198">
        <v>40</v>
      </c>
      <c r="G15" s="171">
        <f t="shared" si="0"/>
        <v>0</v>
      </c>
      <c r="H15" s="199">
        <v>8011</v>
      </c>
      <c r="I15" s="200">
        <v>50</v>
      </c>
      <c r="J15" s="171">
        <f t="shared" si="1"/>
        <v>400550</v>
      </c>
      <c r="K15" s="197"/>
      <c r="L15" s="198">
        <v>60</v>
      </c>
      <c r="M15" s="171">
        <f t="shared" si="2"/>
        <v>0</v>
      </c>
      <c r="N15" s="199">
        <v>4001</v>
      </c>
      <c r="O15" s="198">
        <v>15</v>
      </c>
      <c r="P15" s="171">
        <f t="shared" si="3"/>
        <v>60015</v>
      </c>
      <c r="Q15" s="199">
        <v>2700</v>
      </c>
      <c r="R15" s="201">
        <v>12</v>
      </c>
      <c r="S15" s="171">
        <f t="shared" si="4"/>
        <v>32400</v>
      </c>
      <c r="T15" s="199">
        <v>1092</v>
      </c>
      <c r="U15" s="171">
        <f t="shared" si="5"/>
        <v>8736</v>
      </c>
      <c r="V15" s="199">
        <v>341</v>
      </c>
      <c r="W15" s="198">
        <v>12</v>
      </c>
      <c r="X15" s="171">
        <f t="shared" si="6"/>
        <v>4092</v>
      </c>
      <c r="Y15" s="199">
        <v>734</v>
      </c>
      <c r="Z15" s="198">
        <v>10</v>
      </c>
      <c r="AA15" s="171">
        <f t="shared" si="7"/>
        <v>7340</v>
      </c>
      <c r="AB15" s="199">
        <v>242</v>
      </c>
      <c r="AC15" s="198">
        <v>25</v>
      </c>
      <c r="AD15" s="171">
        <f t="shared" si="8"/>
        <v>6050</v>
      </c>
      <c r="AE15" s="197"/>
      <c r="AF15" s="198">
        <v>7.5</v>
      </c>
      <c r="AG15" s="171">
        <f t="shared" si="9"/>
        <v>0</v>
      </c>
      <c r="AH15" s="197"/>
      <c r="AI15" s="200">
        <v>15</v>
      </c>
      <c r="AJ15" s="171">
        <f t="shared" si="10"/>
        <v>0</v>
      </c>
      <c r="AK15" s="199">
        <v>295</v>
      </c>
      <c r="AL15" s="198">
        <v>10</v>
      </c>
      <c r="AM15" s="171">
        <f t="shared" si="11"/>
        <v>2950</v>
      </c>
      <c r="AN15" s="199">
        <f t="shared" si="12"/>
        <v>5404</v>
      </c>
      <c r="AO15" s="197"/>
      <c r="AP15" s="203"/>
      <c r="AQ15" s="197"/>
      <c r="AR15" s="197"/>
      <c r="AS15" s="203"/>
      <c r="AT15" s="197"/>
      <c r="AU15" s="197"/>
      <c r="AV15" s="199">
        <f>690+82+75+98+60</f>
        <v>1005</v>
      </c>
      <c r="AW15" s="197"/>
      <c r="AX15" s="204">
        <f t="shared" si="13"/>
        <v>0.49943827237548372</v>
      </c>
      <c r="AY15" s="205">
        <f t="shared" si="14"/>
        <v>0.67457246286356265</v>
      </c>
      <c r="AZ15" s="204">
        <f t="shared" si="15"/>
        <v>0.25118720319920018</v>
      </c>
      <c r="BA15" s="171">
        <f t="shared" si="16"/>
        <v>459168</v>
      </c>
      <c r="BB15" s="171">
        <f t="shared" si="17"/>
        <v>439000</v>
      </c>
      <c r="BC15" s="171">
        <f t="shared" si="18"/>
        <v>459168</v>
      </c>
      <c r="BD15" s="171">
        <f t="shared" si="19"/>
        <v>459168</v>
      </c>
      <c r="BE15" s="206">
        <v>546064</v>
      </c>
      <c r="BF15" s="207">
        <v>366822.33</v>
      </c>
      <c r="BG15" s="208">
        <f t="shared" si="20"/>
        <v>67.175702848017821</v>
      </c>
      <c r="BH15" s="209"/>
      <c r="BI15" s="210">
        <f t="shared" si="21"/>
        <v>6.97683787980896E-2</v>
      </c>
      <c r="BJ15" s="211">
        <f>36550+1200</f>
        <v>37750</v>
      </c>
      <c r="BK15" s="208">
        <f t="shared" si="22"/>
        <v>3.6069552317880795</v>
      </c>
      <c r="BL15" s="211">
        <v>1875</v>
      </c>
      <c r="BM15" s="208">
        <f t="shared" si="23"/>
        <v>72.620031999999995</v>
      </c>
      <c r="BN15" s="203"/>
      <c r="BO15" s="208" t="e">
        <f t="shared" si="24"/>
        <v>#DIV/0!</v>
      </c>
      <c r="BP15" s="203"/>
      <c r="BQ15" s="208" t="e">
        <f t="shared" si="25"/>
        <v>#DIV/0!</v>
      </c>
      <c r="BR15" s="212">
        <v>136162.56</v>
      </c>
      <c r="BS15" s="220">
        <f t="shared" si="26"/>
        <v>24.935274986082216</v>
      </c>
      <c r="BT15" s="214">
        <f t="shared" si="27"/>
        <v>43079.109999999986</v>
      </c>
      <c r="BU15" s="215">
        <f t="shared" si="28"/>
        <v>7.8890221658999646</v>
      </c>
      <c r="BV15" s="171">
        <v>12558</v>
      </c>
      <c r="BW15" s="171">
        <v>7955</v>
      </c>
      <c r="BX15" s="171">
        <v>13740</v>
      </c>
      <c r="BY15" s="171">
        <f>3240+605</f>
        <v>3845</v>
      </c>
      <c r="BZ15" s="203"/>
      <c r="CA15" s="203"/>
      <c r="CB15" s="171">
        <v>27000</v>
      </c>
      <c r="CC15" s="216">
        <f t="shared" si="29"/>
        <v>2.2997304345278208E-2</v>
      </c>
      <c r="CD15" s="216">
        <f t="shared" si="30"/>
        <v>1.4567889478156407E-2</v>
      </c>
      <c r="CE15" s="216">
        <f t="shared" si="31"/>
        <v>2.5161885786281462E-2</v>
      </c>
      <c r="CF15" s="216">
        <f t="shared" si="32"/>
        <v>7.0412991883735242E-3</v>
      </c>
      <c r="CG15" s="216">
        <f t="shared" si="33"/>
        <v>0</v>
      </c>
      <c r="CH15" s="217">
        <f t="shared" si="35"/>
        <v>4307.9109999999991</v>
      </c>
      <c r="CI15" s="217">
        <f t="shared" si="34"/>
        <v>38771.198999999986</v>
      </c>
      <c r="CJ15" s="218"/>
      <c r="CK15" s="141"/>
    </row>
    <row r="16" spans="1:89" x14ac:dyDescent="0.35">
      <c r="A16" s="193">
        <f>A11+1</f>
        <v>5</v>
      </c>
      <c r="B16" s="194">
        <v>3</v>
      </c>
      <c r="C16" s="195" t="s">
        <v>97</v>
      </c>
      <c r="D16" s="196"/>
      <c r="E16" s="197"/>
      <c r="F16" s="198">
        <v>40</v>
      </c>
      <c r="G16" s="171">
        <f t="shared" si="0"/>
        <v>0</v>
      </c>
      <c r="H16" s="199">
        <v>7681</v>
      </c>
      <c r="I16" s="200">
        <v>50</v>
      </c>
      <c r="J16" s="171">
        <f t="shared" si="1"/>
        <v>384050</v>
      </c>
      <c r="K16" s="197"/>
      <c r="L16" s="198">
        <v>60</v>
      </c>
      <c r="M16" s="171">
        <f t="shared" si="2"/>
        <v>0</v>
      </c>
      <c r="N16" s="199">
        <v>4346</v>
      </c>
      <c r="O16" s="198">
        <v>15</v>
      </c>
      <c r="P16" s="171">
        <f t="shared" si="3"/>
        <v>65190</v>
      </c>
      <c r="Q16" s="199">
        <v>2731</v>
      </c>
      <c r="R16" s="201">
        <v>12</v>
      </c>
      <c r="S16" s="171">
        <f t="shared" si="4"/>
        <v>32772</v>
      </c>
      <c r="T16" s="199">
        <v>713</v>
      </c>
      <c r="U16" s="171">
        <f t="shared" si="5"/>
        <v>5704</v>
      </c>
      <c r="V16" s="199">
        <v>262</v>
      </c>
      <c r="W16" s="198">
        <v>12</v>
      </c>
      <c r="X16" s="171">
        <f t="shared" si="6"/>
        <v>3144</v>
      </c>
      <c r="Y16" s="199">
        <v>668</v>
      </c>
      <c r="Z16" s="198">
        <v>10</v>
      </c>
      <c r="AA16" s="171">
        <f t="shared" si="7"/>
        <v>6680</v>
      </c>
      <c r="AB16" s="199">
        <v>218</v>
      </c>
      <c r="AC16" s="198">
        <v>25</v>
      </c>
      <c r="AD16" s="171">
        <f t="shared" si="8"/>
        <v>5450</v>
      </c>
      <c r="AE16" s="197"/>
      <c r="AF16" s="198">
        <v>7.5</v>
      </c>
      <c r="AG16" s="171">
        <f t="shared" si="9"/>
        <v>0</v>
      </c>
      <c r="AH16" s="197"/>
      <c r="AI16" s="200">
        <v>15</v>
      </c>
      <c r="AJ16" s="171">
        <f t="shared" si="10"/>
        <v>0</v>
      </c>
      <c r="AK16" s="199">
        <v>195</v>
      </c>
      <c r="AL16" s="198">
        <v>10</v>
      </c>
      <c r="AM16" s="171">
        <f t="shared" si="11"/>
        <v>1950</v>
      </c>
      <c r="AN16" s="199">
        <f t="shared" si="12"/>
        <v>4787</v>
      </c>
      <c r="AO16" s="197"/>
      <c r="AP16" s="203"/>
      <c r="AQ16" s="197"/>
      <c r="AR16" s="197"/>
      <c r="AS16" s="203"/>
      <c r="AT16" s="197"/>
      <c r="AU16" s="197"/>
      <c r="AV16" s="199">
        <f>284+614+137+159+84+69</f>
        <v>1347</v>
      </c>
      <c r="AW16" s="197"/>
      <c r="AX16" s="205">
        <f t="shared" si="13"/>
        <v>0.56581174326259598</v>
      </c>
      <c r="AY16" s="205">
        <f t="shared" si="14"/>
        <v>0.62322614242937113</v>
      </c>
      <c r="AZ16" s="204">
        <f t="shared" si="15"/>
        <v>0.30994017487344683</v>
      </c>
      <c r="BA16" s="171">
        <f t="shared" si="16"/>
        <v>437800</v>
      </c>
      <c r="BB16" s="171">
        <f t="shared" si="17"/>
        <v>422272</v>
      </c>
      <c r="BC16" s="171">
        <f t="shared" si="18"/>
        <v>437800</v>
      </c>
      <c r="BD16" s="171">
        <f t="shared" si="19"/>
        <v>437800</v>
      </c>
      <c r="BE16" s="206">
        <v>536510</v>
      </c>
      <c r="BF16" s="207">
        <v>357580.21</v>
      </c>
      <c r="BG16" s="208">
        <f t="shared" si="20"/>
        <v>66.64930942573298</v>
      </c>
      <c r="BH16" s="209"/>
      <c r="BI16" s="210">
        <f t="shared" si="21"/>
        <v>7.1792697247022419E-2</v>
      </c>
      <c r="BJ16" s="211">
        <f>38000+1200</f>
        <v>39200</v>
      </c>
      <c r="BK16" s="208">
        <f t="shared" si="22"/>
        <v>3.5363408163265304</v>
      </c>
      <c r="BL16" s="211">
        <v>1375</v>
      </c>
      <c r="BM16" s="208">
        <f t="shared" si="23"/>
        <v>100.81786181818181</v>
      </c>
      <c r="BN16" s="203"/>
      <c r="BO16" s="208" t="e">
        <f t="shared" si="24"/>
        <v>#DIV/0!</v>
      </c>
      <c r="BP16" s="203"/>
      <c r="BQ16" s="208" t="e">
        <f t="shared" si="25"/>
        <v>#DIV/0!</v>
      </c>
      <c r="BR16" s="212">
        <v>138624.56</v>
      </c>
      <c r="BS16" s="220">
        <f t="shared" si="26"/>
        <v>25.83820618441408</v>
      </c>
      <c r="BT16" s="214">
        <f t="shared" si="27"/>
        <v>40305.229999999981</v>
      </c>
      <c r="BU16" s="215">
        <f t="shared" si="28"/>
        <v>7.5124843898529345</v>
      </c>
      <c r="BV16" s="171">
        <v>12726</v>
      </c>
      <c r="BW16" s="171">
        <v>9546</v>
      </c>
      <c r="BX16" s="171">
        <v>12366</v>
      </c>
      <c r="BY16" s="171">
        <f>3510+369.5</f>
        <v>3879.5</v>
      </c>
      <c r="BZ16" s="203"/>
      <c r="CA16" s="203"/>
      <c r="CB16" s="171">
        <v>26750</v>
      </c>
      <c r="CC16" s="216">
        <f t="shared" si="29"/>
        <v>2.3719967940951707E-2</v>
      </c>
      <c r="CD16" s="216">
        <f t="shared" si="30"/>
        <v>1.7792771802948686E-2</v>
      </c>
      <c r="CE16" s="216">
        <f t="shared" si="31"/>
        <v>2.3048964604574007E-2</v>
      </c>
      <c r="CF16" s="216">
        <f t="shared" si="32"/>
        <v>7.2309928985480236E-3</v>
      </c>
      <c r="CG16" s="216">
        <f t="shared" si="33"/>
        <v>0</v>
      </c>
      <c r="CH16" s="217">
        <f t="shared" si="35"/>
        <v>4030.5229999999983</v>
      </c>
      <c r="CI16" s="217">
        <f t="shared" si="34"/>
        <v>36274.706999999988</v>
      </c>
      <c r="CJ16" s="218"/>
      <c r="CK16" s="141"/>
    </row>
    <row r="17" spans="1:89" x14ac:dyDescent="0.35">
      <c r="A17" s="193">
        <f>A19+1</f>
        <v>3</v>
      </c>
      <c r="B17" s="194">
        <v>3</v>
      </c>
      <c r="C17" s="195" t="s">
        <v>108</v>
      </c>
      <c r="D17" s="196"/>
      <c r="E17" s="197"/>
      <c r="F17" s="198">
        <v>40</v>
      </c>
      <c r="G17" s="171">
        <f t="shared" si="0"/>
        <v>0</v>
      </c>
      <c r="H17" s="199">
        <v>6012</v>
      </c>
      <c r="I17" s="200">
        <v>50</v>
      </c>
      <c r="J17" s="171">
        <f t="shared" si="1"/>
        <v>300600</v>
      </c>
      <c r="K17" s="197"/>
      <c r="L17" s="198">
        <v>60</v>
      </c>
      <c r="M17" s="171">
        <f t="shared" si="2"/>
        <v>0</v>
      </c>
      <c r="N17" s="199">
        <v>5874</v>
      </c>
      <c r="O17" s="198">
        <v>15</v>
      </c>
      <c r="P17" s="171">
        <f t="shared" si="3"/>
        <v>88110</v>
      </c>
      <c r="Q17" s="199">
        <v>2782</v>
      </c>
      <c r="R17" s="201">
        <v>12</v>
      </c>
      <c r="S17" s="171">
        <f t="shared" si="4"/>
        <v>33384</v>
      </c>
      <c r="T17" s="199">
        <v>1153</v>
      </c>
      <c r="U17" s="171">
        <f t="shared" si="5"/>
        <v>9224</v>
      </c>
      <c r="V17" s="199">
        <v>338</v>
      </c>
      <c r="W17" s="198">
        <v>12</v>
      </c>
      <c r="X17" s="171">
        <f t="shared" si="6"/>
        <v>4056</v>
      </c>
      <c r="Y17" s="199">
        <v>1180</v>
      </c>
      <c r="Z17" s="198">
        <v>10</v>
      </c>
      <c r="AA17" s="171">
        <f t="shared" si="7"/>
        <v>11800</v>
      </c>
      <c r="AB17" s="199">
        <v>478</v>
      </c>
      <c r="AC17" s="198">
        <v>25</v>
      </c>
      <c r="AD17" s="171">
        <f t="shared" si="8"/>
        <v>11950</v>
      </c>
      <c r="AE17" s="197"/>
      <c r="AF17" s="198">
        <v>7.5</v>
      </c>
      <c r="AG17" s="171">
        <f t="shared" si="9"/>
        <v>0</v>
      </c>
      <c r="AH17" s="197"/>
      <c r="AI17" s="200">
        <v>15</v>
      </c>
      <c r="AJ17" s="171">
        <f t="shared" si="10"/>
        <v>0</v>
      </c>
      <c r="AK17" s="199">
        <v>257</v>
      </c>
      <c r="AL17" s="198">
        <v>10</v>
      </c>
      <c r="AM17" s="171">
        <f t="shared" si="11"/>
        <v>2570</v>
      </c>
      <c r="AN17" s="199">
        <f t="shared" si="12"/>
        <v>6188</v>
      </c>
      <c r="AO17" s="197"/>
      <c r="AP17" s="203"/>
      <c r="AQ17" s="197"/>
      <c r="AR17" s="197"/>
      <c r="AS17" s="203"/>
      <c r="AT17" s="197"/>
      <c r="AU17" s="197"/>
      <c r="AV17" s="199">
        <f>407+1257+229+107+96+93</f>
        <v>2189</v>
      </c>
      <c r="AW17" s="197"/>
      <c r="AX17" s="205">
        <f t="shared" si="13"/>
        <v>0.97704590818363268</v>
      </c>
      <c r="AY17" s="205">
        <f t="shared" si="14"/>
        <v>1.0292747837658018</v>
      </c>
      <c r="AZ17" s="204">
        <f t="shared" si="15"/>
        <v>0.37265917602996257</v>
      </c>
      <c r="BA17" s="171">
        <f t="shared" si="16"/>
        <v>371014</v>
      </c>
      <c r="BB17" s="171">
        <f t="shared" si="17"/>
        <v>345934</v>
      </c>
      <c r="BC17" s="171">
        <f t="shared" si="18"/>
        <v>371014</v>
      </c>
      <c r="BD17" s="171">
        <f t="shared" si="19"/>
        <v>371014</v>
      </c>
      <c r="BE17" s="206">
        <v>512383</v>
      </c>
      <c r="BF17" s="207">
        <v>332893.88</v>
      </c>
      <c r="BG17" s="208">
        <f t="shared" si="20"/>
        <v>64.969735529867307</v>
      </c>
      <c r="BH17" s="209"/>
      <c r="BI17" s="210">
        <f t="shared" si="21"/>
        <v>8.8892488626671845E-2</v>
      </c>
      <c r="BJ17" s="211">
        <f>43550+1300</f>
        <v>44850</v>
      </c>
      <c r="BK17" s="208">
        <f t="shared" si="22"/>
        <v>3.5773962095875138</v>
      </c>
      <c r="BL17" s="203"/>
      <c r="BM17" s="208" t="e">
        <f t="shared" si="23"/>
        <v>#DIV/0!</v>
      </c>
      <c r="BN17" s="203"/>
      <c r="BO17" s="208" t="e">
        <f t="shared" si="24"/>
        <v>#DIV/0!</v>
      </c>
      <c r="BP17" s="203"/>
      <c r="BQ17" s="208" t="e">
        <f t="shared" si="25"/>
        <v>#DIV/0!</v>
      </c>
      <c r="BR17" s="212">
        <v>160446.22</v>
      </c>
      <c r="BS17" s="220">
        <f t="shared" si="26"/>
        <v>31.313728207219992</v>
      </c>
      <c r="BT17" s="214">
        <f t="shared" si="27"/>
        <v>19042.899999999994</v>
      </c>
      <c r="BU17" s="215">
        <f t="shared" si="28"/>
        <v>3.7165362629127028</v>
      </c>
      <c r="BV17" s="171">
        <v>16996</v>
      </c>
      <c r="BW17" s="171">
        <v>9546</v>
      </c>
      <c r="BX17" s="171">
        <v>15114</v>
      </c>
      <c r="BY17" s="171">
        <f>3240+651</f>
        <v>3891</v>
      </c>
      <c r="BZ17" s="203"/>
      <c r="CA17" s="203"/>
      <c r="CB17" s="171">
        <v>28000</v>
      </c>
      <c r="CC17" s="221">
        <f t="shared" si="29"/>
        <v>3.3170499411572983E-2</v>
      </c>
      <c r="CD17" s="216">
        <f t="shared" si="30"/>
        <v>1.863059469186136E-2</v>
      </c>
      <c r="CE17" s="216">
        <f t="shared" si="31"/>
        <v>2.949746576291563E-2</v>
      </c>
      <c r="CF17" s="216">
        <f t="shared" si="32"/>
        <v>7.5939287603218686E-3</v>
      </c>
      <c r="CG17" s="216">
        <f t="shared" si="33"/>
        <v>0</v>
      </c>
      <c r="CH17" s="217">
        <f t="shared" si="35"/>
        <v>1904.2899999999995</v>
      </c>
      <c r="CI17" s="217">
        <f t="shared" si="34"/>
        <v>17138.609999999997</v>
      </c>
      <c r="CJ17" s="218"/>
      <c r="CK17" s="141"/>
    </row>
    <row r="18" spans="1:89" x14ac:dyDescent="0.35">
      <c r="A18" s="193">
        <f>A16+1</f>
        <v>6</v>
      </c>
      <c r="B18" s="219">
        <v>2</v>
      </c>
      <c r="C18" s="195" t="s">
        <v>99</v>
      </c>
      <c r="D18" s="196"/>
      <c r="E18" s="197"/>
      <c r="F18" s="198">
        <v>40</v>
      </c>
      <c r="G18" s="171">
        <f t="shared" si="0"/>
        <v>0</v>
      </c>
      <c r="H18" s="199">
        <v>6389</v>
      </c>
      <c r="I18" s="200">
        <v>50</v>
      </c>
      <c r="J18" s="171">
        <f t="shared" si="1"/>
        <v>319450</v>
      </c>
      <c r="K18" s="197"/>
      <c r="L18" s="198">
        <v>60</v>
      </c>
      <c r="M18" s="171">
        <f t="shared" si="2"/>
        <v>0</v>
      </c>
      <c r="N18" s="199">
        <v>4588</v>
      </c>
      <c r="O18" s="198">
        <v>15</v>
      </c>
      <c r="P18" s="171">
        <f t="shared" si="3"/>
        <v>68820</v>
      </c>
      <c r="Q18" s="199">
        <v>2490</v>
      </c>
      <c r="R18" s="201">
        <v>12</v>
      </c>
      <c r="S18" s="171">
        <f t="shared" si="4"/>
        <v>29880</v>
      </c>
      <c r="T18" s="199">
        <v>697</v>
      </c>
      <c r="U18" s="171">
        <f t="shared" si="5"/>
        <v>5576</v>
      </c>
      <c r="V18" s="199">
        <v>253</v>
      </c>
      <c r="W18" s="198">
        <v>12</v>
      </c>
      <c r="X18" s="171">
        <f t="shared" si="6"/>
        <v>3036</v>
      </c>
      <c r="Y18" s="199">
        <v>723</v>
      </c>
      <c r="Z18" s="198">
        <v>10</v>
      </c>
      <c r="AA18" s="171">
        <f t="shared" si="7"/>
        <v>7230</v>
      </c>
      <c r="AB18" s="199">
        <v>422</v>
      </c>
      <c r="AC18" s="198">
        <v>25</v>
      </c>
      <c r="AD18" s="171">
        <f t="shared" si="8"/>
        <v>10550</v>
      </c>
      <c r="AE18" s="197"/>
      <c r="AF18" s="198">
        <v>7.5</v>
      </c>
      <c r="AG18" s="171">
        <f t="shared" si="9"/>
        <v>0</v>
      </c>
      <c r="AH18" s="197"/>
      <c r="AI18" s="200">
        <v>15</v>
      </c>
      <c r="AJ18" s="171">
        <f t="shared" si="10"/>
        <v>0</v>
      </c>
      <c r="AK18" s="199">
        <v>283</v>
      </c>
      <c r="AL18" s="198">
        <v>10</v>
      </c>
      <c r="AM18" s="171">
        <f t="shared" si="11"/>
        <v>2830</v>
      </c>
      <c r="AN18" s="199">
        <f t="shared" si="12"/>
        <v>4868</v>
      </c>
      <c r="AO18" s="197"/>
      <c r="AP18" s="203"/>
      <c r="AQ18" s="197"/>
      <c r="AR18" s="197"/>
      <c r="AS18" s="203"/>
      <c r="AT18" s="197"/>
      <c r="AU18" s="197"/>
      <c r="AV18" s="199">
        <f>134+790+98+80+140+27</f>
        <v>1269</v>
      </c>
      <c r="AW18" s="197"/>
      <c r="AX18" s="205">
        <f t="shared" si="13"/>
        <v>0.71810925027390826</v>
      </c>
      <c r="AY18" s="205">
        <f t="shared" si="14"/>
        <v>0.7619345750508687</v>
      </c>
      <c r="AZ18" s="204">
        <f t="shared" si="15"/>
        <v>0.27659110723626851</v>
      </c>
      <c r="BA18" s="171">
        <f t="shared" si="16"/>
        <v>375722</v>
      </c>
      <c r="BB18" s="171">
        <f t="shared" si="17"/>
        <v>359880</v>
      </c>
      <c r="BC18" s="171">
        <f t="shared" si="18"/>
        <v>375722</v>
      </c>
      <c r="BD18" s="171">
        <f t="shared" si="19"/>
        <v>375722</v>
      </c>
      <c r="BE18" s="206">
        <v>477937</v>
      </c>
      <c r="BF18" s="207">
        <v>316847.88</v>
      </c>
      <c r="BG18" s="208">
        <f t="shared" si="20"/>
        <v>66.294904977015804</v>
      </c>
      <c r="BH18" s="209"/>
      <c r="BI18" s="210">
        <f t="shared" si="21"/>
        <v>8.2034870704716323E-2</v>
      </c>
      <c r="BJ18" s="211">
        <f>27550+1050</f>
        <v>28600</v>
      </c>
      <c r="BK18" s="208">
        <f t="shared" si="22"/>
        <v>4.7953839160839165</v>
      </c>
      <c r="BL18" s="211">
        <v>3287.5</v>
      </c>
      <c r="BM18" s="208">
        <f t="shared" si="23"/>
        <v>41.718016730038023</v>
      </c>
      <c r="BN18" s="203"/>
      <c r="BO18" s="208" t="e">
        <f t="shared" si="24"/>
        <v>#DIV/0!</v>
      </c>
      <c r="BP18" s="203"/>
      <c r="BQ18" s="208" t="e">
        <f t="shared" si="25"/>
        <v>#DIV/0!</v>
      </c>
      <c r="BR18" s="212">
        <v>137147.98000000001</v>
      </c>
      <c r="BS18" s="220">
        <f t="shared" si="26"/>
        <v>28.69582811123642</v>
      </c>
      <c r="BT18" s="214">
        <f t="shared" si="27"/>
        <v>23941.139999999985</v>
      </c>
      <c r="BU18" s="215">
        <f t="shared" si="28"/>
        <v>5.0092669117477797</v>
      </c>
      <c r="BV18" s="171">
        <v>13943.5</v>
      </c>
      <c r="BW18" s="171">
        <v>9546</v>
      </c>
      <c r="BX18" s="171">
        <v>12366</v>
      </c>
      <c r="BY18" s="171">
        <f>3240+112</f>
        <v>3352</v>
      </c>
      <c r="BZ18" s="203"/>
      <c r="CA18" s="203"/>
      <c r="CB18" s="171">
        <v>35000</v>
      </c>
      <c r="CC18" s="216">
        <f t="shared" si="29"/>
        <v>2.9174347246603633E-2</v>
      </c>
      <c r="CD18" s="216">
        <f t="shared" si="30"/>
        <v>1.9973343767065534E-2</v>
      </c>
      <c r="CE18" s="216">
        <f t="shared" si="31"/>
        <v>2.5873703019435618E-2</v>
      </c>
      <c r="CF18" s="216">
        <f t="shared" si="32"/>
        <v>7.0134766716115305E-3</v>
      </c>
      <c r="CG18" s="216">
        <f t="shared" si="33"/>
        <v>0</v>
      </c>
      <c r="CH18" s="217">
        <f t="shared" si="35"/>
        <v>2394.1139999999987</v>
      </c>
      <c r="CI18" s="217">
        <f t="shared" si="34"/>
        <v>21547.025999999987</v>
      </c>
      <c r="CJ18" s="218"/>
      <c r="CK18" s="141"/>
    </row>
    <row r="19" spans="1:89" x14ac:dyDescent="0.35">
      <c r="A19" s="193">
        <f>A14+1</f>
        <v>2</v>
      </c>
      <c r="B19" s="194">
        <v>2</v>
      </c>
      <c r="C19" s="195" t="s">
        <v>105</v>
      </c>
      <c r="D19" s="196"/>
      <c r="E19" s="197"/>
      <c r="F19" s="198">
        <v>40</v>
      </c>
      <c r="G19" s="171">
        <f t="shared" si="0"/>
        <v>0</v>
      </c>
      <c r="H19" s="199">
        <v>4211</v>
      </c>
      <c r="I19" s="200">
        <v>50</v>
      </c>
      <c r="J19" s="171">
        <f t="shared" si="1"/>
        <v>210550</v>
      </c>
      <c r="K19" s="197"/>
      <c r="L19" s="198">
        <v>60</v>
      </c>
      <c r="M19" s="171">
        <f t="shared" si="2"/>
        <v>0</v>
      </c>
      <c r="N19" s="199">
        <v>2321</v>
      </c>
      <c r="O19" s="198">
        <v>15</v>
      </c>
      <c r="P19" s="171">
        <f t="shared" si="3"/>
        <v>34815</v>
      </c>
      <c r="Q19" s="199">
        <v>4158</v>
      </c>
      <c r="R19" s="201">
        <v>12</v>
      </c>
      <c r="S19" s="171">
        <f t="shared" si="4"/>
        <v>49896</v>
      </c>
      <c r="T19" s="199">
        <v>473</v>
      </c>
      <c r="U19" s="171">
        <f t="shared" si="5"/>
        <v>3784</v>
      </c>
      <c r="V19" s="199">
        <v>133</v>
      </c>
      <c r="W19" s="198">
        <v>12</v>
      </c>
      <c r="X19" s="171">
        <f t="shared" si="6"/>
        <v>1596</v>
      </c>
      <c r="Y19" s="199">
        <v>520</v>
      </c>
      <c r="Z19" s="198">
        <v>10</v>
      </c>
      <c r="AA19" s="171">
        <f t="shared" si="7"/>
        <v>5200</v>
      </c>
      <c r="AB19" s="199">
        <v>251</v>
      </c>
      <c r="AC19" s="198">
        <v>25</v>
      </c>
      <c r="AD19" s="171">
        <f t="shared" si="8"/>
        <v>6275</v>
      </c>
      <c r="AE19" s="197"/>
      <c r="AF19" s="198">
        <v>7.5</v>
      </c>
      <c r="AG19" s="171">
        <f t="shared" si="9"/>
        <v>0</v>
      </c>
      <c r="AH19" s="197"/>
      <c r="AI19" s="200">
        <v>15</v>
      </c>
      <c r="AJ19" s="171">
        <f t="shared" si="10"/>
        <v>0</v>
      </c>
      <c r="AK19" s="199">
        <v>125</v>
      </c>
      <c r="AL19" s="198">
        <v>10</v>
      </c>
      <c r="AM19" s="171">
        <f t="shared" si="11"/>
        <v>1250</v>
      </c>
      <c r="AN19" s="199">
        <f t="shared" si="12"/>
        <v>5660</v>
      </c>
      <c r="AO19" s="197"/>
      <c r="AP19" s="203"/>
      <c r="AQ19" s="197"/>
      <c r="AR19" s="197"/>
      <c r="AS19" s="203"/>
      <c r="AT19" s="197"/>
      <c r="AU19" s="197"/>
      <c r="AV19" s="199">
        <f>176+703+121+22</f>
        <v>1022</v>
      </c>
      <c r="AW19" s="197"/>
      <c r="AX19" s="205">
        <f t="shared" si="13"/>
        <v>0.55117549275706479</v>
      </c>
      <c r="AY19" s="205">
        <f t="shared" si="14"/>
        <v>1.3440987888862503</v>
      </c>
      <c r="AZ19" s="276">
        <f t="shared" si="15"/>
        <v>0.44032744506678156</v>
      </c>
      <c r="BA19" s="171">
        <f t="shared" si="16"/>
        <v>277301</v>
      </c>
      <c r="BB19" s="171">
        <f t="shared" si="17"/>
        <v>266721</v>
      </c>
      <c r="BC19" s="171">
        <f t="shared" si="18"/>
        <v>277301</v>
      </c>
      <c r="BD19" s="171">
        <f t="shared" si="19"/>
        <v>277301</v>
      </c>
      <c r="BE19" s="206">
        <v>337431</v>
      </c>
      <c r="BF19" s="206">
        <v>220271</v>
      </c>
      <c r="BG19" s="208">
        <f t="shared" si="20"/>
        <v>65.278827375078166</v>
      </c>
      <c r="BH19" s="209"/>
      <c r="BI19" s="210">
        <f t="shared" si="21"/>
        <v>8.9942832756919194E-2</v>
      </c>
      <c r="BJ19" s="211">
        <f>26350+1200</f>
        <v>27550</v>
      </c>
      <c r="BK19" s="208">
        <f t="shared" si="22"/>
        <v>3.428003266787659</v>
      </c>
      <c r="BL19" s="211">
        <v>2187.5</v>
      </c>
      <c r="BM19" s="208">
        <f t="shared" si="23"/>
        <v>43.173252571428577</v>
      </c>
      <c r="BN19" s="203"/>
      <c r="BO19" s="208" t="e">
        <f t="shared" si="24"/>
        <v>#DIV/0!</v>
      </c>
      <c r="BP19" s="203"/>
      <c r="BQ19" s="208" t="e">
        <f t="shared" si="25"/>
        <v>#DIV/0!</v>
      </c>
      <c r="BR19" s="212">
        <v>94441.49</v>
      </c>
      <c r="BS19" s="220">
        <f t="shared" si="26"/>
        <v>27.988385773684104</v>
      </c>
      <c r="BT19" s="214">
        <f t="shared" si="27"/>
        <v>22718.509999999995</v>
      </c>
      <c r="BU19" s="215">
        <f t="shared" si="28"/>
        <v>6.7327868512377327</v>
      </c>
      <c r="BV19" s="171">
        <v>13943.5</v>
      </c>
      <c r="BW19" s="171">
        <v>7955</v>
      </c>
      <c r="BX19" s="171">
        <v>5496</v>
      </c>
      <c r="BY19" s="171">
        <f>2430+525</f>
        <v>2955</v>
      </c>
      <c r="BZ19" s="203"/>
      <c r="CA19" s="203"/>
      <c r="CB19" s="171">
        <v>8269</v>
      </c>
      <c r="CC19" s="221">
        <f t="shared" si="29"/>
        <v>4.1322522234175284E-2</v>
      </c>
      <c r="CD19" s="216">
        <f t="shared" si="30"/>
        <v>2.3575190187030831E-2</v>
      </c>
      <c r="CE19" s="216">
        <f t="shared" si="31"/>
        <v>1.6287774389430729E-2</v>
      </c>
      <c r="CF19" s="216">
        <f t="shared" si="32"/>
        <v>8.7573459462823508E-3</v>
      </c>
      <c r="CG19" s="216">
        <f t="shared" si="33"/>
        <v>0</v>
      </c>
      <c r="CH19" s="217">
        <f t="shared" si="35"/>
        <v>2271.8509999999997</v>
      </c>
      <c r="CI19" s="217">
        <f t="shared" si="34"/>
        <v>20446.658999999996</v>
      </c>
      <c r="CJ19" s="218"/>
      <c r="CK19" s="141"/>
    </row>
    <row r="20" spans="1:89" x14ac:dyDescent="0.35">
      <c r="A20" s="193">
        <f>A13+1</f>
        <v>14</v>
      </c>
      <c r="B20" s="219">
        <v>2</v>
      </c>
      <c r="C20" s="195" t="s">
        <v>246</v>
      </c>
      <c r="D20" s="196"/>
      <c r="E20" s="197"/>
      <c r="F20" s="198">
        <v>40</v>
      </c>
      <c r="G20" s="171">
        <f t="shared" si="0"/>
        <v>0</v>
      </c>
      <c r="H20" s="199">
        <v>4122</v>
      </c>
      <c r="I20" s="200">
        <v>50</v>
      </c>
      <c r="J20" s="171">
        <f t="shared" si="1"/>
        <v>206100</v>
      </c>
      <c r="K20" s="197"/>
      <c r="L20" s="198">
        <v>60</v>
      </c>
      <c r="M20" s="171">
        <f t="shared" si="2"/>
        <v>0</v>
      </c>
      <c r="N20" s="199">
        <v>1854</v>
      </c>
      <c r="O20" s="198">
        <v>15</v>
      </c>
      <c r="P20" s="171">
        <f t="shared" si="3"/>
        <v>27810</v>
      </c>
      <c r="Q20" s="199">
        <v>1060</v>
      </c>
      <c r="R20" s="201">
        <v>12</v>
      </c>
      <c r="S20" s="171">
        <f t="shared" si="4"/>
        <v>12720</v>
      </c>
      <c r="T20" s="199">
        <v>770</v>
      </c>
      <c r="U20" s="171">
        <f t="shared" si="5"/>
        <v>6160</v>
      </c>
      <c r="V20" s="199">
        <v>507</v>
      </c>
      <c r="W20" s="198">
        <v>12</v>
      </c>
      <c r="X20" s="171">
        <f t="shared" si="6"/>
        <v>6084</v>
      </c>
      <c r="Y20" s="199">
        <v>800</v>
      </c>
      <c r="Z20" s="198">
        <v>10</v>
      </c>
      <c r="AA20" s="171">
        <f t="shared" si="7"/>
        <v>8000</v>
      </c>
      <c r="AB20" s="199">
        <v>206</v>
      </c>
      <c r="AC20" s="198">
        <v>25</v>
      </c>
      <c r="AD20" s="171">
        <f t="shared" si="8"/>
        <v>5150</v>
      </c>
      <c r="AE20" s="197"/>
      <c r="AF20" s="198">
        <v>7.5</v>
      </c>
      <c r="AG20" s="171">
        <f t="shared" si="9"/>
        <v>0</v>
      </c>
      <c r="AH20" s="197"/>
      <c r="AI20" s="200">
        <v>15</v>
      </c>
      <c r="AJ20" s="171">
        <f t="shared" si="10"/>
        <v>0</v>
      </c>
      <c r="AK20" s="199">
        <v>27</v>
      </c>
      <c r="AL20" s="198">
        <v>10</v>
      </c>
      <c r="AM20" s="171">
        <f t="shared" si="11"/>
        <v>270</v>
      </c>
      <c r="AN20" s="199">
        <f t="shared" si="12"/>
        <v>3370</v>
      </c>
      <c r="AO20" s="197"/>
      <c r="AP20" s="203"/>
      <c r="AQ20" s="197"/>
      <c r="AR20" s="197"/>
      <c r="AS20" s="203"/>
      <c r="AT20" s="197"/>
      <c r="AU20" s="197"/>
      <c r="AV20" s="199">
        <f>710+110+1+125</f>
        <v>946</v>
      </c>
      <c r="AW20" s="197"/>
      <c r="AX20" s="204">
        <f t="shared" si="13"/>
        <v>0.44978165938864628</v>
      </c>
      <c r="AY20" s="205">
        <f t="shared" si="14"/>
        <v>0.81756428918000967</v>
      </c>
      <c r="AZ20" s="205">
        <f t="shared" si="15"/>
        <v>0.51024811218985977</v>
      </c>
      <c r="BA20" s="171">
        <f t="shared" si="16"/>
        <v>244214</v>
      </c>
      <c r="BB20" s="171">
        <f t="shared" si="17"/>
        <v>223970</v>
      </c>
      <c r="BC20" s="171">
        <f t="shared" si="18"/>
        <v>244214</v>
      </c>
      <c r="BD20" s="171">
        <f t="shared" si="19"/>
        <v>244214</v>
      </c>
      <c r="BE20" s="206">
        <v>291898</v>
      </c>
      <c r="BF20" s="207">
        <v>186824.16</v>
      </c>
      <c r="BG20" s="208">
        <f t="shared" si="20"/>
        <v>64.003234006399495</v>
      </c>
      <c r="BH20" s="209"/>
      <c r="BI20" s="210">
        <f t="shared" si="21"/>
        <v>7.432102994881773E-2</v>
      </c>
      <c r="BJ20" s="211">
        <f>24500+950</f>
        <v>25450</v>
      </c>
      <c r="BK20" s="208">
        <f t="shared" si="22"/>
        <v>3.6707273084479368</v>
      </c>
      <c r="BL20" s="211">
        <v>6903</v>
      </c>
      <c r="BM20" s="208">
        <f t="shared" si="23"/>
        <v>13.533247863247862</v>
      </c>
      <c r="BN20" s="203"/>
      <c r="BO20" s="208" t="e">
        <f t="shared" si="24"/>
        <v>#DIV/0!</v>
      </c>
      <c r="BP20" s="203"/>
      <c r="BQ20" s="208" t="e">
        <f t="shared" si="25"/>
        <v>#DIV/0!</v>
      </c>
      <c r="BR20" s="212">
        <v>93420.01</v>
      </c>
      <c r="BS20" s="220">
        <f t="shared" si="26"/>
        <v>32.00433370560949</v>
      </c>
      <c r="BT20" s="214">
        <f t="shared" si="27"/>
        <v>11653.830000000002</v>
      </c>
      <c r="BU20" s="215">
        <f t="shared" si="28"/>
        <v>3.992432287991011</v>
      </c>
      <c r="BV20" s="171">
        <v>4270</v>
      </c>
      <c r="BW20" s="171">
        <v>6364</v>
      </c>
      <c r="BX20" s="171">
        <v>8244</v>
      </c>
      <c r="BY20" s="171">
        <f>2160+656.16</f>
        <v>2816.16</v>
      </c>
      <c r="BZ20" s="203"/>
      <c r="CA20" s="203"/>
      <c r="CB20" s="171">
        <v>11000</v>
      </c>
      <c r="CC20" s="216">
        <f t="shared" si="29"/>
        <v>1.4628397590939301E-2</v>
      </c>
      <c r="CD20" s="216">
        <f t="shared" si="30"/>
        <v>2.1802136362702038E-2</v>
      </c>
      <c r="CE20" s="216">
        <f t="shared" si="31"/>
        <v>2.8242742327799438E-2</v>
      </c>
      <c r="CF20" s="216">
        <f t="shared" si="32"/>
        <v>9.6477536673769595E-3</v>
      </c>
      <c r="CG20" s="216">
        <f t="shared" si="33"/>
        <v>0</v>
      </c>
      <c r="CH20" s="217">
        <f t="shared" si="35"/>
        <v>1165.3830000000003</v>
      </c>
      <c r="CI20" s="217">
        <f t="shared" si="34"/>
        <v>10488.447000000002</v>
      </c>
      <c r="CJ20" s="218"/>
      <c r="CK20" s="141"/>
    </row>
    <row r="21" spans="1:89" x14ac:dyDescent="0.35">
      <c r="A21" s="193">
        <f>A12+1</f>
        <v>11</v>
      </c>
      <c r="B21" s="219">
        <v>2</v>
      </c>
      <c r="C21" s="195" t="s">
        <v>223</v>
      </c>
      <c r="D21" s="196"/>
      <c r="E21" s="197"/>
      <c r="F21" s="198">
        <v>40</v>
      </c>
      <c r="G21" s="171">
        <f t="shared" si="0"/>
        <v>0</v>
      </c>
      <c r="H21" s="199">
        <v>3407</v>
      </c>
      <c r="I21" s="200">
        <v>50</v>
      </c>
      <c r="J21" s="171">
        <f t="shared" si="1"/>
        <v>170350</v>
      </c>
      <c r="K21" s="197"/>
      <c r="L21" s="198">
        <v>60</v>
      </c>
      <c r="M21" s="171">
        <f t="shared" si="2"/>
        <v>0</v>
      </c>
      <c r="N21" s="199">
        <v>2828</v>
      </c>
      <c r="O21" s="198">
        <v>15</v>
      </c>
      <c r="P21" s="171">
        <f t="shared" si="3"/>
        <v>42420</v>
      </c>
      <c r="Q21" s="199">
        <v>1650</v>
      </c>
      <c r="R21" s="201">
        <v>12</v>
      </c>
      <c r="S21" s="171">
        <f t="shared" si="4"/>
        <v>19800</v>
      </c>
      <c r="T21" s="199">
        <v>311</v>
      </c>
      <c r="U21" s="171">
        <f t="shared" si="5"/>
        <v>2488</v>
      </c>
      <c r="V21" s="199">
        <v>145</v>
      </c>
      <c r="W21" s="198">
        <v>12</v>
      </c>
      <c r="X21" s="171">
        <f t="shared" si="6"/>
        <v>1740</v>
      </c>
      <c r="Y21" s="199">
        <v>344</v>
      </c>
      <c r="Z21" s="198">
        <v>10</v>
      </c>
      <c r="AA21" s="171">
        <f t="shared" si="7"/>
        <v>3440</v>
      </c>
      <c r="AB21" s="199">
        <v>95</v>
      </c>
      <c r="AC21" s="198">
        <v>25</v>
      </c>
      <c r="AD21" s="171">
        <f t="shared" si="8"/>
        <v>2375</v>
      </c>
      <c r="AE21" s="197"/>
      <c r="AF21" s="198">
        <v>7.5</v>
      </c>
      <c r="AG21" s="171">
        <f t="shared" si="9"/>
        <v>0</v>
      </c>
      <c r="AH21" s="197"/>
      <c r="AI21" s="200">
        <v>15</v>
      </c>
      <c r="AJ21" s="171">
        <f t="shared" si="10"/>
        <v>0</v>
      </c>
      <c r="AK21" s="199">
        <v>70</v>
      </c>
      <c r="AL21" s="198">
        <v>10</v>
      </c>
      <c r="AM21" s="171">
        <f t="shared" si="11"/>
        <v>700</v>
      </c>
      <c r="AN21" s="199">
        <f t="shared" si="12"/>
        <v>2615</v>
      </c>
      <c r="AO21" s="197"/>
      <c r="AP21" s="203"/>
      <c r="AQ21" s="197"/>
      <c r="AR21" s="197"/>
      <c r="AS21" s="203"/>
      <c r="AT21" s="197"/>
      <c r="AU21" s="197"/>
      <c r="AV21" s="199">
        <f>496+20+106</f>
        <v>622</v>
      </c>
      <c r="AW21" s="197"/>
      <c r="AX21" s="205">
        <f t="shared" si="13"/>
        <v>0.83005576753742294</v>
      </c>
      <c r="AY21" s="205">
        <f t="shared" si="14"/>
        <v>0.7675374229527443</v>
      </c>
      <c r="AZ21" s="204">
        <f t="shared" si="15"/>
        <v>0.21994342291371993</v>
      </c>
      <c r="BA21" s="171">
        <f t="shared" si="16"/>
        <v>200193</v>
      </c>
      <c r="BB21" s="171">
        <f t="shared" si="17"/>
        <v>192525</v>
      </c>
      <c r="BC21" s="171">
        <f t="shared" si="18"/>
        <v>200193</v>
      </c>
      <c r="BD21" s="171">
        <f t="shared" si="19"/>
        <v>200193</v>
      </c>
      <c r="BE21" s="206">
        <v>257915</v>
      </c>
      <c r="BF21" s="207">
        <v>168832.13</v>
      </c>
      <c r="BG21" s="208">
        <f t="shared" si="20"/>
        <v>65.460376480623466</v>
      </c>
      <c r="BH21" s="209"/>
      <c r="BI21" s="210">
        <f t="shared" si="21"/>
        <v>9.6611286664211066E-2</v>
      </c>
      <c r="BJ21" s="211">
        <f>23050</f>
        <v>23050</v>
      </c>
      <c r="BK21" s="208">
        <f t="shared" si="22"/>
        <v>3.6696737527114967</v>
      </c>
      <c r="BL21" s="211">
        <v>3060.5</v>
      </c>
      <c r="BM21" s="208">
        <f t="shared" si="23"/>
        <v>27.637961117464464</v>
      </c>
      <c r="BN21" s="203"/>
      <c r="BO21" s="208" t="e">
        <f t="shared" si="24"/>
        <v>#DIV/0!</v>
      </c>
      <c r="BP21" s="203"/>
      <c r="BQ21" s="208" t="e">
        <f t="shared" si="25"/>
        <v>#DIV/0!</v>
      </c>
      <c r="BR21" s="212">
        <v>84585.98</v>
      </c>
      <c r="BS21" s="220">
        <f t="shared" si="26"/>
        <v>32.796068472171065</v>
      </c>
      <c r="BT21" s="214">
        <f t="shared" si="27"/>
        <v>4496.8899999999994</v>
      </c>
      <c r="BU21" s="215">
        <f t="shared" si="28"/>
        <v>1.7435550472054744</v>
      </c>
      <c r="BV21" s="171">
        <v>9673.5</v>
      </c>
      <c r="BW21" s="171">
        <v>6364</v>
      </c>
      <c r="BX21" s="171">
        <v>6870</v>
      </c>
      <c r="BY21" s="171">
        <f>1890+120</f>
        <v>2010</v>
      </c>
      <c r="BZ21" s="203"/>
      <c r="CA21" s="203"/>
      <c r="CB21" s="171">
        <v>20000</v>
      </c>
      <c r="CC21" s="221">
        <f t="shared" si="29"/>
        <v>3.7506542853265608E-2</v>
      </c>
      <c r="CD21" s="216">
        <f t="shared" si="30"/>
        <v>2.4674795959909273E-2</v>
      </c>
      <c r="CE21" s="216">
        <f t="shared" si="31"/>
        <v>2.6636682627997597E-2</v>
      </c>
      <c r="CF21" s="216">
        <f t="shared" si="32"/>
        <v>7.7932652230385977E-3</v>
      </c>
      <c r="CG21" s="216">
        <f t="shared" si="33"/>
        <v>0</v>
      </c>
      <c r="CH21" s="217">
        <f t="shared" si="35"/>
        <v>449.68899999999996</v>
      </c>
      <c r="CI21" s="217">
        <f t="shared" si="34"/>
        <v>4047.2009999999996</v>
      </c>
      <c r="CJ21" s="218"/>
      <c r="CK21" s="141"/>
    </row>
    <row r="22" spans="1:89" x14ac:dyDescent="0.35">
      <c r="A22" s="193">
        <f>A9+1</f>
        <v>9</v>
      </c>
      <c r="B22" s="194">
        <v>2</v>
      </c>
      <c r="C22" s="195" t="s">
        <v>218</v>
      </c>
      <c r="D22" s="196"/>
      <c r="E22" s="197"/>
      <c r="F22" s="198">
        <v>40</v>
      </c>
      <c r="G22" s="171">
        <f t="shared" si="0"/>
        <v>0</v>
      </c>
      <c r="H22" s="199">
        <v>3144</v>
      </c>
      <c r="I22" s="200">
        <v>50</v>
      </c>
      <c r="J22" s="171">
        <f t="shared" si="1"/>
        <v>157200</v>
      </c>
      <c r="K22" s="197"/>
      <c r="L22" s="198">
        <v>60</v>
      </c>
      <c r="M22" s="171">
        <f t="shared" si="2"/>
        <v>0</v>
      </c>
      <c r="N22" s="199">
        <v>1564</v>
      </c>
      <c r="O22" s="198">
        <v>15</v>
      </c>
      <c r="P22" s="171">
        <f t="shared" si="3"/>
        <v>23460</v>
      </c>
      <c r="Q22" s="199">
        <v>926</v>
      </c>
      <c r="R22" s="201">
        <v>12</v>
      </c>
      <c r="S22" s="171">
        <f t="shared" si="4"/>
        <v>11112</v>
      </c>
      <c r="T22" s="199">
        <v>648</v>
      </c>
      <c r="U22" s="171">
        <f t="shared" si="5"/>
        <v>5184</v>
      </c>
      <c r="V22" s="199">
        <v>522</v>
      </c>
      <c r="W22" s="198">
        <v>12</v>
      </c>
      <c r="X22" s="171">
        <f t="shared" si="6"/>
        <v>6264</v>
      </c>
      <c r="Y22" s="199">
        <v>540</v>
      </c>
      <c r="Z22" s="198">
        <v>10</v>
      </c>
      <c r="AA22" s="171">
        <f t="shared" si="7"/>
        <v>5400</v>
      </c>
      <c r="AB22" s="199">
        <v>260</v>
      </c>
      <c r="AC22" s="198">
        <v>25</v>
      </c>
      <c r="AD22" s="171">
        <f t="shared" si="8"/>
        <v>6500</v>
      </c>
      <c r="AE22" s="197"/>
      <c r="AF22" s="198">
        <v>7.5</v>
      </c>
      <c r="AG22" s="171">
        <f t="shared" si="9"/>
        <v>0</v>
      </c>
      <c r="AH22" s="197"/>
      <c r="AI22" s="200">
        <v>15</v>
      </c>
      <c r="AJ22" s="171">
        <f t="shared" si="10"/>
        <v>0</v>
      </c>
      <c r="AK22" s="197"/>
      <c r="AL22" s="198">
        <v>10</v>
      </c>
      <c r="AM22" s="171">
        <f t="shared" si="11"/>
        <v>0</v>
      </c>
      <c r="AN22" s="199">
        <f t="shared" si="12"/>
        <v>2896</v>
      </c>
      <c r="AO22" s="197"/>
      <c r="AP22" s="203"/>
      <c r="AQ22" s="197"/>
      <c r="AR22" s="197"/>
      <c r="AS22" s="203"/>
      <c r="AT22" s="197"/>
      <c r="AU22" s="197"/>
      <c r="AV22" s="199">
        <f>507+164+116+92</f>
        <v>879</v>
      </c>
      <c r="AW22" s="197"/>
      <c r="AX22" s="204">
        <f t="shared" si="13"/>
        <v>0.49745547073791346</v>
      </c>
      <c r="AY22" s="205">
        <f t="shared" si="14"/>
        <v>0.92111959287531808</v>
      </c>
      <c r="AZ22" s="205">
        <f t="shared" si="15"/>
        <v>0.56202046035805631</v>
      </c>
      <c r="BA22" s="171">
        <f t="shared" si="16"/>
        <v>191660</v>
      </c>
      <c r="BB22" s="171">
        <f t="shared" si="17"/>
        <v>174812</v>
      </c>
      <c r="BC22" s="171">
        <f t="shared" si="18"/>
        <v>191660</v>
      </c>
      <c r="BD22" s="171">
        <f t="shared" si="19"/>
        <v>191660</v>
      </c>
      <c r="BE22" s="206">
        <v>235347</v>
      </c>
      <c r="BF22" s="207">
        <v>150480.22</v>
      </c>
      <c r="BG22" s="208">
        <f t="shared" si="20"/>
        <v>63.939723047245138</v>
      </c>
      <c r="BH22" s="209"/>
      <c r="BI22" s="210">
        <f t="shared" si="21"/>
        <v>7.6326445631344358E-2</v>
      </c>
      <c r="BJ22" s="211">
        <f>20000+1200</f>
        <v>21200</v>
      </c>
      <c r="BK22" s="208">
        <f t="shared" si="22"/>
        <v>4.3493801886792456</v>
      </c>
      <c r="BL22" s="211">
        <v>2987</v>
      </c>
      <c r="BM22" s="208">
        <f t="shared" si="23"/>
        <v>30.869387345162369</v>
      </c>
      <c r="BN22" s="203"/>
      <c r="BO22" s="208" t="e">
        <f t="shared" si="24"/>
        <v>#DIV/0!</v>
      </c>
      <c r="BP22" s="203"/>
      <c r="BQ22" s="208" t="e">
        <f t="shared" si="25"/>
        <v>#DIV/0!</v>
      </c>
      <c r="BR22" s="212">
        <v>92206.86</v>
      </c>
      <c r="BS22" s="220">
        <f t="shared" si="26"/>
        <v>39.179109995028618</v>
      </c>
      <c r="BT22" s="244">
        <f t="shared" si="27"/>
        <v>-7340.0800000000017</v>
      </c>
      <c r="BU22" s="245">
        <f t="shared" si="28"/>
        <v>-3.1188330422737498</v>
      </c>
      <c r="BV22" s="171">
        <v>4080</v>
      </c>
      <c r="BW22" s="171">
        <v>6364</v>
      </c>
      <c r="BX22" s="171">
        <v>5496</v>
      </c>
      <c r="BY22" s="171">
        <f>1620+403.2</f>
        <v>2023.2</v>
      </c>
      <c r="BZ22" s="203"/>
      <c r="CA22" s="203"/>
      <c r="CB22" s="171">
        <v>12000</v>
      </c>
      <c r="CC22" s="216">
        <f t="shared" si="29"/>
        <v>1.7336103710691022E-2</v>
      </c>
      <c r="CD22" s="216">
        <f t="shared" si="30"/>
        <v>2.7040922552656291E-2</v>
      </c>
      <c r="CE22" s="216">
        <f t="shared" si="31"/>
        <v>2.3352751469107317E-2</v>
      </c>
      <c r="CF22" s="216">
        <f t="shared" si="32"/>
        <v>8.5966678988897254E-3</v>
      </c>
      <c r="CG22" s="216">
        <f t="shared" si="33"/>
        <v>0</v>
      </c>
      <c r="CH22" s="246">
        <f t="shared" si="35"/>
        <v>-734.00800000000027</v>
      </c>
      <c r="CI22" s="246">
        <f t="shared" si="34"/>
        <v>-6606.0720000000019</v>
      </c>
      <c r="CJ22" s="218"/>
      <c r="CK22" s="141"/>
    </row>
  </sheetData>
  <mergeCells count="63">
    <mergeCell ref="BF6:BF7"/>
    <mergeCell ref="BA6:BA7"/>
    <mergeCell ref="BB6:BB7"/>
    <mergeCell ref="BC6:BC7"/>
    <mergeCell ref="BD6:BD7"/>
    <mergeCell ref="BE6:BE7"/>
    <mergeCell ref="AU6:AU7"/>
    <mergeCell ref="AV6:AV7"/>
    <mergeCell ref="AX6:AX7"/>
    <mergeCell ref="AY6:AY7"/>
    <mergeCell ref="AZ6:AZ7"/>
    <mergeCell ref="AB6:AD6"/>
    <mergeCell ref="AE6:AG6"/>
    <mergeCell ref="AH6:AJ6"/>
    <mergeCell ref="AK6:AM6"/>
    <mergeCell ref="AN6:AN7"/>
    <mergeCell ref="W5:X5"/>
    <mergeCell ref="Z5:AA5"/>
    <mergeCell ref="A6:A7"/>
    <mergeCell ref="B6:B7"/>
    <mergeCell ref="C6:C7"/>
    <mergeCell ref="D6:D7"/>
    <mergeCell ref="E6:G6"/>
    <mergeCell ref="H6:J6"/>
    <mergeCell ref="K6:M6"/>
    <mergeCell ref="N6:P6"/>
    <mergeCell ref="Q6:S6"/>
    <mergeCell ref="T6:U6"/>
    <mergeCell ref="V6:X6"/>
    <mergeCell ref="Y6:AA6"/>
    <mergeCell ref="F5:G5"/>
    <mergeCell ref="I5:J5"/>
    <mergeCell ref="L5:M5"/>
    <mergeCell ref="O5:P5"/>
    <mergeCell ref="R5:S5"/>
    <mergeCell ref="BG5:BP5"/>
    <mergeCell ref="BS5:BU5"/>
    <mergeCell ref="CC5:CH5"/>
    <mergeCell ref="AC5:AD5"/>
    <mergeCell ref="AF5:AG5"/>
    <mergeCell ref="AI5:AJ5"/>
    <mergeCell ref="AL5:AN5"/>
    <mergeCell ref="AP5:AQ5"/>
    <mergeCell ref="AS5:AT5"/>
    <mergeCell ref="AX5:BD5"/>
    <mergeCell ref="CH6:CH7"/>
    <mergeCell ref="CI6:CI7"/>
    <mergeCell ref="BP6:BP7"/>
    <mergeCell ref="BQ6:BQ7"/>
    <mergeCell ref="BR6:BR7"/>
    <mergeCell ref="BS6:BS7"/>
    <mergeCell ref="BT6:BT7"/>
    <mergeCell ref="BU6:BU7"/>
    <mergeCell ref="BV6:CG6"/>
    <mergeCell ref="BN6:BN7"/>
    <mergeCell ref="BO6:BO7"/>
    <mergeCell ref="BG6:BG7"/>
    <mergeCell ref="BH6:BH7"/>
    <mergeCell ref="BI6:BI7"/>
    <mergeCell ref="BJ6:BJ7"/>
    <mergeCell ref="BK6:BK7"/>
    <mergeCell ref="BL6:BL7"/>
    <mergeCell ref="BM6:BM7"/>
  </mergeCells>
  <pageMargins left="0.25" right="0.25" top="0.75" bottom="0.75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K39"/>
  <sheetViews>
    <sheetView workbookViewId="0"/>
  </sheetViews>
  <sheetFormatPr defaultColWidth="14.453125" defaultRowHeight="15" customHeight="1" x14ac:dyDescent="0.35"/>
  <sheetData>
    <row r="1" spans="1:88" ht="18.75" customHeight="1" x14ac:dyDescent="0.35">
      <c r="A1" s="50" t="e">
        <f>#REF!+1</f>
        <v>#REF!</v>
      </c>
      <c r="B1" s="58">
        <v>9</v>
      </c>
      <c r="C1" s="52" t="s">
        <v>98</v>
      </c>
      <c r="D1" s="52"/>
      <c r="E1" s="53"/>
      <c r="F1" s="54">
        <v>40</v>
      </c>
      <c r="G1" s="55">
        <f t="shared" ref="G1:G38" si="0">SUM(E1*F1)</f>
        <v>0</v>
      </c>
      <c r="H1" s="53">
        <v>24179</v>
      </c>
      <c r="I1" s="56">
        <v>50</v>
      </c>
      <c r="J1" s="55">
        <f t="shared" ref="J1:J39" si="1">I1*H1</f>
        <v>1208950</v>
      </c>
      <c r="K1" s="53"/>
      <c r="L1" s="57">
        <v>60</v>
      </c>
      <c r="M1" s="55">
        <f t="shared" ref="M1:M39" si="2">L1*K1</f>
        <v>0</v>
      </c>
      <c r="N1" s="53">
        <v>23325</v>
      </c>
      <c r="O1" s="57">
        <v>15</v>
      </c>
      <c r="P1" s="55">
        <f t="shared" ref="P1:P39" si="3">N1*O1</f>
        <v>349875</v>
      </c>
      <c r="Q1" s="53"/>
      <c r="R1" s="59">
        <v>12</v>
      </c>
      <c r="S1" s="55">
        <f t="shared" ref="S1:S39" si="4">Q1*R1</f>
        <v>0</v>
      </c>
      <c r="T1" s="53">
        <v>3391</v>
      </c>
      <c r="U1" s="55">
        <f t="shared" ref="U1:U39" si="5">T1*8</f>
        <v>27128</v>
      </c>
      <c r="V1" s="53">
        <v>835</v>
      </c>
      <c r="W1" s="57">
        <v>12</v>
      </c>
      <c r="X1" s="55">
        <f t="shared" ref="X1:X39" si="6">V1*W1</f>
        <v>10020</v>
      </c>
      <c r="Y1" s="53">
        <v>2661</v>
      </c>
      <c r="Z1" s="57">
        <v>10</v>
      </c>
      <c r="AA1" s="55">
        <f t="shared" ref="AA1:AA39" si="7">Y1*Z1</f>
        <v>26610</v>
      </c>
      <c r="AB1" s="53">
        <v>1370</v>
      </c>
      <c r="AC1" s="57">
        <v>25</v>
      </c>
      <c r="AD1" s="55">
        <f t="shared" ref="AD1:AD39" si="8">AB1*AC1</f>
        <v>34250</v>
      </c>
      <c r="AE1" s="53">
        <v>180</v>
      </c>
      <c r="AF1" s="57">
        <v>7.5</v>
      </c>
      <c r="AG1" s="55">
        <f t="shared" ref="AG1:AG39" si="9">AE1*AF1</f>
        <v>1350</v>
      </c>
      <c r="AH1" s="53"/>
      <c r="AI1" s="56">
        <v>15</v>
      </c>
      <c r="AJ1" s="55">
        <f t="shared" ref="AJ1:AJ39" si="10">AH1*AI1</f>
        <v>0</v>
      </c>
      <c r="AK1" s="53">
        <v>915</v>
      </c>
      <c r="AL1" s="57">
        <v>10</v>
      </c>
      <c r="AM1" s="55">
        <f t="shared" ref="AM1:AM39" si="11">AK1*AL1</f>
        <v>9150</v>
      </c>
      <c r="AN1" s="53">
        <f t="shared" ref="AN1:AN39" si="12">Q1+T1+V1+Y1+AB1+AE1+AK1</f>
        <v>9352</v>
      </c>
      <c r="AO1" s="53"/>
      <c r="AP1" s="61"/>
      <c r="AQ1" s="53"/>
      <c r="AR1" s="53"/>
      <c r="AS1" s="55"/>
      <c r="AT1" s="53"/>
      <c r="AU1" s="53"/>
      <c r="AV1" s="66">
        <f>1879+3959+1336+1356+1054+675</f>
        <v>10259</v>
      </c>
      <c r="AW1" s="53"/>
      <c r="AX1" s="68">
        <f t="shared" ref="AX1:AX39" si="13">N1/(H1+E1+K1)</f>
        <v>0.96468009429670376</v>
      </c>
      <c r="AY1" s="68">
        <f t="shared" ref="AY1:AY39" si="14">AN1/(H1+E1+K1)</f>
        <v>0.38678191819347368</v>
      </c>
      <c r="AZ1" s="68">
        <f t="shared" ref="AZ1:AZ39" si="15">AV1/N1</f>
        <v>0.43982851018220792</v>
      </c>
      <c r="BA1" s="55">
        <f t="shared" ref="BA1:BA39" si="16">G1+U1+X1+AA1+AD1+S1+J1+M1</f>
        <v>1306958</v>
      </c>
      <c r="BB1" s="55">
        <f t="shared" ref="BB1:BB39" si="17">G1+AD1+S1+J1+M1</f>
        <v>1243200</v>
      </c>
      <c r="BC1" s="55">
        <f t="shared" ref="BC1:BC39" si="18">G1+U1+X1+AA1+AD1+S1+J1+M1</f>
        <v>1306958</v>
      </c>
      <c r="BD1" s="55">
        <f t="shared" ref="BD1:BD39" si="19">G1+U1+X1+AA1+AD1+AG1+S1+J1+M1</f>
        <v>1308308</v>
      </c>
      <c r="BE1" s="62">
        <v>1864053</v>
      </c>
      <c r="BF1" s="63">
        <v>1247850.55</v>
      </c>
      <c r="BG1" s="69">
        <f t="shared" ref="BG1:BG39" si="20">+BF1/BE1%</f>
        <v>66.942868577234663</v>
      </c>
      <c r="BH1" s="70">
        <f t="shared" ref="BH1:BH38" si="21">SUM(BW1+BX1+BY1+BZ1)</f>
        <v>109988.75</v>
      </c>
      <c r="BI1" s="71">
        <f t="shared" ref="BI1:BI38" si="22">SUM(CD1+CE1+CF1+CG1)</f>
        <v>5.9005162406862897E-2</v>
      </c>
      <c r="BJ1" s="72">
        <f t="shared" ref="BJ1:BJ8" si="23">B1</f>
        <v>9</v>
      </c>
      <c r="BK1" s="61">
        <f t="shared" ref="BK1:BK38" si="24">CA1</f>
        <v>125325</v>
      </c>
      <c r="BL1" s="69">
        <f t="shared" ref="BL1:BL38" si="25">+BS1/BK1</f>
        <v>3.2458581288649508</v>
      </c>
      <c r="BM1" s="73">
        <f t="shared" ref="BM1:BM38" si="26">CB1</f>
        <v>300</v>
      </c>
      <c r="BN1" s="69">
        <f t="shared" ref="BN1:BN38" si="27">+BS1/BM1</f>
        <v>1355.9572333333333</v>
      </c>
      <c r="BO1" s="61">
        <f t="shared" ref="BO1:BO38" si="28">CC1</f>
        <v>69457.5</v>
      </c>
      <c r="BP1" s="69">
        <f t="shared" ref="BP1:BP38" si="29">+BS1/BO1</f>
        <v>5.8566342007702552</v>
      </c>
      <c r="BQ1" s="64">
        <f t="shared" ref="BQ1:BQ38" si="30">BS1-BK1-BM1-BO1-BW1-BX1-BY1-BZ1</f>
        <v>101715.91999999998</v>
      </c>
      <c r="BR1" s="69">
        <f t="shared" ref="BR1:BR38" si="31">+BS1/BQ1</f>
        <v>3.9992478070296178</v>
      </c>
      <c r="BS1" s="65">
        <v>406787.17</v>
      </c>
      <c r="BT1" s="74">
        <f t="shared" ref="BT1:BT39" si="32">+BS1/BE1%</f>
        <v>21.822725534091575</v>
      </c>
      <c r="BU1" s="75">
        <f t="shared" ref="BU1:BU39" si="33">SUM(BE1-BF1-BS1)</f>
        <v>209415.27999999997</v>
      </c>
      <c r="BV1" s="69">
        <f t="shared" ref="BV1:BV39" si="34">+BU1/BE1%</f>
        <v>11.234405888673765</v>
      </c>
      <c r="BW1" s="55">
        <v>42654.5</v>
      </c>
      <c r="BX1" s="55">
        <v>23865</v>
      </c>
      <c r="BY1" s="55">
        <v>34350</v>
      </c>
      <c r="BZ1" s="55">
        <f>7560+1559.25</f>
        <v>9119.25</v>
      </c>
      <c r="CA1" s="64">
        <v>125325</v>
      </c>
      <c r="CB1" s="64">
        <v>300</v>
      </c>
      <c r="CC1" s="64">
        <v>69457.5</v>
      </c>
      <c r="CD1" s="76">
        <f t="shared" ref="CD1:CD39" si="35">BW1/BE1</f>
        <v>2.2882664816933854E-2</v>
      </c>
      <c r="CE1" s="76">
        <f t="shared" ref="CE1:CE39" si="36">BX1/BE1</f>
        <v>1.2802747561362257E-2</v>
      </c>
      <c r="CF1" s="76">
        <f t="shared" ref="CF1:CF39" si="37">BY1/BE1</f>
        <v>1.8427587627605008E-2</v>
      </c>
      <c r="CG1" s="76">
        <f t="shared" ref="CG1:CG39" si="38">BZ1/BE1</f>
        <v>4.8921624009617753E-3</v>
      </c>
      <c r="CH1" s="76">
        <f t="shared" ref="CH1:CH39" si="39">CA1/BE1</f>
        <v>6.7232530405519589E-2</v>
      </c>
      <c r="CI1" s="63">
        <f t="shared" ref="CI1:CI39" si="40">+BU1*20%</f>
        <v>41883.055999999997</v>
      </c>
      <c r="CJ1" s="77">
        <f t="shared" ref="CJ1:CJ39" si="41">BU1*90%</f>
        <v>188473.75199999998</v>
      </c>
    </row>
    <row r="2" spans="1:88" ht="18.75" customHeight="1" x14ac:dyDescent="0.35">
      <c r="A2" s="50" t="e">
        <f t="shared" ref="A2:A22" si="42">A1+1</f>
        <v>#REF!</v>
      </c>
      <c r="B2" s="58">
        <v>9</v>
      </c>
      <c r="C2" s="52" t="s">
        <v>104</v>
      </c>
      <c r="D2" s="52"/>
      <c r="E2" s="53"/>
      <c r="F2" s="54">
        <v>40</v>
      </c>
      <c r="G2" s="55">
        <f t="shared" si="0"/>
        <v>0</v>
      </c>
      <c r="H2" s="53">
        <v>23927</v>
      </c>
      <c r="I2" s="56">
        <v>50</v>
      </c>
      <c r="J2" s="55">
        <f t="shared" si="1"/>
        <v>1196350</v>
      </c>
      <c r="K2" s="53"/>
      <c r="L2" s="57">
        <v>60</v>
      </c>
      <c r="M2" s="55">
        <f t="shared" si="2"/>
        <v>0</v>
      </c>
      <c r="N2" s="53">
        <v>22598</v>
      </c>
      <c r="O2" s="57">
        <v>15</v>
      </c>
      <c r="P2" s="55">
        <f t="shared" si="3"/>
        <v>338970</v>
      </c>
      <c r="Q2" s="53"/>
      <c r="R2" s="59">
        <v>12</v>
      </c>
      <c r="S2" s="55">
        <f t="shared" si="4"/>
        <v>0</v>
      </c>
      <c r="T2" s="53">
        <v>3100</v>
      </c>
      <c r="U2" s="55">
        <f t="shared" si="5"/>
        <v>24800</v>
      </c>
      <c r="V2" s="53">
        <v>1263</v>
      </c>
      <c r="W2" s="57">
        <v>12</v>
      </c>
      <c r="X2" s="55">
        <f t="shared" si="6"/>
        <v>15156</v>
      </c>
      <c r="Y2" s="53">
        <v>3101</v>
      </c>
      <c r="Z2" s="57">
        <v>10</v>
      </c>
      <c r="AA2" s="55">
        <f t="shared" si="7"/>
        <v>31010</v>
      </c>
      <c r="AB2" s="53">
        <v>690</v>
      </c>
      <c r="AC2" s="57">
        <v>25</v>
      </c>
      <c r="AD2" s="55">
        <f t="shared" si="8"/>
        <v>17250</v>
      </c>
      <c r="AE2" s="53">
        <v>228</v>
      </c>
      <c r="AF2" s="57">
        <v>7.5</v>
      </c>
      <c r="AG2" s="55">
        <f t="shared" si="9"/>
        <v>1710</v>
      </c>
      <c r="AH2" s="53"/>
      <c r="AI2" s="56">
        <v>15</v>
      </c>
      <c r="AJ2" s="55">
        <f t="shared" si="10"/>
        <v>0</v>
      </c>
      <c r="AK2" s="53">
        <v>720</v>
      </c>
      <c r="AL2" s="57">
        <v>10</v>
      </c>
      <c r="AM2" s="55">
        <f t="shared" si="11"/>
        <v>7200</v>
      </c>
      <c r="AN2" s="53">
        <f t="shared" si="12"/>
        <v>9102</v>
      </c>
      <c r="AO2" s="53"/>
      <c r="AP2" s="61"/>
      <c r="AQ2" s="53"/>
      <c r="AR2" s="53"/>
      <c r="AS2" s="55"/>
      <c r="AT2" s="53"/>
      <c r="AU2" s="53"/>
      <c r="AV2" s="66">
        <f>1009+2307+991+987+1145+450+194</f>
        <v>7083</v>
      </c>
      <c r="AW2" s="53"/>
      <c r="AX2" s="68">
        <f t="shared" si="13"/>
        <v>0.94445605383040077</v>
      </c>
      <c r="AY2" s="68">
        <f t="shared" si="14"/>
        <v>0.38040707150917374</v>
      </c>
      <c r="AZ2" s="68">
        <f t="shared" si="15"/>
        <v>0.31343481724046374</v>
      </c>
      <c r="BA2" s="55">
        <f t="shared" si="16"/>
        <v>1284566</v>
      </c>
      <c r="BB2" s="55">
        <f t="shared" si="17"/>
        <v>1213600</v>
      </c>
      <c r="BC2" s="55">
        <f t="shared" si="18"/>
        <v>1284566</v>
      </c>
      <c r="BD2" s="55">
        <f t="shared" si="19"/>
        <v>1286276</v>
      </c>
      <c r="BE2" s="62">
        <v>1765291</v>
      </c>
      <c r="BF2" s="63">
        <v>1184741.48</v>
      </c>
      <c r="BG2" s="69">
        <f t="shared" si="20"/>
        <v>67.113098067117548</v>
      </c>
      <c r="BH2" s="70">
        <f t="shared" si="21"/>
        <v>106962</v>
      </c>
      <c r="BI2" s="71">
        <f t="shared" si="22"/>
        <v>6.0591709808751074E-2</v>
      </c>
      <c r="BJ2" s="72">
        <f t="shared" si="23"/>
        <v>9</v>
      </c>
      <c r="BK2" s="61">
        <f t="shared" si="24"/>
        <v>119175</v>
      </c>
      <c r="BL2" s="69">
        <f t="shared" si="25"/>
        <v>2.9945032934759808</v>
      </c>
      <c r="BM2" s="73">
        <f t="shared" si="26"/>
        <v>0</v>
      </c>
      <c r="BN2" s="69" t="e">
        <f t="shared" si="27"/>
        <v>#DIV/0!</v>
      </c>
      <c r="BO2" s="61">
        <f t="shared" si="28"/>
        <v>35280</v>
      </c>
      <c r="BP2" s="69">
        <f t="shared" si="29"/>
        <v>10.115360827664398</v>
      </c>
      <c r="BQ2" s="64">
        <f t="shared" si="30"/>
        <v>95452.93</v>
      </c>
      <c r="BR2" s="69">
        <f t="shared" si="31"/>
        <v>3.7387006349621745</v>
      </c>
      <c r="BS2" s="65">
        <v>356869.93</v>
      </c>
      <c r="BT2" s="74">
        <f t="shared" si="32"/>
        <v>20.215926439323603</v>
      </c>
      <c r="BU2" s="75">
        <f t="shared" si="33"/>
        <v>223679.59000000003</v>
      </c>
      <c r="BV2" s="69">
        <f t="shared" si="34"/>
        <v>12.670975493558855</v>
      </c>
      <c r="BW2" s="55">
        <v>42619</v>
      </c>
      <c r="BX2" s="55">
        <v>23865</v>
      </c>
      <c r="BY2" s="55">
        <v>32918</v>
      </c>
      <c r="BZ2" s="55">
        <f>7560</f>
        <v>7560</v>
      </c>
      <c r="CA2" s="64">
        <v>119175</v>
      </c>
      <c r="CB2" s="64"/>
      <c r="CC2" s="64">
        <v>35280</v>
      </c>
      <c r="CD2" s="76">
        <f t="shared" si="35"/>
        <v>2.4142761731635182E-2</v>
      </c>
      <c r="CE2" s="76">
        <f t="shared" si="36"/>
        <v>1.351901754441619E-2</v>
      </c>
      <c r="CF2" s="76">
        <f t="shared" si="37"/>
        <v>1.8647350493488042E-2</v>
      </c>
      <c r="CG2" s="76">
        <f t="shared" si="38"/>
        <v>4.2825800392116654E-3</v>
      </c>
      <c r="CH2" s="76">
        <f t="shared" si="39"/>
        <v>6.7510115895906109E-2</v>
      </c>
      <c r="CI2" s="63">
        <f t="shared" si="40"/>
        <v>44735.918000000005</v>
      </c>
      <c r="CJ2" s="77">
        <f t="shared" si="41"/>
        <v>201311.63100000002</v>
      </c>
    </row>
    <row r="3" spans="1:88" ht="18.75" customHeight="1" x14ac:dyDescent="0.35">
      <c r="A3" s="50" t="e">
        <f t="shared" si="42"/>
        <v>#REF!</v>
      </c>
      <c r="B3" s="58">
        <v>7</v>
      </c>
      <c r="C3" s="52" t="s">
        <v>103</v>
      </c>
      <c r="D3" s="52"/>
      <c r="E3" s="53"/>
      <c r="F3" s="54">
        <v>40</v>
      </c>
      <c r="G3" s="55">
        <f t="shared" si="0"/>
        <v>0</v>
      </c>
      <c r="H3" s="53">
        <v>26211</v>
      </c>
      <c r="I3" s="56">
        <v>50</v>
      </c>
      <c r="J3" s="55">
        <f t="shared" si="1"/>
        <v>1310550</v>
      </c>
      <c r="K3" s="53"/>
      <c r="L3" s="57">
        <v>60</v>
      </c>
      <c r="M3" s="55">
        <f t="shared" si="2"/>
        <v>0</v>
      </c>
      <c r="N3" s="53">
        <v>8084</v>
      </c>
      <c r="O3" s="57">
        <v>15</v>
      </c>
      <c r="P3" s="55">
        <f t="shared" si="3"/>
        <v>121260</v>
      </c>
      <c r="Q3" s="53">
        <v>1230</v>
      </c>
      <c r="R3" s="59">
        <v>12</v>
      </c>
      <c r="S3" s="55">
        <f t="shared" si="4"/>
        <v>14760</v>
      </c>
      <c r="T3" s="53">
        <v>1190</v>
      </c>
      <c r="U3" s="55">
        <f t="shared" si="5"/>
        <v>9520</v>
      </c>
      <c r="V3" s="53">
        <v>808</v>
      </c>
      <c r="W3" s="57">
        <v>12</v>
      </c>
      <c r="X3" s="55">
        <f t="shared" si="6"/>
        <v>9696</v>
      </c>
      <c r="Y3" s="53">
        <v>992</v>
      </c>
      <c r="Z3" s="57">
        <v>10</v>
      </c>
      <c r="AA3" s="55">
        <f t="shared" si="7"/>
        <v>9920</v>
      </c>
      <c r="AB3" s="53">
        <v>510</v>
      </c>
      <c r="AC3" s="57">
        <v>25</v>
      </c>
      <c r="AD3" s="55">
        <f t="shared" si="8"/>
        <v>12750</v>
      </c>
      <c r="AE3" s="53">
        <v>198</v>
      </c>
      <c r="AF3" s="57">
        <v>7.5</v>
      </c>
      <c r="AG3" s="55">
        <f t="shared" si="9"/>
        <v>1485</v>
      </c>
      <c r="AH3" s="53"/>
      <c r="AI3" s="56">
        <v>15</v>
      </c>
      <c r="AJ3" s="55">
        <f t="shared" si="10"/>
        <v>0</v>
      </c>
      <c r="AK3" s="53">
        <v>434</v>
      </c>
      <c r="AL3" s="57">
        <v>10</v>
      </c>
      <c r="AM3" s="55">
        <f t="shared" si="11"/>
        <v>4340</v>
      </c>
      <c r="AN3" s="53">
        <f t="shared" si="12"/>
        <v>5362</v>
      </c>
      <c r="AO3" s="53"/>
      <c r="AP3" s="61"/>
      <c r="AQ3" s="53"/>
      <c r="AR3" s="53"/>
      <c r="AS3" s="55"/>
      <c r="AT3" s="53"/>
      <c r="AU3" s="53"/>
      <c r="AV3" s="66">
        <v>4682</v>
      </c>
      <c r="AW3" s="53"/>
      <c r="AX3" s="68">
        <f t="shared" si="13"/>
        <v>0.3084201289534928</v>
      </c>
      <c r="AY3" s="68">
        <f t="shared" si="14"/>
        <v>0.20457060012971653</v>
      </c>
      <c r="AZ3" s="68">
        <f t="shared" si="15"/>
        <v>0.57916872835230082</v>
      </c>
      <c r="BA3" s="55">
        <f t="shared" si="16"/>
        <v>1367196</v>
      </c>
      <c r="BB3" s="55">
        <f t="shared" si="17"/>
        <v>1338060</v>
      </c>
      <c r="BC3" s="55">
        <f t="shared" si="18"/>
        <v>1367196</v>
      </c>
      <c r="BD3" s="55">
        <f t="shared" si="19"/>
        <v>1368681</v>
      </c>
      <c r="BE3" s="62">
        <v>1585747</v>
      </c>
      <c r="BF3" s="63">
        <v>1055267.5</v>
      </c>
      <c r="BG3" s="69">
        <f t="shared" si="20"/>
        <v>66.547027993746795</v>
      </c>
      <c r="BH3" s="70">
        <f t="shared" si="21"/>
        <v>120657</v>
      </c>
      <c r="BI3" s="71">
        <f t="shared" si="22"/>
        <v>7.6088430247700289E-2</v>
      </c>
      <c r="BJ3" s="72">
        <f t="shared" si="23"/>
        <v>7</v>
      </c>
      <c r="BK3" s="61">
        <f t="shared" si="24"/>
        <v>114937.5</v>
      </c>
      <c r="BL3" s="69">
        <f t="shared" si="25"/>
        <v>3.0304767373572594</v>
      </c>
      <c r="BM3" s="73">
        <f t="shared" si="26"/>
        <v>0</v>
      </c>
      <c r="BN3" s="69" t="e">
        <f t="shared" si="27"/>
        <v>#DIV/0!</v>
      </c>
      <c r="BO3" s="61">
        <f t="shared" si="28"/>
        <v>20000</v>
      </c>
      <c r="BP3" s="69">
        <f t="shared" si="29"/>
        <v>17.415770999999999</v>
      </c>
      <c r="BQ3" s="64">
        <f t="shared" si="30"/>
        <v>92720.919999999984</v>
      </c>
      <c r="BR3" s="69">
        <f t="shared" si="31"/>
        <v>3.756600128644108</v>
      </c>
      <c r="BS3" s="65">
        <v>348315.42</v>
      </c>
      <c r="BT3" s="74">
        <f t="shared" si="32"/>
        <v>21.965384137570496</v>
      </c>
      <c r="BU3" s="75">
        <f t="shared" si="33"/>
        <v>182164.08000000002</v>
      </c>
      <c r="BV3" s="69">
        <f t="shared" si="34"/>
        <v>11.487587868682711</v>
      </c>
      <c r="BW3" s="55">
        <v>54675</v>
      </c>
      <c r="BX3" s="55">
        <v>25950</v>
      </c>
      <c r="BY3" s="55">
        <v>33312</v>
      </c>
      <c r="BZ3" s="55">
        <v>6720</v>
      </c>
      <c r="CA3" s="64">
        <v>114937.5</v>
      </c>
      <c r="CB3" s="64"/>
      <c r="CC3" s="64">
        <v>20000</v>
      </c>
      <c r="CD3" s="76">
        <f t="shared" si="35"/>
        <v>3.447901840583649E-2</v>
      </c>
      <c r="CE3" s="76">
        <f t="shared" si="36"/>
        <v>1.6364527254347637E-2</v>
      </c>
      <c r="CF3" s="76">
        <f t="shared" si="37"/>
        <v>2.1007134177141749E-2</v>
      </c>
      <c r="CG3" s="76">
        <f t="shared" si="38"/>
        <v>4.2377504103744169E-3</v>
      </c>
      <c r="CH3" s="76">
        <f t="shared" si="39"/>
        <v>7.2481612766727599E-2</v>
      </c>
      <c r="CI3" s="63">
        <f t="shared" si="40"/>
        <v>36432.816000000006</v>
      </c>
      <c r="CJ3" s="77">
        <f t="shared" si="41"/>
        <v>163947.67200000002</v>
      </c>
    </row>
    <row r="4" spans="1:88" ht="18.75" customHeight="1" x14ac:dyDescent="0.35">
      <c r="A4" s="50" t="e">
        <f t="shared" si="42"/>
        <v>#REF!</v>
      </c>
      <c r="B4" s="51" t="s">
        <v>106</v>
      </c>
      <c r="C4" s="52" t="s">
        <v>107</v>
      </c>
      <c r="D4" s="52"/>
      <c r="E4" s="53"/>
      <c r="F4" s="54">
        <v>40</v>
      </c>
      <c r="G4" s="55">
        <f t="shared" si="0"/>
        <v>0</v>
      </c>
      <c r="H4" s="53">
        <v>24460</v>
      </c>
      <c r="I4" s="56">
        <v>50</v>
      </c>
      <c r="J4" s="55">
        <f t="shared" si="1"/>
        <v>1223000</v>
      </c>
      <c r="K4" s="53"/>
      <c r="L4" s="57">
        <v>60</v>
      </c>
      <c r="M4" s="55">
        <f t="shared" si="2"/>
        <v>0</v>
      </c>
      <c r="N4" s="53">
        <v>11693</v>
      </c>
      <c r="O4" s="57">
        <v>15</v>
      </c>
      <c r="P4" s="55">
        <f t="shared" si="3"/>
        <v>175395</v>
      </c>
      <c r="Q4" s="53">
        <v>280</v>
      </c>
      <c r="R4" s="59">
        <v>12</v>
      </c>
      <c r="S4" s="55">
        <f t="shared" si="4"/>
        <v>3360</v>
      </c>
      <c r="T4" s="53">
        <v>911</v>
      </c>
      <c r="U4" s="55">
        <f t="shared" si="5"/>
        <v>7288</v>
      </c>
      <c r="V4" s="53">
        <v>546</v>
      </c>
      <c r="W4" s="57">
        <v>12</v>
      </c>
      <c r="X4" s="55">
        <f t="shared" si="6"/>
        <v>6552</v>
      </c>
      <c r="Y4" s="53">
        <v>1168</v>
      </c>
      <c r="Z4" s="57">
        <v>10</v>
      </c>
      <c r="AA4" s="55">
        <f t="shared" si="7"/>
        <v>11680</v>
      </c>
      <c r="AB4" s="53">
        <v>472</v>
      </c>
      <c r="AC4" s="57">
        <v>25</v>
      </c>
      <c r="AD4" s="55">
        <f t="shared" si="8"/>
        <v>11800</v>
      </c>
      <c r="AE4" s="53">
        <v>63</v>
      </c>
      <c r="AF4" s="272">
        <v>7.5</v>
      </c>
      <c r="AG4" s="55">
        <f t="shared" si="9"/>
        <v>472.5</v>
      </c>
      <c r="AH4" s="53"/>
      <c r="AI4" s="56">
        <v>15</v>
      </c>
      <c r="AJ4" s="55">
        <f t="shared" si="10"/>
        <v>0</v>
      </c>
      <c r="AK4" s="53">
        <v>437</v>
      </c>
      <c r="AL4" s="57">
        <v>10</v>
      </c>
      <c r="AM4" s="55">
        <f t="shared" si="11"/>
        <v>4370</v>
      </c>
      <c r="AN4" s="53">
        <f t="shared" si="12"/>
        <v>3877</v>
      </c>
      <c r="AO4" s="53"/>
      <c r="AP4" s="61"/>
      <c r="AQ4" s="53"/>
      <c r="AR4" s="53"/>
      <c r="AS4" s="55"/>
      <c r="AT4" s="53"/>
      <c r="AU4" s="53"/>
      <c r="AV4" s="66">
        <v>3724</v>
      </c>
      <c r="AW4" s="53"/>
      <c r="AX4" s="68">
        <f t="shared" si="13"/>
        <v>0.47804578904333606</v>
      </c>
      <c r="AY4" s="68">
        <f t="shared" si="14"/>
        <v>0.15850367947669664</v>
      </c>
      <c r="AZ4" s="68">
        <f t="shared" si="15"/>
        <v>0.31848114256392712</v>
      </c>
      <c r="BA4" s="55">
        <f t="shared" si="16"/>
        <v>1263680</v>
      </c>
      <c r="BB4" s="55">
        <f t="shared" si="17"/>
        <v>1238160</v>
      </c>
      <c r="BC4" s="55">
        <f t="shared" si="18"/>
        <v>1263680</v>
      </c>
      <c r="BD4" s="55">
        <f t="shared" si="19"/>
        <v>1264152.5</v>
      </c>
      <c r="BE4" s="62">
        <v>1515532.5</v>
      </c>
      <c r="BF4" s="63">
        <v>1030453.42</v>
      </c>
      <c r="BG4" s="69">
        <f t="shared" si="20"/>
        <v>67.992828923167266</v>
      </c>
      <c r="BH4" s="70">
        <f t="shared" si="21"/>
        <v>114673</v>
      </c>
      <c r="BI4" s="71">
        <f t="shared" si="22"/>
        <v>7.5665153997027459E-2</v>
      </c>
      <c r="BJ4" s="72" t="str">
        <f t="shared" si="23"/>
        <v>,9</v>
      </c>
      <c r="BK4" s="61">
        <f t="shared" si="24"/>
        <v>133625</v>
      </c>
      <c r="BL4" s="69">
        <f t="shared" si="25"/>
        <v>2.6540034424695977</v>
      </c>
      <c r="BM4" s="73">
        <f t="shared" si="26"/>
        <v>1374</v>
      </c>
      <c r="BN4" s="69">
        <f t="shared" si="27"/>
        <v>258.10859534206696</v>
      </c>
      <c r="BO4" s="61">
        <f t="shared" si="28"/>
        <v>30500</v>
      </c>
      <c r="BP4" s="69">
        <f t="shared" si="29"/>
        <v>11.627580655737706</v>
      </c>
      <c r="BQ4" s="64">
        <f t="shared" si="30"/>
        <v>74469.210000000021</v>
      </c>
      <c r="BR4" s="69">
        <f t="shared" si="31"/>
        <v>4.7622528827685953</v>
      </c>
      <c r="BS4" s="65">
        <v>354641.21</v>
      </c>
      <c r="BT4" s="74">
        <f t="shared" si="32"/>
        <v>23.400435820412959</v>
      </c>
      <c r="BU4" s="75">
        <f t="shared" si="33"/>
        <v>130437.86999999994</v>
      </c>
      <c r="BV4" s="69">
        <f t="shared" si="34"/>
        <v>8.6067352564197694</v>
      </c>
      <c r="BW4" s="55">
        <v>54780</v>
      </c>
      <c r="BX4" s="55">
        <v>23865</v>
      </c>
      <c r="BY4" s="55">
        <v>28738</v>
      </c>
      <c r="BZ4" s="55">
        <v>7290</v>
      </c>
      <c r="CA4" s="64">
        <v>133625</v>
      </c>
      <c r="CB4" s="64">
        <v>1374</v>
      </c>
      <c r="CC4" s="64">
        <v>30500</v>
      </c>
      <c r="CD4" s="76">
        <f t="shared" si="35"/>
        <v>3.6145711160928587E-2</v>
      </c>
      <c r="CE4" s="76">
        <f t="shared" si="36"/>
        <v>1.5746940431828418E-2</v>
      </c>
      <c r="CF4" s="76">
        <f t="shared" si="37"/>
        <v>1.8962311926666038E-2</v>
      </c>
      <c r="CG4" s="76">
        <f t="shared" si="38"/>
        <v>4.8101904776044063E-3</v>
      </c>
      <c r="CH4" s="76">
        <f t="shared" si="39"/>
        <v>8.8170329570629466E-2</v>
      </c>
      <c r="CI4" s="63">
        <f t="shared" si="40"/>
        <v>26087.57399999999</v>
      </c>
      <c r="CJ4" s="77">
        <f t="shared" si="41"/>
        <v>117394.08299999994</v>
      </c>
    </row>
    <row r="5" spans="1:88" ht="18.75" customHeight="1" x14ac:dyDescent="0.35">
      <c r="A5" s="50" t="e">
        <f t="shared" si="42"/>
        <v>#REF!</v>
      </c>
      <c r="B5" s="58">
        <v>7</v>
      </c>
      <c r="C5" s="52" t="s">
        <v>110</v>
      </c>
      <c r="D5" s="52"/>
      <c r="E5" s="53"/>
      <c r="F5" s="54">
        <v>40</v>
      </c>
      <c r="G5" s="55">
        <f t="shared" si="0"/>
        <v>0</v>
      </c>
      <c r="H5" s="53">
        <v>17947</v>
      </c>
      <c r="I5" s="56">
        <v>50</v>
      </c>
      <c r="J5" s="55">
        <f t="shared" si="1"/>
        <v>897350</v>
      </c>
      <c r="K5" s="53"/>
      <c r="L5" s="57">
        <v>60</v>
      </c>
      <c r="M5" s="55">
        <f t="shared" si="2"/>
        <v>0</v>
      </c>
      <c r="N5" s="53">
        <v>5487</v>
      </c>
      <c r="O5" s="57">
        <v>15</v>
      </c>
      <c r="P5" s="55">
        <f t="shared" si="3"/>
        <v>82305</v>
      </c>
      <c r="Q5" s="53"/>
      <c r="R5" s="59">
        <v>12</v>
      </c>
      <c r="S5" s="55">
        <f t="shared" si="4"/>
        <v>0</v>
      </c>
      <c r="T5" s="53">
        <v>1203</v>
      </c>
      <c r="U5" s="55">
        <f t="shared" si="5"/>
        <v>9624</v>
      </c>
      <c r="V5" s="53">
        <v>442</v>
      </c>
      <c r="W5" s="57">
        <v>12</v>
      </c>
      <c r="X5" s="55">
        <f t="shared" si="6"/>
        <v>5304</v>
      </c>
      <c r="Y5" s="53">
        <v>1347</v>
      </c>
      <c r="Z5" s="57">
        <v>10</v>
      </c>
      <c r="AA5" s="55">
        <f t="shared" si="7"/>
        <v>13470</v>
      </c>
      <c r="AB5" s="53">
        <v>275</v>
      </c>
      <c r="AC5" s="57">
        <v>25</v>
      </c>
      <c r="AD5" s="55">
        <f t="shared" si="8"/>
        <v>6875</v>
      </c>
      <c r="AE5" s="53"/>
      <c r="AF5" s="57">
        <v>7.5</v>
      </c>
      <c r="AG5" s="55">
        <f t="shared" si="9"/>
        <v>0</v>
      </c>
      <c r="AH5" s="53"/>
      <c r="AI5" s="56">
        <v>15</v>
      </c>
      <c r="AJ5" s="55">
        <f t="shared" si="10"/>
        <v>0</v>
      </c>
      <c r="AK5" s="53">
        <v>407</v>
      </c>
      <c r="AL5" s="57">
        <v>10</v>
      </c>
      <c r="AM5" s="55">
        <f t="shared" si="11"/>
        <v>4070</v>
      </c>
      <c r="AN5" s="53">
        <f t="shared" si="12"/>
        <v>3674</v>
      </c>
      <c r="AO5" s="53"/>
      <c r="AP5" s="61"/>
      <c r="AQ5" s="53"/>
      <c r="AR5" s="53"/>
      <c r="AS5" s="55"/>
      <c r="AT5" s="53"/>
      <c r="AU5" s="53"/>
      <c r="AV5" s="66">
        <v>2622</v>
      </c>
      <c r="AW5" s="53"/>
      <c r="AX5" s="68">
        <f t="shared" si="13"/>
        <v>0.30573354878252634</v>
      </c>
      <c r="AY5" s="68">
        <f t="shared" si="14"/>
        <v>0.20471387975706246</v>
      </c>
      <c r="AZ5" s="68">
        <f t="shared" si="15"/>
        <v>0.47785675232367414</v>
      </c>
      <c r="BA5" s="55">
        <f t="shared" si="16"/>
        <v>932623</v>
      </c>
      <c r="BB5" s="55">
        <f t="shared" si="17"/>
        <v>904225</v>
      </c>
      <c r="BC5" s="55">
        <f t="shared" si="18"/>
        <v>932623</v>
      </c>
      <c r="BD5" s="55">
        <f t="shared" si="19"/>
        <v>932623</v>
      </c>
      <c r="BE5" s="62">
        <v>1068265</v>
      </c>
      <c r="BF5" s="63">
        <v>713069.08</v>
      </c>
      <c r="BG5" s="69">
        <f t="shared" si="20"/>
        <v>66.75020523933668</v>
      </c>
      <c r="BH5" s="70">
        <f t="shared" si="21"/>
        <v>64159</v>
      </c>
      <c r="BI5" s="71">
        <f t="shared" si="22"/>
        <v>6.0059067740682322E-2</v>
      </c>
      <c r="BJ5" s="72">
        <f t="shared" si="23"/>
        <v>7</v>
      </c>
      <c r="BK5" s="61">
        <f t="shared" si="24"/>
        <v>91987.5</v>
      </c>
      <c r="BL5" s="69">
        <f t="shared" si="25"/>
        <v>2.3561289305612174</v>
      </c>
      <c r="BM5" s="73">
        <f t="shared" si="26"/>
        <v>0</v>
      </c>
      <c r="BN5" s="69" t="e">
        <f t="shared" si="27"/>
        <v>#DIV/0!</v>
      </c>
      <c r="BO5" s="61">
        <f t="shared" si="28"/>
        <v>14500</v>
      </c>
      <c r="BP5" s="69">
        <f t="shared" si="29"/>
        <v>14.947200689655173</v>
      </c>
      <c r="BQ5" s="64">
        <f t="shared" si="30"/>
        <v>46087.91</v>
      </c>
      <c r="BR5" s="69">
        <f t="shared" si="31"/>
        <v>4.7026304729374795</v>
      </c>
      <c r="BS5" s="65">
        <v>216734.41</v>
      </c>
      <c r="BT5" s="74">
        <f t="shared" si="32"/>
        <v>20.288449963258181</v>
      </c>
      <c r="BU5" s="75">
        <f t="shared" si="33"/>
        <v>138461.51000000004</v>
      </c>
      <c r="BV5" s="69">
        <f t="shared" si="34"/>
        <v>12.961344797405141</v>
      </c>
      <c r="BW5" s="55">
        <v>24211</v>
      </c>
      <c r="BX5" s="55">
        <v>15910</v>
      </c>
      <c r="BY5" s="55">
        <v>19178</v>
      </c>
      <c r="BZ5" s="55">
        <v>4860</v>
      </c>
      <c r="CA5" s="64">
        <v>91987.5</v>
      </c>
      <c r="CB5" s="64"/>
      <c r="CC5" s="64">
        <v>14500</v>
      </c>
      <c r="CD5" s="76">
        <f t="shared" si="35"/>
        <v>2.2663852134067859E-2</v>
      </c>
      <c r="CE5" s="76">
        <f t="shared" si="36"/>
        <v>1.4893308308331734E-2</v>
      </c>
      <c r="CF5" s="76">
        <f t="shared" si="37"/>
        <v>1.7952474339232305E-2</v>
      </c>
      <c r="CG5" s="76">
        <f t="shared" si="38"/>
        <v>4.5494329590504232E-3</v>
      </c>
      <c r="CH5" s="76">
        <f t="shared" si="39"/>
        <v>8.610925191782938E-2</v>
      </c>
      <c r="CI5" s="63">
        <f t="shared" si="40"/>
        <v>27692.302000000011</v>
      </c>
      <c r="CJ5" s="77">
        <f t="shared" si="41"/>
        <v>124615.35900000004</v>
      </c>
    </row>
    <row r="6" spans="1:88" ht="18.75" customHeight="1" x14ac:dyDescent="0.35">
      <c r="A6" s="50" t="e">
        <f t="shared" si="42"/>
        <v>#REF!</v>
      </c>
      <c r="B6" s="51">
        <v>6</v>
      </c>
      <c r="C6" s="52" t="s">
        <v>115</v>
      </c>
      <c r="D6" s="52"/>
      <c r="E6" s="53"/>
      <c r="F6" s="54">
        <v>40</v>
      </c>
      <c r="G6" s="55">
        <f t="shared" si="0"/>
        <v>0</v>
      </c>
      <c r="H6" s="53">
        <v>17576</v>
      </c>
      <c r="I6" s="56">
        <v>50</v>
      </c>
      <c r="J6" s="55">
        <f t="shared" si="1"/>
        <v>878800</v>
      </c>
      <c r="K6" s="53"/>
      <c r="L6" s="57">
        <v>60</v>
      </c>
      <c r="M6" s="55">
        <f t="shared" si="2"/>
        <v>0</v>
      </c>
      <c r="N6" s="53">
        <v>6052</v>
      </c>
      <c r="O6" s="57">
        <v>15</v>
      </c>
      <c r="P6" s="55">
        <f t="shared" si="3"/>
        <v>90780</v>
      </c>
      <c r="Q6" s="53">
        <v>1264</v>
      </c>
      <c r="R6" s="59">
        <v>12</v>
      </c>
      <c r="S6" s="55">
        <f t="shared" si="4"/>
        <v>15168</v>
      </c>
      <c r="T6" s="53">
        <v>870</v>
      </c>
      <c r="U6" s="55">
        <f t="shared" si="5"/>
        <v>6960</v>
      </c>
      <c r="V6" s="53">
        <v>254</v>
      </c>
      <c r="W6" s="57">
        <v>12</v>
      </c>
      <c r="X6" s="55">
        <f t="shared" si="6"/>
        <v>3048</v>
      </c>
      <c r="Y6" s="53">
        <v>1060</v>
      </c>
      <c r="Z6" s="57">
        <v>10</v>
      </c>
      <c r="AA6" s="55">
        <f t="shared" si="7"/>
        <v>10600</v>
      </c>
      <c r="AB6" s="53">
        <v>299</v>
      </c>
      <c r="AC6" s="57">
        <v>25</v>
      </c>
      <c r="AD6" s="55">
        <f t="shared" si="8"/>
        <v>7475</v>
      </c>
      <c r="AE6" s="53">
        <v>105</v>
      </c>
      <c r="AF6" s="57">
        <v>7.5</v>
      </c>
      <c r="AG6" s="55">
        <f t="shared" si="9"/>
        <v>787.5</v>
      </c>
      <c r="AH6" s="53"/>
      <c r="AI6" s="56">
        <v>15</v>
      </c>
      <c r="AJ6" s="55">
        <f t="shared" si="10"/>
        <v>0</v>
      </c>
      <c r="AK6" s="53">
        <v>287</v>
      </c>
      <c r="AL6" s="57">
        <v>10</v>
      </c>
      <c r="AM6" s="55">
        <f t="shared" si="11"/>
        <v>2870</v>
      </c>
      <c r="AN6" s="53">
        <f t="shared" si="12"/>
        <v>4139</v>
      </c>
      <c r="AO6" s="53"/>
      <c r="AP6" s="61"/>
      <c r="AQ6" s="53"/>
      <c r="AR6" s="53"/>
      <c r="AS6" s="55"/>
      <c r="AT6" s="53"/>
      <c r="AU6" s="53"/>
      <c r="AV6" s="66">
        <f>1195+235+865+193</f>
        <v>2488</v>
      </c>
      <c r="AW6" s="53"/>
      <c r="AX6" s="68">
        <f t="shared" si="13"/>
        <v>0.34433318161128812</v>
      </c>
      <c r="AY6" s="68">
        <f t="shared" si="14"/>
        <v>0.23549157942649068</v>
      </c>
      <c r="AZ6" s="68">
        <f t="shared" si="15"/>
        <v>0.4111037673496365</v>
      </c>
      <c r="BA6" s="55">
        <f t="shared" si="16"/>
        <v>922051</v>
      </c>
      <c r="BB6" s="55">
        <f t="shared" si="17"/>
        <v>901443</v>
      </c>
      <c r="BC6" s="55">
        <f t="shared" si="18"/>
        <v>922051</v>
      </c>
      <c r="BD6" s="55">
        <f t="shared" si="19"/>
        <v>922838.5</v>
      </c>
      <c r="BE6" s="62">
        <v>1060533.5</v>
      </c>
      <c r="BF6" s="63">
        <v>706553.79</v>
      </c>
      <c r="BG6" s="69">
        <f t="shared" si="20"/>
        <v>66.622486701268755</v>
      </c>
      <c r="BH6" s="70">
        <f t="shared" si="21"/>
        <v>90111</v>
      </c>
      <c r="BI6" s="71">
        <f t="shared" si="22"/>
        <v>8.4967612998552156E-2</v>
      </c>
      <c r="BJ6" s="72">
        <f t="shared" si="23"/>
        <v>6</v>
      </c>
      <c r="BK6" s="61">
        <f t="shared" si="24"/>
        <v>85462.5</v>
      </c>
      <c r="BL6" s="69">
        <f t="shared" si="25"/>
        <v>2.9199196138657308</v>
      </c>
      <c r="BM6" s="73">
        <f t="shared" si="26"/>
        <v>187.5</v>
      </c>
      <c r="BN6" s="69">
        <f t="shared" si="27"/>
        <v>1330.8993600000001</v>
      </c>
      <c r="BO6" s="61">
        <f t="shared" si="28"/>
        <v>10000</v>
      </c>
      <c r="BP6" s="69">
        <f t="shared" si="29"/>
        <v>24.954363000000001</v>
      </c>
      <c r="BQ6" s="64">
        <f t="shared" si="30"/>
        <v>63782.630000000005</v>
      </c>
      <c r="BR6" s="69">
        <f t="shared" si="31"/>
        <v>3.9124073435040225</v>
      </c>
      <c r="BS6" s="65">
        <v>249543.63</v>
      </c>
      <c r="BT6" s="74">
        <f t="shared" si="32"/>
        <v>23.530009188771501</v>
      </c>
      <c r="BU6" s="75">
        <f t="shared" si="33"/>
        <v>104436.07999999996</v>
      </c>
      <c r="BV6" s="69">
        <f t="shared" si="34"/>
        <v>9.8475041099597487</v>
      </c>
      <c r="BW6" s="55">
        <v>36494</v>
      </c>
      <c r="BX6" s="55">
        <v>23865</v>
      </c>
      <c r="BY6" s="55">
        <v>23300</v>
      </c>
      <c r="BZ6" s="55">
        <f>4320+2132</f>
        <v>6452</v>
      </c>
      <c r="CA6" s="64">
        <v>85462.5</v>
      </c>
      <c r="CB6" s="64">
        <v>187.5</v>
      </c>
      <c r="CC6" s="64">
        <v>10000</v>
      </c>
      <c r="CD6" s="76">
        <f t="shared" si="35"/>
        <v>3.44109827742358E-2</v>
      </c>
      <c r="CE6" s="76">
        <f t="shared" si="36"/>
        <v>2.2502825229000309E-2</v>
      </c>
      <c r="CF6" s="76">
        <f t="shared" si="37"/>
        <v>2.1970074495525131E-2</v>
      </c>
      <c r="CG6" s="76">
        <f t="shared" si="38"/>
        <v>6.0837304997909073E-3</v>
      </c>
      <c r="CH6" s="76">
        <f t="shared" si="39"/>
        <v>8.0584441698447057E-2</v>
      </c>
      <c r="CI6" s="63">
        <f t="shared" si="40"/>
        <v>20887.215999999993</v>
      </c>
      <c r="CJ6" s="77">
        <f t="shared" si="41"/>
        <v>93992.471999999965</v>
      </c>
    </row>
    <row r="7" spans="1:88" ht="18.75" customHeight="1" x14ac:dyDescent="0.35">
      <c r="A7" s="50" t="e">
        <f t="shared" si="42"/>
        <v>#REF!</v>
      </c>
      <c r="B7" s="51">
        <v>6</v>
      </c>
      <c r="C7" s="52" t="s">
        <v>112</v>
      </c>
      <c r="D7" s="52"/>
      <c r="E7" s="53"/>
      <c r="F7" s="54">
        <v>40</v>
      </c>
      <c r="G7" s="55">
        <f t="shared" si="0"/>
        <v>0</v>
      </c>
      <c r="H7" s="53">
        <v>16525</v>
      </c>
      <c r="I7" s="56">
        <v>50</v>
      </c>
      <c r="J7" s="55">
        <f t="shared" si="1"/>
        <v>826250</v>
      </c>
      <c r="K7" s="53"/>
      <c r="L7" s="57">
        <v>60</v>
      </c>
      <c r="M7" s="55">
        <f t="shared" si="2"/>
        <v>0</v>
      </c>
      <c r="N7" s="53">
        <v>7466</v>
      </c>
      <c r="O7" s="57">
        <v>15</v>
      </c>
      <c r="P7" s="55">
        <f t="shared" si="3"/>
        <v>111990</v>
      </c>
      <c r="Q7" s="53">
        <v>1712</v>
      </c>
      <c r="R7" s="59">
        <v>12</v>
      </c>
      <c r="S7" s="55">
        <f t="shared" si="4"/>
        <v>20544</v>
      </c>
      <c r="T7" s="53">
        <v>1011</v>
      </c>
      <c r="U7" s="55">
        <f t="shared" si="5"/>
        <v>8088</v>
      </c>
      <c r="V7" s="53">
        <v>394</v>
      </c>
      <c r="W7" s="57">
        <v>12</v>
      </c>
      <c r="X7" s="55">
        <f t="shared" si="6"/>
        <v>4728</v>
      </c>
      <c r="Y7" s="53">
        <v>1261</v>
      </c>
      <c r="Z7" s="57">
        <v>10</v>
      </c>
      <c r="AA7" s="55">
        <f t="shared" si="7"/>
        <v>12610</v>
      </c>
      <c r="AB7" s="53">
        <v>290</v>
      </c>
      <c r="AC7" s="57">
        <v>25</v>
      </c>
      <c r="AD7" s="55">
        <f t="shared" si="8"/>
        <v>7250</v>
      </c>
      <c r="AE7" s="53"/>
      <c r="AF7" s="57">
        <v>7.5</v>
      </c>
      <c r="AG7" s="55">
        <f t="shared" si="9"/>
        <v>0</v>
      </c>
      <c r="AH7" s="53"/>
      <c r="AI7" s="56">
        <v>15</v>
      </c>
      <c r="AJ7" s="55">
        <f t="shared" si="10"/>
        <v>0</v>
      </c>
      <c r="AK7" s="53">
        <v>203</v>
      </c>
      <c r="AL7" s="57">
        <v>10</v>
      </c>
      <c r="AM7" s="55">
        <f t="shared" si="11"/>
        <v>2030</v>
      </c>
      <c r="AN7" s="53">
        <f t="shared" si="12"/>
        <v>4871</v>
      </c>
      <c r="AO7" s="53"/>
      <c r="AP7" s="61"/>
      <c r="AQ7" s="53"/>
      <c r="AR7" s="53"/>
      <c r="AS7" s="55"/>
      <c r="AT7" s="53"/>
      <c r="AU7" s="53"/>
      <c r="AV7" s="66">
        <v>3765</v>
      </c>
      <c r="AW7" s="53"/>
      <c r="AX7" s="68">
        <f t="shared" si="13"/>
        <v>0.45180030257186082</v>
      </c>
      <c r="AY7" s="68">
        <f t="shared" si="14"/>
        <v>0.29476550680786689</v>
      </c>
      <c r="AZ7" s="68">
        <f t="shared" si="15"/>
        <v>0.50428609697294402</v>
      </c>
      <c r="BA7" s="55">
        <f t="shared" si="16"/>
        <v>879470</v>
      </c>
      <c r="BB7" s="55">
        <f t="shared" si="17"/>
        <v>854044</v>
      </c>
      <c r="BC7" s="55">
        <f t="shared" si="18"/>
        <v>879470</v>
      </c>
      <c r="BD7" s="55">
        <f t="shared" si="19"/>
        <v>879470</v>
      </c>
      <c r="BE7" s="62">
        <v>1053064.5</v>
      </c>
      <c r="BF7" s="63">
        <v>714191.93</v>
      </c>
      <c r="BG7" s="69">
        <f t="shared" si="20"/>
        <v>67.820340539444643</v>
      </c>
      <c r="BH7" s="70">
        <f t="shared" si="21"/>
        <v>74388</v>
      </c>
      <c r="BI7" s="71">
        <f t="shared" si="22"/>
        <v>7.0639547720011464E-2</v>
      </c>
      <c r="BJ7" s="72">
        <f t="shared" si="23"/>
        <v>6</v>
      </c>
      <c r="BK7" s="61">
        <f t="shared" si="24"/>
        <v>89574</v>
      </c>
      <c r="BL7" s="69">
        <f t="shared" si="25"/>
        <v>2.608546676490946</v>
      </c>
      <c r="BM7" s="73">
        <f t="shared" si="26"/>
        <v>0</v>
      </c>
      <c r="BN7" s="69" t="e">
        <f t="shared" si="27"/>
        <v>#DIV/0!</v>
      </c>
      <c r="BO7" s="61">
        <f t="shared" si="28"/>
        <v>25000</v>
      </c>
      <c r="BP7" s="69">
        <f t="shared" si="29"/>
        <v>9.3463183999999995</v>
      </c>
      <c r="BQ7" s="64">
        <f t="shared" si="30"/>
        <v>44695.959999999992</v>
      </c>
      <c r="BR7" s="69">
        <f t="shared" si="31"/>
        <v>5.227719910255872</v>
      </c>
      <c r="BS7" s="65">
        <v>233657.96</v>
      </c>
      <c r="BT7" s="74">
        <f t="shared" si="32"/>
        <v>22.188380673738408</v>
      </c>
      <c r="BU7" s="75">
        <f t="shared" si="33"/>
        <v>105214.60999999996</v>
      </c>
      <c r="BV7" s="69">
        <f t="shared" si="34"/>
        <v>9.991278786816947</v>
      </c>
      <c r="BW7" s="55">
        <v>30125</v>
      </c>
      <c r="BX7" s="55">
        <v>17501</v>
      </c>
      <c r="BY7" s="55">
        <v>20552</v>
      </c>
      <c r="BZ7" s="55">
        <v>6210</v>
      </c>
      <c r="CA7" s="64">
        <v>89574</v>
      </c>
      <c r="CB7" s="64"/>
      <c r="CC7" s="64">
        <v>25000</v>
      </c>
      <c r="CD7" s="76">
        <f t="shared" si="35"/>
        <v>2.8606984662382977E-2</v>
      </c>
      <c r="CE7" s="76">
        <f t="shared" si="36"/>
        <v>1.661911497348928E-2</v>
      </c>
      <c r="CF7" s="76">
        <f t="shared" si="37"/>
        <v>1.9516373403528464E-2</v>
      </c>
      <c r="CG7" s="76">
        <f t="shared" si="38"/>
        <v>5.8970746806107322E-3</v>
      </c>
      <c r="CH7" s="76">
        <f t="shared" si="39"/>
        <v>8.5060316818200601E-2</v>
      </c>
      <c r="CI7" s="63">
        <f t="shared" si="40"/>
        <v>21042.921999999991</v>
      </c>
      <c r="CJ7" s="77">
        <f t="shared" si="41"/>
        <v>94693.148999999961</v>
      </c>
    </row>
    <row r="8" spans="1:88" ht="18.75" customHeight="1" x14ac:dyDescent="0.35">
      <c r="A8" s="50" t="e">
        <f t="shared" si="42"/>
        <v>#REF!</v>
      </c>
      <c r="B8" s="58">
        <v>6</v>
      </c>
      <c r="C8" s="52" t="s">
        <v>117</v>
      </c>
      <c r="D8" s="52"/>
      <c r="E8" s="53"/>
      <c r="F8" s="54">
        <v>40</v>
      </c>
      <c r="G8" s="55">
        <f t="shared" si="0"/>
        <v>0</v>
      </c>
      <c r="H8" s="53">
        <v>14366</v>
      </c>
      <c r="I8" s="56">
        <v>50</v>
      </c>
      <c r="J8" s="55">
        <f t="shared" si="1"/>
        <v>718300</v>
      </c>
      <c r="K8" s="53"/>
      <c r="L8" s="57">
        <v>60</v>
      </c>
      <c r="M8" s="55">
        <f t="shared" si="2"/>
        <v>0</v>
      </c>
      <c r="N8" s="53">
        <v>5657</v>
      </c>
      <c r="O8" s="57">
        <v>15</v>
      </c>
      <c r="P8" s="55">
        <f t="shared" si="3"/>
        <v>84855</v>
      </c>
      <c r="Q8" s="53"/>
      <c r="R8" s="59">
        <v>12</v>
      </c>
      <c r="S8" s="55">
        <f t="shared" si="4"/>
        <v>0</v>
      </c>
      <c r="T8" s="53">
        <v>791</v>
      </c>
      <c r="U8" s="55">
        <f t="shared" si="5"/>
        <v>6328</v>
      </c>
      <c r="V8" s="53">
        <v>533</v>
      </c>
      <c r="W8" s="57">
        <v>12</v>
      </c>
      <c r="X8" s="55">
        <f t="shared" si="6"/>
        <v>6396</v>
      </c>
      <c r="Y8" s="53">
        <v>1094</v>
      </c>
      <c r="Z8" s="57">
        <v>10</v>
      </c>
      <c r="AA8" s="55">
        <f t="shared" si="7"/>
        <v>10940</v>
      </c>
      <c r="AB8" s="53">
        <v>176</v>
      </c>
      <c r="AC8" s="57">
        <v>25</v>
      </c>
      <c r="AD8" s="55">
        <f t="shared" si="8"/>
        <v>4400</v>
      </c>
      <c r="AE8" s="53"/>
      <c r="AF8" s="57">
        <v>7.5</v>
      </c>
      <c r="AG8" s="55">
        <f t="shared" si="9"/>
        <v>0</v>
      </c>
      <c r="AH8" s="53"/>
      <c r="AI8" s="56">
        <v>15</v>
      </c>
      <c r="AJ8" s="55">
        <f t="shared" si="10"/>
        <v>0</v>
      </c>
      <c r="AK8" s="53"/>
      <c r="AL8" s="57">
        <v>10</v>
      </c>
      <c r="AM8" s="55">
        <f t="shared" si="11"/>
        <v>0</v>
      </c>
      <c r="AN8" s="53">
        <f t="shared" si="12"/>
        <v>2594</v>
      </c>
      <c r="AO8" s="53"/>
      <c r="AP8" s="61"/>
      <c r="AQ8" s="53"/>
      <c r="AR8" s="53"/>
      <c r="AS8" s="55"/>
      <c r="AT8" s="53"/>
      <c r="AU8" s="53"/>
      <c r="AV8" s="66">
        <v>3282</v>
      </c>
      <c r="AW8" s="53"/>
      <c r="AX8" s="68">
        <f t="shared" si="13"/>
        <v>0.39377697340943896</v>
      </c>
      <c r="AY8" s="68">
        <f t="shared" si="14"/>
        <v>0.18056522344424336</v>
      </c>
      <c r="AZ8" s="68">
        <f t="shared" si="15"/>
        <v>0.58016616581226799</v>
      </c>
      <c r="BA8" s="55">
        <f t="shared" si="16"/>
        <v>746364</v>
      </c>
      <c r="BB8" s="55">
        <f t="shared" si="17"/>
        <v>722700</v>
      </c>
      <c r="BC8" s="55">
        <f t="shared" si="18"/>
        <v>746364</v>
      </c>
      <c r="BD8" s="55">
        <f t="shared" si="19"/>
        <v>746364</v>
      </c>
      <c r="BE8" s="62">
        <v>893950</v>
      </c>
      <c r="BF8" s="63">
        <v>599297.47</v>
      </c>
      <c r="BG8" s="69">
        <f t="shared" si="20"/>
        <v>67.039260585043905</v>
      </c>
      <c r="BH8" s="70">
        <f t="shared" si="21"/>
        <v>73591</v>
      </c>
      <c r="BI8" s="71">
        <f t="shared" si="22"/>
        <v>8.2321158901504571E-2</v>
      </c>
      <c r="BJ8" s="72">
        <f t="shared" si="23"/>
        <v>6</v>
      </c>
      <c r="BK8" s="61">
        <f t="shared" si="24"/>
        <v>89638.5</v>
      </c>
      <c r="BL8" s="69">
        <f t="shared" si="25"/>
        <v>2.7427050876576473</v>
      </c>
      <c r="BM8" s="73">
        <f t="shared" si="26"/>
        <v>0</v>
      </c>
      <c r="BN8" s="69" t="e">
        <f t="shared" si="27"/>
        <v>#DIV/0!</v>
      </c>
      <c r="BO8" s="61">
        <f t="shared" si="28"/>
        <v>26280</v>
      </c>
      <c r="BP8" s="69">
        <f t="shared" si="29"/>
        <v>9.3550977929984782</v>
      </c>
      <c r="BQ8" s="64">
        <f t="shared" si="30"/>
        <v>56342.47</v>
      </c>
      <c r="BR8" s="69">
        <f t="shared" si="31"/>
        <v>4.3635284360092843</v>
      </c>
      <c r="BS8" s="65">
        <v>245851.97</v>
      </c>
      <c r="BT8" s="74">
        <f t="shared" si="32"/>
        <v>27.501758487611163</v>
      </c>
      <c r="BU8" s="75">
        <f t="shared" si="33"/>
        <v>48800.560000000027</v>
      </c>
      <c r="BV8" s="69">
        <f t="shared" si="34"/>
        <v>5.4589809273449328</v>
      </c>
      <c r="BW8" s="55">
        <v>36521</v>
      </c>
      <c r="BX8" s="55">
        <v>12728</v>
      </c>
      <c r="BY8" s="55">
        <v>17862</v>
      </c>
      <c r="BZ8" s="55">
        <v>6480</v>
      </c>
      <c r="CA8" s="64">
        <v>89638.5</v>
      </c>
      <c r="CB8" s="64"/>
      <c r="CC8" s="64">
        <v>26280</v>
      </c>
      <c r="CD8" s="76">
        <f t="shared" si="35"/>
        <v>4.0853515297276134E-2</v>
      </c>
      <c r="CE8" s="76">
        <f t="shared" si="36"/>
        <v>1.4237932770289166E-2</v>
      </c>
      <c r="CF8" s="76">
        <f t="shared" si="37"/>
        <v>1.9980983276469601E-2</v>
      </c>
      <c r="CG8" s="76">
        <f t="shared" si="38"/>
        <v>7.2487275574696572E-3</v>
      </c>
      <c r="CH8" s="76">
        <f t="shared" si="39"/>
        <v>0.10027238659880307</v>
      </c>
      <c r="CI8" s="63">
        <f t="shared" si="40"/>
        <v>9760.1120000000064</v>
      </c>
      <c r="CJ8" s="77">
        <f t="shared" si="41"/>
        <v>43920.504000000023</v>
      </c>
    </row>
    <row r="9" spans="1:88" ht="18.75" customHeight="1" x14ac:dyDescent="0.35">
      <c r="A9" s="50" t="e">
        <f t="shared" si="42"/>
        <v>#REF!</v>
      </c>
      <c r="B9" s="58">
        <v>6</v>
      </c>
      <c r="C9" s="52" t="s">
        <v>118</v>
      </c>
      <c r="D9" s="52"/>
      <c r="E9" s="53"/>
      <c r="F9" s="54">
        <v>40</v>
      </c>
      <c r="G9" s="55">
        <f t="shared" si="0"/>
        <v>0</v>
      </c>
      <c r="H9" s="53">
        <v>12563</v>
      </c>
      <c r="I9" s="56">
        <v>50</v>
      </c>
      <c r="J9" s="55">
        <f t="shared" si="1"/>
        <v>628150</v>
      </c>
      <c r="K9" s="53"/>
      <c r="L9" s="57">
        <v>60</v>
      </c>
      <c r="M9" s="55">
        <f t="shared" si="2"/>
        <v>0</v>
      </c>
      <c r="N9" s="53">
        <v>9999</v>
      </c>
      <c r="O9" s="57">
        <v>15</v>
      </c>
      <c r="P9" s="55">
        <f t="shared" si="3"/>
        <v>149985</v>
      </c>
      <c r="Q9" s="53"/>
      <c r="R9" s="59">
        <v>12</v>
      </c>
      <c r="S9" s="55">
        <f t="shared" si="4"/>
        <v>0</v>
      </c>
      <c r="T9" s="53">
        <v>1165</v>
      </c>
      <c r="U9" s="55">
        <f t="shared" si="5"/>
        <v>9320</v>
      </c>
      <c r="V9" s="53">
        <v>545</v>
      </c>
      <c r="W9" s="57">
        <v>12</v>
      </c>
      <c r="X9" s="55">
        <f t="shared" si="6"/>
        <v>6540</v>
      </c>
      <c r="Y9" s="53"/>
      <c r="Z9" s="57">
        <v>10</v>
      </c>
      <c r="AA9" s="55">
        <f t="shared" si="7"/>
        <v>0</v>
      </c>
      <c r="AB9" s="53">
        <v>323</v>
      </c>
      <c r="AC9" s="57">
        <v>25</v>
      </c>
      <c r="AD9" s="55">
        <f t="shared" si="8"/>
        <v>8075</v>
      </c>
      <c r="AE9" s="53">
        <v>343</v>
      </c>
      <c r="AF9" s="57">
        <v>7.5</v>
      </c>
      <c r="AG9" s="55">
        <f t="shared" si="9"/>
        <v>2572.5</v>
      </c>
      <c r="AH9" s="53"/>
      <c r="AI9" s="56">
        <v>15</v>
      </c>
      <c r="AJ9" s="55">
        <f t="shared" si="10"/>
        <v>0</v>
      </c>
      <c r="AK9" s="53">
        <v>603</v>
      </c>
      <c r="AL9" s="57">
        <v>10</v>
      </c>
      <c r="AM9" s="55">
        <f t="shared" si="11"/>
        <v>6030</v>
      </c>
      <c r="AN9" s="53">
        <f t="shared" si="12"/>
        <v>2979</v>
      </c>
      <c r="AO9" s="53"/>
      <c r="AP9" s="61"/>
      <c r="AQ9" s="53"/>
      <c r="AR9" s="53"/>
      <c r="AS9" s="55"/>
      <c r="AT9" s="53"/>
      <c r="AU9" s="53"/>
      <c r="AV9" s="66">
        <f>168+1554+213+253+36+156+38</f>
        <v>2418</v>
      </c>
      <c r="AW9" s="53"/>
      <c r="AX9" s="68">
        <f t="shared" si="13"/>
        <v>0.79590862055241585</v>
      </c>
      <c r="AY9" s="68">
        <f t="shared" si="14"/>
        <v>0.23712489055161984</v>
      </c>
      <c r="AZ9" s="68">
        <f t="shared" si="15"/>
        <v>0.24182418241824183</v>
      </c>
      <c r="BA9" s="55">
        <f t="shared" si="16"/>
        <v>652085</v>
      </c>
      <c r="BB9" s="55">
        <f t="shared" si="17"/>
        <v>636225</v>
      </c>
      <c r="BC9" s="55">
        <f t="shared" si="18"/>
        <v>652085</v>
      </c>
      <c r="BD9" s="55">
        <f t="shared" si="19"/>
        <v>654657.5</v>
      </c>
      <c r="BE9" s="62">
        <v>869541.5</v>
      </c>
      <c r="BF9" s="63">
        <v>586089.71</v>
      </c>
      <c r="BG9" s="69">
        <f t="shared" si="20"/>
        <v>67.402155043778805</v>
      </c>
      <c r="BH9" s="70">
        <f t="shared" si="21"/>
        <v>58430.5</v>
      </c>
      <c r="BI9" s="71">
        <f t="shared" si="22"/>
        <v>6.7196907795660121E-2</v>
      </c>
      <c r="BJ9" s="72">
        <v>5</v>
      </c>
      <c r="BK9" s="61">
        <f t="shared" si="24"/>
        <v>65306</v>
      </c>
      <c r="BL9" s="69">
        <f t="shared" si="25"/>
        <v>3.2130991026858173</v>
      </c>
      <c r="BM9" s="73">
        <f t="shared" si="26"/>
        <v>0</v>
      </c>
      <c r="BN9" s="69" t="e">
        <f t="shared" si="27"/>
        <v>#DIV/0!</v>
      </c>
      <c r="BO9" s="61">
        <f t="shared" si="28"/>
        <v>22050</v>
      </c>
      <c r="BP9" s="69">
        <f t="shared" si="29"/>
        <v>9.516310657596371</v>
      </c>
      <c r="BQ9" s="64">
        <f t="shared" si="30"/>
        <v>64048.149999999994</v>
      </c>
      <c r="BR9" s="69">
        <f t="shared" si="31"/>
        <v>3.2762015764702026</v>
      </c>
      <c r="BS9" s="65">
        <v>209834.65</v>
      </c>
      <c r="BT9" s="74">
        <f t="shared" si="32"/>
        <v>24.1316429405612</v>
      </c>
      <c r="BU9" s="75">
        <f t="shared" si="33"/>
        <v>73617.140000000043</v>
      </c>
      <c r="BV9" s="69">
        <f t="shared" si="34"/>
        <v>8.4662020156599809</v>
      </c>
      <c r="BW9" s="55">
        <v>24359</v>
      </c>
      <c r="BX9" s="55">
        <v>12728</v>
      </c>
      <c r="BY9" s="55">
        <v>17804</v>
      </c>
      <c r="BZ9" s="55">
        <f>3240+299.5</f>
        <v>3539.5</v>
      </c>
      <c r="CA9" s="64">
        <v>65306</v>
      </c>
      <c r="CB9" s="64"/>
      <c r="CC9" s="64">
        <v>22050</v>
      </c>
      <c r="CD9" s="76">
        <f t="shared" si="35"/>
        <v>2.8013614071323797E-2</v>
      </c>
      <c r="CE9" s="76">
        <f t="shared" si="36"/>
        <v>1.4637599240519284E-2</v>
      </c>
      <c r="CF9" s="76">
        <f t="shared" si="37"/>
        <v>2.0475158459946994E-2</v>
      </c>
      <c r="CG9" s="76">
        <f t="shared" si="38"/>
        <v>4.0705360238700514E-3</v>
      </c>
      <c r="CH9" s="76">
        <f t="shared" si="39"/>
        <v>7.5103948460194248E-2</v>
      </c>
      <c r="CI9" s="63">
        <f t="shared" si="40"/>
        <v>14723.428000000009</v>
      </c>
      <c r="CJ9" s="77">
        <f t="shared" si="41"/>
        <v>66255.426000000036</v>
      </c>
    </row>
    <row r="10" spans="1:88" ht="18.75" customHeight="1" x14ac:dyDescent="0.35">
      <c r="A10" s="50" t="e">
        <f t="shared" si="42"/>
        <v>#REF!</v>
      </c>
      <c r="B10" s="51">
        <v>5</v>
      </c>
      <c r="C10" s="52" t="s">
        <v>9</v>
      </c>
      <c r="D10" s="52"/>
      <c r="E10" s="53"/>
      <c r="F10" s="54">
        <v>40</v>
      </c>
      <c r="G10" s="55">
        <f t="shared" si="0"/>
        <v>0</v>
      </c>
      <c r="H10" s="157">
        <v>12889</v>
      </c>
      <c r="I10" s="56">
        <v>50</v>
      </c>
      <c r="J10" s="55">
        <f t="shared" si="1"/>
        <v>644450</v>
      </c>
      <c r="K10" s="53"/>
      <c r="L10" s="57">
        <v>60</v>
      </c>
      <c r="M10" s="55">
        <f t="shared" si="2"/>
        <v>0</v>
      </c>
      <c r="N10" s="53">
        <v>6354</v>
      </c>
      <c r="O10" s="57">
        <v>15</v>
      </c>
      <c r="P10" s="55">
        <f t="shared" si="3"/>
        <v>95310</v>
      </c>
      <c r="Q10" s="53">
        <v>1710</v>
      </c>
      <c r="R10" s="59">
        <v>12</v>
      </c>
      <c r="S10" s="55">
        <f t="shared" si="4"/>
        <v>20520</v>
      </c>
      <c r="T10" s="53">
        <v>912</v>
      </c>
      <c r="U10" s="55">
        <f t="shared" si="5"/>
        <v>7296</v>
      </c>
      <c r="V10" s="53">
        <v>463</v>
      </c>
      <c r="W10" s="57">
        <v>12</v>
      </c>
      <c r="X10" s="55">
        <f t="shared" si="6"/>
        <v>5556</v>
      </c>
      <c r="Y10" s="53">
        <v>1103</v>
      </c>
      <c r="Z10" s="57">
        <v>10</v>
      </c>
      <c r="AA10" s="55">
        <f t="shared" si="7"/>
        <v>11030</v>
      </c>
      <c r="AB10" s="53">
        <v>315</v>
      </c>
      <c r="AC10" s="57">
        <v>25</v>
      </c>
      <c r="AD10" s="55">
        <f t="shared" si="8"/>
        <v>7875</v>
      </c>
      <c r="AE10" s="53"/>
      <c r="AF10" s="57">
        <v>7.5</v>
      </c>
      <c r="AG10" s="55">
        <f t="shared" si="9"/>
        <v>0</v>
      </c>
      <c r="AH10" s="53"/>
      <c r="AI10" s="56">
        <v>15</v>
      </c>
      <c r="AJ10" s="55">
        <f t="shared" si="10"/>
        <v>0</v>
      </c>
      <c r="AK10" s="53">
        <v>283</v>
      </c>
      <c r="AL10" s="57">
        <v>10</v>
      </c>
      <c r="AM10" s="55">
        <f t="shared" si="11"/>
        <v>2830</v>
      </c>
      <c r="AN10" s="53">
        <f t="shared" si="12"/>
        <v>4786</v>
      </c>
      <c r="AO10" s="53"/>
      <c r="AP10" s="61"/>
      <c r="AQ10" s="53"/>
      <c r="AR10" s="53"/>
      <c r="AS10" s="55"/>
      <c r="AT10" s="53"/>
      <c r="AU10" s="53"/>
      <c r="AV10" s="66">
        <v>2880</v>
      </c>
      <c r="AW10" s="53"/>
      <c r="AX10" s="68">
        <f t="shared" si="13"/>
        <v>0.49297850880595856</v>
      </c>
      <c r="AY10" s="68">
        <f t="shared" si="14"/>
        <v>0.37132438513461091</v>
      </c>
      <c r="AZ10" s="68">
        <f t="shared" si="15"/>
        <v>0.45325779036827196</v>
      </c>
      <c r="BA10" s="55">
        <f t="shared" si="16"/>
        <v>696727</v>
      </c>
      <c r="BB10" s="55">
        <f t="shared" si="17"/>
        <v>672845</v>
      </c>
      <c r="BC10" s="55">
        <f t="shared" si="18"/>
        <v>696727</v>
      </c>
      <c r="BD10" s="55">
        <f t="shared" si="19"/>
        <v>696727</v>
      </c>
      <c r="BE10" s="62">
        <v>847662</v>
      </c>
      <c r="BF10" s="63">
        <v>553519.51</v>
      </c>
      <c r="BG10" s="69">
        <f t="shared" si="20"/>
        <v>65.299554539427263</v>
      </c>
      <c r="BH10" s="70">
        <f t="shared" si="21"/>
        <v>68873</v>
      </c>
      <c r="BI10" s="71">
        <f t="shared" si="22"/>
        <v>8.1250545618418657E-2</v>
      </c>
      <c r="BJ10" s="72">
        <f t="shared" ref="BJ10:BJ11" si="43">B10</f>
        <v>5</v>
      </c>
      <c r="BK10" s="61">
        <f t="shared" si="24"/>
        <v>74338</v>
      </c>
      <c r="BL10" s="69">
        <f t="shared" si="25"/>
        <v>2.9721649761898354</v>
      </c>
      <c r="BM10" s="73">
        <f t="shared" si="26"/>
        <v>0</v>
      </c>
      <c r="BN10" s="69" t="e">
        <f t="shared" si="27"/>
        <v>#DIV/0!</v>
      </c>
      <c r="BO10" s="61">
        <f t="shared" si="28"/>
        <v>31500</v>
      </c>
      <c r="BP10" s="69">
        <f t="shared" si="29"/>
        <v>7.0141206349206344</v>
      </c>
      <c r="BQ10" s="64">
        <f t="shared" si="30"/>
        <v>46233.799999999988</v>
      </c>
      <c r="BR10" s="69">
        <f t="shared" si="31"/>
        <v>4.7788587570132686</v>
      </c>
      <c r="BS10" s="65">
        <v>220944.8</v>
      </c>
      <c r="BT10" s="74">
        <f t="shared" si="32"/>
        <v>26.0652005162435</v>
      </c>
      <c r="BU10" s="75">
        <f t="shared" si="33"/>
        <v>73197.69</v>
      </c>
      <c r="BV10" s="69">
        <f t="shared" si="34"/>
        <v>8.6352449443292247</v>
      </c>
      <c r="BW10" s="55">
        <v>36224</v>
      </c>
      <c r="BX10" s="55">
        <v>14319</v>
      </c>
      <c r="BY10" s="55">
        <v>13740</v>
      </c>
      <c r="BZ10" s="55">
        <v>4590</v>
      </c>
      <c r="CA10" s="64">
        <v>74338</v>
      </c>
      <c r="CB10" s="64"/>
      <c r="CC10" s="64">
        <v>31500</v>
      </c>
      <c r="CD10" s="76">
        <f t="shared" si="35"/>
        <v>4.2734014265119823E-2</v>
      </c>
      <c r="CE10" s="76">
        <f t="shared" si="36"/>
        <v>1.6892346241780331E-2</v>
      </c>
      <c r="CF10" s="76">
        <f t="shared" si="37"/>
        <v>1.6209290967390304E-2</v>
      </c>
      <c r="CG10" s="76">
        <f t="shared" si="38"/>
        <v>5.4148941441282024E-3</v>
      </c>
      <c r="CH10" s="76">
        <f t="shared" si="39"/>
        <v>8.7697690824880672E-2</v>
      </c>
      <c r="CI10" s="63">
        <f t="shared" si="40"/>
        <v>14639.538</v>
      </c>
      <c r="CJ10" s="77">
        <f t="shared" si="41"/>
        <v>65877.921000000002</v>
      </c>
    </row>
    <row r="11" spans="1:88" ht="18.75" customHeight="1" x14ac:dyDescent="0.35">
      <c r="A11" s="50" t="e">
        <f t="shared" si="42"/>
        <v>#REF!</v>
      </c>
      <c r="B11" s="58">
        <v>6</v>
      </c>
      <c r="C11" s="52" t="s">
        <v>210</v>
      </c>
      <c r="D11" s="52"/>
      <c r="E11" s="53"/>
      <c r="F11" s="54">
        <v>40</v>
      </c>
      <c r="G11" s="55">
        <f t="shared" si="0"/>
        <v>0</v>
      </c>
      <c r="H11" s="53">
        <v>11577</v>
      </c>
      <c r="I11" s="56">
        <v>50</v>
      </c>
      <c r="J11" s="55">
        <f t="shared" si="1"/>
        <v>578850</v>
      </c>
      <c r="K11" s="53"/>
      <c r="L11" s="57">
        <v>60</v>
      </c>
      <c r="M11" s="55">
        <f t="shared" si="2"/>
        <v>0</v>
      </c>
      <c r="N11" s="53">
        <v>6758</v>
      </c>
      <c r="O11" s="57">
        <v>15</v>
      </c>
      <c r="P11" s="55">
        <f t="shared" si="3"/>
        <v>101370</v>
      </c>
      <c r="Q11" s="53">
        <v>2260</v>
      </c>
      <c r="R11" s="59">
        <v>12</v>
      </c>
      <c r="S11" s="55">
        <f t="shared" si="4"/>
        <v>27120</v>
      </c>
      <c r="T11" s="53">
        <v>1041</v>
      </c>
      <c r="U11" s="55">
        <f t="shared" si="5"/>
        <v>8328</v>
      </c>
      <c r="V11" s="53">
        <v>965</v>
      </c>
      <c r="W11" s="57">
        <v>12</v>
      </c>
      <c r="X11" s="55">
        <f t="shared" si="6"/>
        <v>11580</v>
      </c>
      <c r="Y11" s="53">
        <v>976</v>
      </c>
      <c r="Z11" s="57">
        <v>10</v>
      </c>
      <c r="AA11" s="55">
        <f t="shared" si="7"/>
        <v>9760</v>
      </c>
      <c r="AB11" s="53">
        <v>290</v>
      </c>
      <c r="AC11" s="57">
        <v>25</v>
      </c>
      <c r="AD11" s="55">
        <f t="shared" si="8"/>
        <v>7250</v>
      </c>
      <c r="AE11" s="53">
        <v>155</v>
      </c>
      <c r="AF11" s="57">
        <v>7.5</v>
      </c>
      <c r="AG11" s="55">
        <f t="shared" si="9"/>
        <v>1162.5</v>
      </c>
      <c r="AH11" s="53"/>
      <c r="AI11" s="56">
        <v>15</v>
      </c>
      <c r="AJ11" s="55">
        <f t="shared" si="10"/>
        <v>0</v>
      </c>
      <c r="AK11" s="53">
        <v>160</v>
      </c>
      <c r="AL11" s="57">
        <v>10</v>
      </c>
      <c r="AM11" s="55">
        <f t="shared" si="11"/>
        <v>1600</v>
      </c>
      <c r="AN11" s="53">
        <f t="shared" si="12"/>
        <v>5847</v>
      </c>
      <c r="AO11" s="53"/>
      <c r="AP11" s="61"/>
      <c r="AQ11" s="53"/>
      <c r="AR11" s="53"/>
      <c r="AS11" s="55"/>
      <c r="AT11" s="53"/>
      <c r="AU11" s="53"/>
      <c r="AV11" s="66">
        <v>3216</v>
      </c>
      <c r="AW11" s="53"/>
      <c r="AX11" s="68">
        <f t="shared" si="13"/>
        <v>0.58374362961043447</v>
      </c>
      <c r="AY11" s="68">
        <f t="shared" si="14"/>
        <v>0.50505312257061419</v>
      </c>
      <c r="AZ11" s="68">
        <f t="shared" si="15"/>
        <v>0.4758804379994081</v>
      </c>
      <c r="BA11" s="55">
        <f t="shared" si="16"/>
        <v>642888</v>
      </c>
      <c r="BB11" s="55">
        <f t="shared" si="17"/>
        <v>613220</v>
      </c>
      <c r="BC11" s="55">
        <f t="shared" si="18"/>
        <v>642888</v>
      </c>
      <c r="BD11" s="55">
        <f t="shared" si="19"/>
        <v>644050.5</v>
      </c>
      <c r="BE11" s="62">
        <v>809692.5</v>
      </c>
      <c r="BF11" s="63">
        <v>523613.16</v>
      </c>
      <c r="BG11" s="69">
        <f t="shared" si="20"/>
        <v>64.668149945812758</v>
      </c>
      <c r="BH11" s="70">
        <f t="shared" si="21"/>
        <v>48879</v>
      </c>
      <c r="BI11" s="71">
        <f t="shared" si="22"/>
        <v>6.0367361683602114E-2</v>
      </c>
      <c r="BJ11" s="72">
        <f t="shared" si="43"/>
        <v>6</v>
      </c>
      <c r="BK11" s="61">
        <f t="shared" si="24"/>
        <v>89762</v>
      </c>
      <c r="BL11" s="69">
        <f t="shared" si="25"/>
        <v>2.3355060047681646</v>
      </c>
      <c r="BM11" s="73">
        <f t="shared" si="26"/>
        <v>68.75</v>
      </c>
      <c r="BN11" s="69">
        <f t="shared" si="27"/>
        <v>3049.3045818181818</v>
      </c>
      <c r="BO11" s="61">
        <f t="shared" si="28"/>
        <v>8997</v>
      </c>
      <c r="BP11" s="69">
        <f t="shared" si="29"/>
        <v>23.301065910859176</v>
      </c>
      <c r="BQ11" s="64">
        <f t="shared" si="30"/>
        <v>61932.94</v>
      </c>
      <c r="BR11" s="69">
        <f t="shared" si="31"/>
        <v>3.3849465244181851</v>
      </c>
      <c r="BS11" s="65">
        <v>209639.69</v>
      </c>
      <c r="BT11" s="74">
        <f t="shared" si="32"/>
        <v>25.891272303991947</v>
      </c>
      <c r="BU11" s="75">
        <f t="shared" si="33"/>
        <v>76439.650000000023</v>
      </c>
      <c r="BV11" s="69">
        <f t="shared" si="34"/>
        <v>9.4405777501952937</v>
      </c>
      <c r="BW11" s="55">
        <v>18297</v>
      </c>
      <c r="BX11" s="55">
        <v>12110</v>
      </c>
      <c r="BY11" s="55">
        <v>12492</v>
      </c>
      <c r="BZ11" s="55">
        <v>5980</v>
      </c>
      <c r="CA11" s="64">
        <v>89762</v>
      </c>
      <c r="CB11" s="64">
        <v>68.75</v>
      </c>
      <c r="CC11" s="64">
        <v>8997</v>
      </c>
      <c r="CD11" s="76">
        <f t="shared" si="35"/>
        <v>2.259746755712817E-2</v>
      </c>
      <c r="CE11" s="76">
        <f t="shared" si="36"/>
        <v>1.4956295136734007E-2</v>
      </c>
      <c r="CF11" s="76">
        <f t="shared" si="37"/>
        <v>1.5428079178206541E-2</v>
      </c>
      <c r="CG11" s="76">
        <f t="shared" si="38"/>
        <v>7.3855198115333909E-3</v>
      </c>
      <c r="CH11" s="76">
        <f t="shared" si="39"/>
        <v>0.11085936945198331</v>
      </c>
      <c r="CI11" s="63">
        <f t="shared" si="40"/>
        <v>15287.930000000006</v>
      </c>
      <c r="CJ11" s="77">
        <f t="shared" si="41"/>
        <v>68795.685000000027</v>
      </c>
    </row>
    <row r="12" spans="1:88" ht="18.75" customHeight="1" x14ac:dyDescent="0.35">
      <c r="A12" s="50" t="e">
        <f t="shared" si="42"/>
        <v>#REF!</v>
      </c>
      <c r="B12" s="51">
        <v>5</v>
      </c>
      <c r="C12" s="52" t="s">
        <v>209</v>
      </c>
      <c r="D12" s="52"/>
      <c r="E12" s="53"/>
      <c r="F12" s="54">
        <v>40</v>
      </c>
      <c r="G12" s="55">
        <f t="shared" si="0"/>
        <v>0</v>
      </c>
      <c r="H12" s="53">
        <v>9352</v>
      </c>
      <c r="I12" s="56">
        <v>50</v>
      </c>
      <c r="J12" s="55">
        <f t="shared" si="1"/>
        <v>467600</v>
      </c>
      <c r="K12" s="53"/>
      <c r="L12" s="57">
        <v>60</v>
      </c>
      <c r="M12" s="55">
        <f t="shared" si="2"/>
        <v>0</v>
      </c>
      <c r="N12" s="53">
        <v>8150</v>
      </c>
      <c r="O12" s="57">
        <v>15</v>
      </c>
      <c r="P12" s="55">
        <f t="shared" si="3"/>
        <v>122250</v>
      </c>
      <c r="Q12" s="53">
        <v>8460</v>
      </c>
      <c r="R12" s="59">
        <v>12</v>
      </c>
      <c r="S12" s="55">
        <f t="shared" si="4"/>
        <v>101520</v>
      </c>
      <c r="T12" s="53">
        <v>642</v>
      </c>
      <c r="U12" s="55">
        <f t="shared" si="5"/>
        <v>5136</v>
      </c>
      <c r="V12" s="53">
        <v>335</v>
      </c>
      <c r="W12" s="57">
        <v>12</v>
      </c>
      <c r="X12" s="55">
        <f t="shared" si="6"/>
        <v>4020</v>
      </c>
      <c r="Y12" s="53">
        <v>790</v>
      </c>
      <c r="Z12" s="57">
        <v>10</v>
      </c>
      <c r="AA12" s="55">
        <f t="shared" si="7"/>
        <v>7900</v>
      </c>
      <c r="AB12" s="53">
        <v>289</v>
      </c>
      <c r="AC12" s="57">
        <v>25</v>
      </c>
      <c r="AD12" s="55">
        <f t="shared" si="8"/>
        <v>7225</v>
      </c>
      <c r="AE12" s="53">
        <v>272</v>
      </c>
      <c r="AF12" s="57">
        <v>7.5</v>
      </c>
      <c r="AG12" s="55">
        <f t="shared" si="9"/>
        <v>2040</v>
      </c>
      <c r="AH12" s="53"/>
      <c r="AI12" s="56">
        <v>15</v>
      </c>
      <c r="AJ12" s="55">
        <f t="shared" si="10"/>
        <v>0</v>
      </c>
      <c r="AK12" s="53">
        <v>381</v>
      </c>
      <c r="AL12" s="57">
        <v>10</v>
      </c>
      <c r="AM12" s="55">
        <f t="shared" si="11"/>
        <v>3810</v>
      </c>
      <c r="AN12" s="53">
        <f t="shared" si="12"/>
        <v>11169</v>
      </c>
      <c r="AO12" s="53"/>
      <c r="AP12" s="61"/>
      <c r="AQ12" s="53"/>
      <c r="AR12" s="53"/>
      <c r="AS12" s="55"/>
      <c r="AT12" s="53"/>
      <c r="AU12" s="53"/>
      <c r="AV12" s="66">
        <f>544+1915+694+108+293</f>
        <v>3554</v>
      </c>
      <c r="AW12" s="53"/>
      <c r="AX12" s="68">
        <f t="shared" si="13"/>
        <v>0.87147134302822926</v>
      </c>
      <c r="AY12" s="68">
        <f t="shared" si="14"/>
        <v>1.1942899914456802</v>
      </c>
      <c r="AZ12" s="68">
        <f t="shared" si="15"/>
        <v>0.43607361963190183</v>
      </c>
      <c r="BA12" s="55">
        <f t="shared" si="16"/>
        <v>593401</v>
      </c>
      <c r="BB12" s="55">
        <f t="shared" si="17"/>
        <v>576345</v>
      </c>
      <c r="BC12" s="55">
        <f t="shared" si="18"/>
        <v>593401</v>
      </c>
      <c r="BD12" s="55">
        <f t="shared" si="19"/>
        <v>595441</v>
      </c>
      <c r="BE12" s="62">
        <v>788920</v>
      </c>
      <c r="BF12" s="63">
        <v>517977.13</v>
      </c>
      <c r="BG12" s="69">
        <f t="shared" si="20"/>
        <v>65.656483547127721</v>
      </c>
      <c r="BH12" s="70">
        <f t="shared" si="21"/>
        <v>55351.75</v>
      </c>
      <c r="BI12" s="71">
        <f t="shared" si="22"/>
        <v>7.0161423211478988E-2</v>
      </c>
      <c r="BJ12" s="72">
        <v>4</v>
      </c>
      <c r="BK12" s="61">
        <f t="shared" si="24"/>
        <v>63810.5</v>
      </c>
      <c r="BL12" s="69">
        <f t="shared" si="25"/>
        <v>3.4401261547864381</v>
      </c>
      <c r="BM12" s="73">
        <f t="shared" si="26"/>
        <v>800</v>
      </c>
      <c r="BN12" s="69">
        <f t="shared" si="27"/>
        <v>274.39521250000001</v>
      </c>
      <c r="BO12" s="61">
        <f t="shared" si="28"/>
        <v>44000</v>
      </c>
      <c r="BP12" s="69">
        <f t="shared" si="29"/>
        <v>4.9890038636363636</v>
      </c>
      <c r="BQ12" s="64">
        <f t="shared" si="30"/>
        <v>55553.920000000013</v>
      </c>
      <c r="BR12" s="69">
        <f t="shared" si="31"/>
        <v>3.9514073894335442</v>
      </c>
      <c r="BS12" s="65">
        <v>219516.17</v>
      </c>
      <c r="BT12" s="74">
        <f t="shared" si="32"/>
        <v>27.824896060437055</v>
      </c>
      <c r="BU12" s="75">
        <f t="shared" si="33"/>
        <v>51426.699999999983</v>
      </c>
      <c r="BV12" s="69">
        <f t="shared" si="34"/>
        <v>6.518620392435226</v>
      </c>
      <c r="BW12" s="55">
        <v>24359</v>
      </c>
      <c r="BX12" s="55">
        <v>14319</v>
      </c>
      <c r="BY12" s="55">
        <v>12366</v>
      </c>
      <c r="BZ12" s="55">
        <f>3240+1067.75</f>
        <v>4307.75</v>
      </c>
      <c r="CA12" s="64">
        <v>63810.5</v>
      </c>
      <c r="CB12" s="64">
        <v>800</v>
      </c>
      <c r="CC12" s="64">
        <v>44000</v>
      </c>
      <c r="CD12" s="76">
        <f t="shared" si="35"/>
        <v>3.0876387973432035E-2</v>
      </c>
      <c r="CE12" s="76">
        <f t="shared" si="36"/>
        <v>1.8150129290675859E-2</v>
      </c>
      <c r="CF12" s="76">
        <f t="shared" si="37"/>
        <v>1.5674593114637734E-2</v>
      </c>
      <c r="CG12" s="76">
        <f t="shared" si="38"/>
        <v>5.4603128327333572E-3</v>
      </c>
      <c r="CH12" s="76">
        <f t="shared" si="39"/>
        <v>8.0883359529483348E-2</v>
      </c>
      <c r="CI12" s="63">
        <f t="shared" si="40"/>
        <v>10285.339999999997</v>
      </c>
      <c r="CJ12" s="77">
        <f t="shared" si="41"/>
        <v>46284.029999999984</v>
      </c>
    </row>
    <row r="13" spans="1:88" ht="18.75" customHeight="1" x14ac:dyDescent="0.35">
      <c r="A13" s="50" t="e">
        <f t="shared" si="42"/>
        <v>#REF!</v>
      </c>
      <c r="B13" s="51">
        <v>5</v>
      </c>
      <c r="C13" s="52" t="s">
        <v>206</v>
      </c>
      <c r="D13" s="52"/>
      <c r="E13" s="53"/>
      <c r="F13" s="54">
        <v>40</v>
      </c>
      <c r="G13" s="55">
        <f t="shared" si="0"/>
        <v>0</v>
      </c>
      <c r="H13" s="53">
        <v>11815</v>
      </c>
      <c r="I13" s="56">
        <v>50</v>
      </c>
      <c r="J13" s="55">
        <f t="shared" si="1"/>
        <v>590750</v>
      </c>
      <c r="K13" s="53"/>
      <c r="L13" s="57">
        <v>60</v>
      </c>
      <c r="M13" s="55">
        <f t="shared" si="2"/>
        <v>0</v>
      </c>
      <c r="N13" s="53">
        <v>4729</v>
      </c>
      <c r="O13" s="57">
        <v>15</v>
      </c>
      <c r="P13" s="55">
        <f t="shared" si="3"/>
        <v>70935</v>
      </c>
      <c r="Q13" s="53">
        <v>1460</v>
      </c>
      <c r="R13" s="59">
        <v>12</v>
      </c>
      <c r="S13" s="55">
        <f t="shared" si="4"/>
        <v>17520</v>
      </c>
      <c r="T13" s="53">
        <v>1130</v>
      </c>
      <c r="U13" s="55">
        <f t="shared" si="5"/>
        <v>9040</v>
      </c>
      <c r="V13" s="53">
        <v>336</v>
      </c>
      <c r="W13" s="57">
        <v>12</v>
      </c>
      <c r="X13" s="55">
        <f t="shared" si="6"/>
        <v>4032</v>
      </c>
      <c r="Y13" s="53">
        <v>954</v>
      </c>
      <c r="Z13" s="57">
        <v>10</v>
      </c>
      <c r="AA13" s="55">
        <f t="shared" si="7"/>
        <v>9540</v>
      </c>
      <c r="AB13" s="53">
        <v>214</v>
      </c>
      <c r="AC13" s="57">
        <v>25</v>
      </c>
      <c r="AD13" s="55">
        <f t="shared" si="8"/>
        <v>5350</v>
      </c>
      <c r="AE13" s="53">
        <v>64</v>
      </c>
      <c r="AF13" s="57">
        <v>7.5</v>
      </c>
      <c r="AG13" s="55">
        <f t="shared" si="9"/>
        <v>480</v>
      </c>
      <c r="AH13" s="53"/>
      <c r="AI13" s="56">
        <v>15</v>
      </c>
      <c r="AJ13" s="55">
        <f t="shared" si="10"/>
        <v>0</v>
      </c>
      <c r="AK13" s="53">
        <v>238</v>
      </c>
      <c r="AL13" s="57">
        <v>10</v>
      </c>
      <c r="AM13" s="55">
        <f t="shared" si="11"/>
        <v>2380</v>
      </c>
      <c r="AN13" s="53">
        <f t="shared" si="12"/>
        <v>4396</v>
      </c>
      <c r="AO13" s="53"/>
      <c r="AP13" s="61"/>
      <c r="AQ13" s="53"/>
      <c r="AR13" s="53"/>
      <c r="AS13" s="55"/>
      <c r="AT13" s="53"/>
      <c r="AU13" s="53"/>
      <c r="AV13" s="66">
        <v>2931</v>
      </c>
      <c r="AW13" s="53"/>
      <c r="AX13" s="68">
        <f t="shared" si="13"/>
        <v>0.40025391451544645</v>
      </c>
      <c r="AY13" s="68">
        <f t="shared" si="14"/>
        <v>0.37206940330088872</v>
      </c>
      <c r="AZ13" s="68">
        <f t="shared" si="15"/>
        <v>0.61979276802706706</v>
      </c>
      <c r="BA13" s="55">
        <f t="shared" si="16"/>
        <v>636232</v>
      </c>
      <c r="BB13" s="55">
        <f t="shared" si="17"/>
        <v>613620</v>
      </c>
      <c r="BC13" s="55">
        <f t="shared" si="18"/>
        <v>636232</v>
      </c>
      <c r="BD13" s="55">
        <f t="shared" si="19"/>
        <v>636712</v>
      </c>
      <c r="BE13" s="62">
        <v>767842</v>
      </c>
      <c r="BF13" s="63">
        <v>504688.36</v>
      </c>
      <c r="BG13" s="69">
        <f t="shared" si="20"/>
        <v>65.728152406354425</v>
      </c>
      <c r="BH13" s="70">
        <f t="shared" si="21"/>
        <v>63066.58</v>
      </c>
      <c r="BI13" s="71">
        <f t="shared" si="22"/>
        <v>8.2134840240570328E-2</v>
      </c>
      <c r="BJ13" s="72">
        <f t="shared" ref="BJ13:BJ15" si="44">B13</f>
        <v>5</v>
      </c>
      <c r="BK13" s="61">
        <f t="shared" si="24"/>
        <v>61349.5</v>
      </c>
      <c r="BL13" s="69">
        <f t="shared" si="25"/>
        <v>2.9685526369408062</v>
      </c>
      <c r="BM13" s="73">
        <f t="shared" si="26"/>
        <v>0</v>
      </c>
      <c r="BN13" s="69" t="e">
        <f t="shared" si="27"/>
        <v>#DIV/0!</v>
      </c>
      <c r="BO13" s="61">
        <f t="shared" si="28"/>
        <v>16000</v>
      </c>
      <c r="BP13" s="69">
        <f t="shared" si="29"/>
        <v>11.382451250000001</v>
      </c>
      <c r="BQ13" s="64">
        <f t="shared" si="30"/>
        <v>41703.14</v>
      </c>
      <c r="BR13" s="69">
        <f t="shared" si="31"/>
        <v>4.3670385491356285</v>
      </c>
      <c r="BS13" s="65">
        <v>182119.22</v>
      </c>
      <c r="BT13" s="74">
        <f t="shared" si="32"/>
        <v>23.71831965430388</v>
      </c>
      <c r="BU13" s="75">
        <f t="shared" si="33"/>
        <v>81034.420000000013</v>
      </c>
      <c r="BV13" s="69">
        <f t="shared" si="34"/>
        <v>10.55352793934169</v>
      </c>
      <c r="BW13" s="55">
        <v>30422.58</v>
      </c>
      <c r="BX13" s="55">
        <v>12728</v>
      </c>
      <c r="BY13" s="55">
        <v>15056</v>
      </c>
      <c r="BZ13" s="55">
        <v>4860</v>
      </c>
      <c r="CA13" s="55">
        <v>61349.5</v>
      </c>
      <c r="CB13" s="64"/>
      <c r="CC13" s="64">
        <v>16000</v>
      </c>
      <c r="CD13" s="76">
        <f t="shared" si="35"/>
        <v>3.9620885546766134E-2</v>
      </c>
      <c r="CE13" s="76">
        <f t="shared" si="36"/>
        <v>1.657632690058632E-2</v>
      </c>
      <c r="CF13" s="76">
        <f t="shared" si="37"/>
        <v>1.9608200645445287E-2</v>
      </c>
      <c r="CG13" s="76">
        <f t="shared" si="38"/>
        <v>6.3294271477725888E-3</v>
      </c>
      <c r="CH13" s="76">
        <f t="shared" si="39"/>
        <v>7.9898598930509143E-2</v>
      </c>
      <c r="CI13" s="63">
        <f t="shared" si="40"/>
        <v>16206.884000000004</v>
      </c>
      <c r="CJ13" s="77">
        <f t="shared" si="41"/>
        <v>72930.978000000017</v>
      </c>
    </row>
    <row r="14" spans="1:88" ht="18.75" customHeight="1" x14ac:dyDescent="0.35">
      <c r="A14" s="50" t="e">
        <f t="shared" si="42"/>
        <v>#REF!</v>
      </c>
      <c r="B14" s="58">
        <v>3</v>
      </c>
      <c r="C14" s="52" t="s">
        <v>212</v>
      </c>
      <c r="D14" s="52"/>
      <c r="E14" s="53"/>
      <c r="F14" s="54">
        <v>40</v>
      </c>
      <c r="G14" s="55">
        <f t="shared" si="0"/>
        <v>0</v>
      </c>
      <c r="H14" s="53">
        <v>11572</v>
      </c>
      <c r="I14" s="56">
        <v>50</v>
      </c>
      <c r="J14" s="55">
        <f t="shared" si="1"/>
        <v>578600</v>
      </c>
      <c r="K14" s="53"/>
      <c r="L14" s="57">
        <v>60</v>
      </c>
      <c r="M14" s="55">
        <f t="shared" si="2"/>
        <v>0</v>
      </c>
      <c r="N14" s="53">
        <v>3846</v>
      </c>
      <c r="O14" s="57">
        <v>15</v>
      </c>
      <c r="P14" s="55">
        <f t="shared" si="3"/>
        <v>57690</v>
      </c>
      <c r="Q14" s="53">
        <v>2780</v>
      </c>
      <c r="R14" s="59">
        <v>12</v>
      </c>
      <c r="S14" s="55">
        <f t="shared" si="4"/>
        <v>33360</v>
      </c>
      <c r="T14" s="53">
        <v>794</v>
      </c>
      <c r="U14" s="55">
        <f t="shared" si="5"/>
        <v>6352</v>
      </c>
      <c r="V14" s="53">
        <v>510</v>
      </c>
      <c r="W14" s="57">
        <v>12</v>
      </c>
      <c r="X14" s="55">
        <f t="shared" si="6"/>
        <v>6120</v>
      </c>
      <c r="Y14" s="53">
        <v>1055</v>
      </c>
      <c r="Z14" s="57">
        <v>10</v>
      </c>
      <c r="AA14" s="55">
        <f t="shared" si="7"/>
        <v>10550</v>
      </c>
      <c r="AB14" s="53">
        <v>399</v>
      </c>
      <c r="AC14" s="57">
        <v>25</v>
      </c>
      <c r="AD14" s="55">
        <f t="shared" si="8"/>
        <v>9975</v>
      </c>
      <c r="AE14" s="53"/>
      <c r="AF14" s="57">
        <v>7.5</v>
      </c>
      <c r="AG14" s="55">
        <f t="shared" si="9"/>
        <v>0</v>
      </c>
      <c r="AH14" s="53"/>
      <c r="AI14" s="56">
        <v>15</v>
      </c>
      <c r="AJ14" s="55">
        <f t="shared" si="10"/>
        <v>0</v>
      </c>
      <c r="AK14" s="53">
        <v>252</v>
      </c>
      <c r="AL14" s="57">
        <v>10</v>
      </c>
      <c r="AM14" s="55">
        <f t="shared" si="11"/>
        <v>2520</v>
      </c>
      <c r="AN14" s="53">
        <f t="shared" si="12"/>
        <v>5790</v>
      </c>
      <c r="AO14" s="53"/>
      <c r="AP14" s="61"/>
      <c r="AQ14" s="53"/>
      <c r="AR14" s="53"/>
      <c r="AS14" s="55"/>
      <c r="AT14" s="53"/>
      <c r="AU14" s="53"/>
      <c r="AV14" s="66">
        <v>1668</v>
      </c>
      <c r="AW14" s="53"/>
      <c r="AX14" s="68">
        <f t="shared" si="13"/>
        <v>0.33235395782924299</v>
      </c>
      <c r="AY14" s="68">
        <f t="shared" si="14"/>
        <v>0.50034566194262009</v>
      </c>
      <c r="AZ14" s="68">
        <f t="shared" si="15"/>
        <v>0.43369734789391573</v>
      </c>
      <c r="BA14" s="55">
        <f t="shared" si="16"/>
        <v>644957</v>
      </c>
      <c r="BB14" s="55">
        <f t="shared" si="17"/>
        <v>621935</v>
      </c>
      <c r="BC14" s="55">
        <f t="shared" si="18"/>
        <v>644957</v>
      </c>
      <c r="BD14" s="55">
        <f t="shared" si="19"/>
        <v>644957</v>
      </c>
      <c r="BE14" s="62">
        <v>738174</v>
      </c>
      <c r="BF14" s="63">
        <v>488357.53</v>
      </c>
      <c r="BG14" s="69">
        <f t="shared" si="20"/>
        <v>66.157508934207925</v>
      </c>
      <c r="BH14" s="70">
        <f t="shared" si="21"/>
        <v>52516</v>
      </c>
      <c r="BI14" s="71">
        <f t="shared" si="22"/>
        <v>7.1143118018245022E-2</v>
      </c>
      <c r="BJ14" s="72">
        <f t="shared" si="44"/>
        <v>3</v>
      </c>
      <c r="BK14" s="61">
        <f t="shared" si="24"/>
        <v>61550</v>
      </c>
      <c r="BL14" s="69">
        <f t="shared" si="25"/>
        <v>2.6258826969943132</v>
      </c>
      <c r="BM14" s="73">
        <f t="shared" si="26"/>
        <v>0</v>
      </c>
      <c r="BN14" s="69" t="e">
        <f t="shared" si="27"/>
        <v>#DIV/0!</v>
      </c>
      <c r="BO14" s="61">
        <f t="shared" si="28"/>
        <v>16500</v>
      </c>
      <c r="BP14" s="69">
        <f t="shared" si="29"/>
        <v>9.7953381818181811</v>
      </c>
      <c r="BQ14" s="64">
        <f t="shared" si="30"/>
        <v>31057.079999999987</v>
      </c>
      <c r="BR14" s="69">
        <f t="shared" si="31"/>
        <v>5.2040655464068113</v>
      </c>
      <c r="BS14" s="65">
        <v>161623.07999999999</v>
      </c>
      <c r="BT14" s="74">
        <f t="shared" si="32"/>
        <v>21.894984109437612</v>
      </c>
      <c r="BU14" s="75">
        <f t="shared" si="33"/>
        <v>88193.389999999985</v>
      </c>
      <c r="BV14" s="69">
        <f t="shared" si="34"/>
        <v>11.947506956354463</v>
      </c>
      <c r="BW14" s="55">
        <v>24211</v>
      </c>
      <c r="BX14" s="55">
        <v>11137</v>
      </c>
      <c r="BY14" s="55">
        <v>12308</v>
      </c>
      <c r="BZ14" s="55">
        <v>4860</v>
      </c>
      <c r="CA14" s="64">
        <v>61550</v>
      </c>
      <c r="CB14" s="64"/>
      <c r="CC14" s="64">
        <v>16500</v>
      </c>
      <c r="CD14" s="76">
        <f t="shared" si="35"/>
        <v>3.2798500082636343E-2</v>
      </c>
      <c r="CE14" s="76">
        <f t="shared" si="36"/>
        <v>1.5087228756363676E-2</v>
      </c>
      <c r="CF14" s="76">
        <f t="shared" si="37"/>
        <v>1.6673575606835245E-2</v>
      </c>
      <c r="CG14" s="76">
        <f t="shared" si="38"/>
        <v>6.5838135724097567E-3</v>
      </c>
      <c r="CH14" s="76">
        <f t="shared" si="39"/>
        <v>8.3381424975683238E-2</v>
      </c>
      <c r="CI14" s="63">
        <f t="shared" si="40"/>
        <v>17638.677999999996</v>
      </c>
      <c r="CJ14" s="77">
        <f t="shared" si="41"/>
        <v>79374.050999999992</v>
      </c>
    </row>
    <row r="15" spans="1:88" ht="18.75" customHeight="1" x14ac:dyDescent="0.35">
      <c r="A15" s="50" t="e">
        <f t="shared" si="42"/>
        <v>#REF!</v>
      </c>
      <c r="B15" s="58">
        <v>4</v>
      </c>
      <c r="C15" s="52" t="s">
        <v>207</v>
      </c>
      <c r="D15" s="52"/>
      <c r="E15" s="53"/>
      <c r="F15" s="54">
        <v>40</v>
      </c>
      <c r="G15" s="55">
        <f t="shared" si="0"/>
        <v>0</v>
      </c>
      <c r="H15" s="53">
        <v>9974</v>
      </c>
      <c r="I15" s="56">
        <v>50</v>
      </c>
      <c r="J15" s="55">
        <f t="shared" si="1"/>
        <v>498700</v>
      </c>
      <c r="K15" s="53"/>
      <c r="L15" s="57">
        <v>60</v>
      </c>
      <c r="M15" s="55">
        <f t="shared" si="2"/>
        <v>0</v>
      </c>
      <c r="N15" s="53">
        <v>4086</v>
      </c>
      <c r="O15" s="57">
        <v>15</v>
      </c>
      <c r="P15" s="55">
        <f t="shared" si="3"/>
        <v>61290</v>
      </c>
      <c r="Q15" s="53">
        <v>1421</v>
      </c>
      <c r="R15" s="59">
        <v>12</v>
      </c>
      <c r="S15" s="55">
        <f t="shared" si="4"/>
        <v>17052</v>
      </c>
      <c r="T15" s="53">
        <v>631</v>
      </c>
      <c r="U15" s="55">
        <f t="shared" si="5"/>
        <v>5048</v>
      </c>
      <c r="V15" s="53">
        <v>766</v>
      </c>
      <c r="W15" s="57">
        <v>12</v>
      </c>
      <c r="X15" s="55">
        <f t="shared" si="6"/>
        <v>9192</v>
      </c>
      <c r="Y15" s="53">
        <v>693</v>
      </c>
      <c r="Z15" s="57">
        <v>10</v>
      </c>
      <c r="AA15" s="55">
        <f t="shared" si="7"/>
        <v>6930</v>
      </c>
      <c r="AB15" s="53">
        <v>389</v>
      </c>
      <c r="AC15" s="57">
        <v>25</v>
      </c>
      <c r="AD15" s="55">
        <f t="shared" si="8"/>
        <v>9725</v>
      </c>
      <c r="AE15" s="53"/>
      <c r="AF15" s="57">
        <v>7.5</v>
      </c>
      <c r="AG15" s="55">
        <f t="shared" si="9"/>
        <v>0</v>
      </c>
      <c r="AH15" s="53"/>
      <c r="AI15" s="56">
        <v>15</v>
      </c>
      <c r="AJ15" s="55">
        <f t="shared" si="10"/>
        <v>0</v>
      </c>
      <c r="AK15" s="53">
        <v>397</v>
      </c>
      <c r="AL15" s="57">
        <v>10</v>
      </c>
      <c r="AM15" s="55">
        <f t="shared" si="11"/>
        <v>3970</v>
      </c>
      <c r="AN15" s="53">
        <f t="shared" si="12"/>
        <v>4297</v>
      </c>
      <c r="AO15" s="53"/>
      <c r="AP15" s="61"/>
      <c r="AQ15" s="53"/>
      <c r="AR15" s="53"/>
      <c r="AS15" s="55"/>
      <c r="AT15" s="53"/>
      <c r="AU15" s="53"/>
      <c r="AV15" s="66">
        <v>2225</v>
      </c>
      <c r="AW15" s="53"/>
      <c r="AX15" s="68">
        <f t="shared" si="13"/>
        <v>0.4096651293362743</v>
      </c>
      <c r="AY15" s="68">
        <f t="shared" si="14"/>
        <v>0.43082013234409466</v>
      </c>
      <c r="AZ15" s="68">
        <f t="shared" si="15"/>
        <v>0.54454233969652477</v>
      </c>
      <c r="BA15" s="55">
        <f t="shared" si="16"/>
        <v>546647</v>
      </c>
      <c r="BB15" s="55">
        <f t="shared" si="17"/>
        <v>525477</v>
      </c>
      <c r="BC15" s="55">
        <f t="shared" si="18"/>
        <v>546647</v>
      </c>
      <c r="BD15" s="55">
        <f t="shared" si="19"/>
        <v>546647</v>
      </c>
      <c r="BE15" s="62">
        <v>657312</v>
      </c>
      <c r="BF15" s="63">
        <v>432214.59</v>
      </c>
      <c r="BG15" s="69">
        <f t="shared" si="20"/>
        <v>65.754860705418437</v>
      </c>
      <c r="BH15" s="70">
        <f t="shared" si="21"/>
        <v>52843</v>
      </c>
      <c r="BI15" s="71">
        <f t="shared" si="22"/>
        <v>8.039256852149361E-2</v>
      </c>
      <c r="BJ15" s="72">
        <f t="shared" si="44"/>
        <v>4</v>
      </c>
      <c r="BK15" s="61">
        <f t="shared" si="24"/>
        <v>62810</v>
      </c>
      <c r="BL15" s="69">
        <f t="shared" si="25"/>
        <v>2.9984496099347235</v>
      </c>
      <c r="BM15" s="73">
        <f t="shared" si="26"/>
        <v>0</v>
      </c>
      <c r="BN15" s="69" t="e">
        <f t="shared" si="27"/>
        <v>#DIV/0!</v>
      </c>
      <c r="BO15" s="61">
        <f t="shared" si="28"/>
        <v>36000</v>
      </c>
      <c r="BP15" s="69">
        <f t="shared" si="29"/>
        <v>5.2314616666666662</v>
      </c>
      <c r="BQ15" s="64">
        <f t="shared" si="30"/>
        <v>36679.619999999995</v>
      </c>
      <c r="BR15" s="69">
        <f t="shared" si="31"/>
        <v>5.1345302922985576</v>
      </c>
      <c r="BS15" s="65">
        <v>188332.62</v>
      </c>
      <c r="BT15" s="74">
        <f t="shared" si="32"/>
        <v>28.651936979699137</v>
      </c>
      <c r="BU15" s="75">
        <f t="shared" si="33"/>
        <v>36764.789999999979</v>
      </c>
      <c r="BV15" s="69">
        <f t="shared" si="34"/>
        <v>5.5932023148824275</v>
      </c>
      <c r="BW15" s="55">
        <v>24211</v>
      </c>
      <c r="BX15" s="55">
        <v>10380</v>
      </c>
      <c r="BY15" s="55">
        <v>12492</v>
      </c>
      <c r="BZ15" s="55">
        <v>5760</v>
      </c>
      <c r="CA15" s="64">
        <v>62810</v>
      </c>
      <c r="CB15" s="64"/>
      <c r="CC15" s="64">
        <v>36000</v>
      </c>
      <c r="CD15" s="76">
        <f t="shared" si="35"/>
        <v>3.6833345504113726E-2</v>
      </c>
      <c r="CE15" s="76">
        <f t="shared" si="36"/>
        <v>1.5791587556594128E-2</v>
      </c>
      <c r="CF15" s="76">
        <f t="shared" si="37"/>
        <v>1.900467357966993E-2</v>
      </c>
      <c r="CG15" s="76">
        <f t="shared" si="38"/>
        <v>8.7629618811158171E-3</v>
      </c>
      <c r="CH15" s="76">
        <f t="shared" si="39"/>
        <v>9.5555839540431328E-2</v>
      </c>
      <c r="CI15" s="63">
        <f t="shared" si="40"/>
        <v>7352.957999999996</v>
      </c>
      <c r="CJ15" s="77">
        <f t="shared" si="41"/>
        <v>33088.31099999998</v>
      </c>
    </row>
    <row r="16" spans="1:88" ht="18.75" customHeight="1" x14ac:dyDescent="0.35">
      <c r="A16" s="50" t="e">
        <f t="shared" si="42"/>
        <v>#REF!</v>
      </c>
      <c r="B16" s="51">
        <v>4</v>
      </c>
      <c r="C16" s="52" t="s">
        <v>245</v>
      </c>
      <c r="D16" s="52"/>
      <c r="E16" s="53"/>
      <c r="F16" s="54">
        <v>40</v>
      </c>
      <c r="G16" s="55">
        <f t="shared" si="0"/>
        <v>0</v>
      </c>
      <c r="H16" s="53">
        <v>8849</v>
      </c>
      <c r="I16" s="56">
        <v>50</v>
      </c>
      <c r="J16" s="55">
        <f t="shared" si="1"/>
        <v>442450</v>
      </c>
      <c r="K16" s="53"/>
      <c r="L16" s="57">
        <v>60</v>
      </c>
      <c r="M16" s="55">
        <f t="shared" si="2"/>
        <v>0</v>
      </c>
      <c r="N16" s="53">
        <v>5122</v>
      </c>
      <c r="O16" s="57">
        <v>15</v>
      </c>
      <c r="P16" s="55">
        <f t="shared" si="3"/>
        <v>76830</v>
      </c>
      <c r="Q16" s="53">
        <v>520</v>
      </c>
      <c r="R16" s="59">
        <v>12</v>
      </c>
      <c r="S16" s="55">
        <f t="shared" si="4"/>
        <v>6240</v>
      </c>
      <c r="T16" s="53">
        <v>1839</v>
      </c>
      <c r="U16" s="55">
        <f t="shared" si="5"/>
        <v>14712</v>
      </c>
      <c r="V16" s="53">
        <v>1666</v>
      </c>
      <c r="W16" s="57">
        <v>12</v>
      </c>
      <c r="X16" s="55">
        <f t="shared" si="6"/>
        <v>19992</v>
      </c>
      <c r="Y16" s="53">
        <v>939</v>
      </c>
      <c r="Z16" s="57">
        <v>10</v>
      </c>
      <c r="AA16" s="55">
        <f t="shared" si="7"/>
        <v>9390</v>
      </c>
      <c r="AB16" s="53">
        <v>1017</v>
      </c>
      <c r="AC16" s="57">
        <v>25</v>
      </c>
      <c r="AD16" s="55">
        <f t="shared" si="8"/>
        <v>25425</v>
      </c>
      <c r="AE16" s="53">
        <v>588</v>
      </c>
      <c r="AF16" s="57">
        <v>7.5</v>
      </c>
      <c r="AG16" s="55">
        <f t="shared" si="9"/>
        <v>4410</v>
      </c>
      <c r="AH16" s="53"/>
      <c r="AI16" s="56">
        <v>15</v>
      </c>
      <c r="AJ16" s="55">
        <f t="shared" si="10"/>
        <v>0</v>
      </c>
      <c r="AK16" s="53">
        <v>73</v>
      </c>
      <c r="AL16" s="57">
        <v>10</v>
      </c>
      <c r="AM16" s="55">
        <f t="shared" si="11"/>
        <v>730</v>
      </c>
      <c r="AN16" s="53">
        <f t="shared" si="12"/>
        <v>6642</v>
      </c>
      <c r="AO16" s="53"/>
      <c r="AP16" s="61"/>
      <c r="AQ16" s="53"/>
      <c r="AR16" s="53"/>
      <c r="AS16" s="55"/>
      <c r="AT16" s="53"/>
      <c r="AU16" s="53"/>
      <c r="AV16" s="66">
        <f>1525+382+2+209+164</f>
        <v>2282</v>
      </c>
      <c r="AW16" s="53"/>
      <c r="AX16" s="68">
        <f t="shared" si="13"/>
        <v>0.57882246581534635</v>
      </c>
      <c r="AY16" s="68">
        <f t="shared" si="14"/>
        <v>0.75059328737710473</v>
      </c>
      <c r="AZ16" s="68">
        <f t="shared" si="15"/>
        <v>0.44552909019914094</v>
      </c>
      <c r="BA16" s="55">
        <f t="shared" si="16"/>
        <v>518209</v>
      </c>
      <c r="BB16" s="55">
        <f t="shared" si="17"/>
        <v>474115</v>
      </c>
      <c r="BC16" s="55">
        <f t="shared" si="18"/>
        <v>518209</v>
      </c>
      <c r="BD16" s="55">
        <f t="shared" si="19"/>
        <v>522619</v>
      </c>
      <c r="BE16" s="62">
        <v>637387</v>
      </c>
      <c r="BF16" s="63">
        <v>412094.68</v>
      </c>
      <c r="BG16" s="69">
        <f t="shared" si="20"/>
        <v>64.653762941509626</v>
      </c>
      <c r="BH16" s="70">
        <f t="shared" si="21"/>
        <v>56531.7</v>
      </c>
      <c r="BI16" s="71">
        <f t="shared" si="22"/>
        <v>8.8692897721478481E-2</v>
      </c>
      <c r="BJ16" s="72">
        <v>4</v>
      </c>
      <c r="BK16" s="61">
        <f t="shared" si="24"/>
        <v>56312.5</v>
      </c>
      <c r="BL16" s="69">
        <f t="shared" si="25"/>
        <v>3.0174018201997779</v>
      </c>
      <c r="BM16" s="73">
        <f t="shared" si="26"/>
        <v>1060.5</v>
      </c>
      <c r="BN16" s="69">
        <f t="shared" si="27"/>
        <v>160.22389438943895</v>
      </c>
      <c r="BO16" s="61">
        <f t="shared" si="28"/>
        <v>18000</v>
      </c>
      <c r="BP16" s="69">
        <f t="shared" si="29"/>
        <v>9.4398577777777781</v>
      </c>
      <c r="BQ16" s="64">
        <f t="shared" si="30"/>
        <v>38012.740000000005</v>
      </c>
      <c r="BR16" s="69">
        <f t="shared" si="31"/>
        <v>4.4700129482904938</v>
      </c>
      <c r="BS16" s="65">
        <v>169917.44</v>
      </c>
      <c r="BT16" s="74">
        <f t="shared" si="32"/>
        <v>26.658441417851321</v>
      </c>
      <c r="BU16" s="75">
        <f t="shared" si="33"/>
        <v>55374.880000000005</v>
      </c>
      <c r="BV16" s="69">
        <f t="shared" si="34"/>
        <v>8.6877956406390471</v>
      </c>
      <c r="BW16" s="55">
        <v>18195</v>
      </c>
      <c r="BX16" s="55">
        <v>15910</v>
      </c>
      <c r="BY16" s="55">
        <v>16430</v>
      </c>
      <c r="BZ16" s="55">
        <f>4860+1136.7</f>
        <v>5996.7</v>
      </c>
      <c r="CA16" s="64">
        <v>56312.5</v>
      </c>
      <c r="CB16" s="64">
        <v>1060.5</v>
      </c>
      <c r="CC16" s="64">
        <v>18000</v>
      </c>
      <c r="CD16" s="76">
        <f t="shared" si="35"/>
        <v>2.854623643092815E-2</v>
      </c>
      <c r="CE16" s="76">
        <f t="shared" si="36"/>
        <v>2.4961287255623351E-2</v>
      </c>
      <c r="CF16" s="76">
        <f t="shared" si="37"/>
        <v>2.5777118140156607E-2</v>
      </c>
      <c r="CG16" s="76">
        <f t="shared" si="38"/>
        <v>9.4082558947703662E-3</v>
      </c>
      <c r="CH16" s="76">
        <f t="shared" si="39"/>
        <v>8.8348993625536762E-2</v>
      </c>
      <c r="CI16" s="63">
        <f t="shared" si="40"/>
        <v>11074.976000000002</v>
      </c>
      <c r="CJ16" s="77">
        <f t="shared" si="41"/>
        <v>49837.392000000007</v>
      </c>
    </row>
    <row r="17" spans="1:88" ht="18.75" customHeight="1" x14ac:dyDescent="0.35">
      <c r="A17" s="50" t="e">
        <f t="shared" si="42"/>
        <v>#REF!</v>
      </c>
      <c r="B17" s="58">
        <v>5</v>
      </c>
      <c r="C17" s="52" t="s">
        <v>211</v>
      </c>
      <c r="D17" s="52"/>
      <c r="E17" s="53"/>
      <c r="F17" s="54">
        <v>40</v>
      </c>
      <c r="G17" s="55">
        <f t="shared" si="0"/>
        <v>0</v>
      </c>
      <c r="H17" s="53">
        <v>9506</v>
      </c>
      <c r="I17" s="56">
        <v>50</v>
      </c>
      <c r="J17" s="55">
        <f t="shared" si="1"/>
        <v>475300</v>
      </c>
      <c r="K17" s="53"/>
      <c r="L17" s="57">
        <v>60</v>
      </c>
      <c r="M17" s="55">
        <f t="shared" si="2"/>
        <v>0</v>
      </c>
      <c r="N17" s="53">
        <v>3821</v>
      </c>
      <c r="O17" s="57">
        <v>15</v>
      </c>
      <c r="P17" s="55">
        <f t="shared" si="3"/>
        <v>57315</v>
      </c>
      <c r="Q17" s="53">
        <v>4160</v>
      </c>
      <c r="R17" s="59">
        <v>12</v>
      </c>
      <c r="S17" s="55">
        <f t="shared" si="4"/>
        <v>49920</v>
      </c>
      <c r="T17" s="53">
        <v>478</v>
      </c>
      <c r="U17" s="55">
        <f t="shared" si="5"/>
        <v>3824</v>
      </c>
      <c r="V17" s="53">
        <v>543</v>
      </c>
      <c r="W17" s="57">
        <v>12</v>
      </c>
      <c r="X17" s="55">
        <f t="shared" si="6"/>
        <v>6516</v>
      </c>
      <c r="Y17" s="53">
        <v>527</v>
      </c>
      <c r="Z17" s="57">
        <v>10</v>
      </c>
      <c r="AA17" s="55">
        <f t="shared" si="7"/>
        <v>5270</v>
      </c>
      <c r="AB17" s="53">
        <v>298</v>
      </c>
      <c r="AC17" s="57">
        <v>25</v>
      </c>
      <c r="AD17" s="55">
        <f t="shared" si="8"/>
        <v>7450</v>
      </c>
      <c r="AE17" s="53">
        <v>157</v>
      </c>
      <c r="AF17" s="57">
        <v>7.5</v>
      </c>
      <c r="AG17" s="55">
        <f t="shared" si="9"/>
        <v>1177.5</v>
      </c>
      <c r="AH17" s="53"/>
      <c r="AI17" s="56">
        <v>15</v>
      </c>
      <c r="AJ17" s="55">
        <f t="shared" si="10"/>
        <v>0</v>
      </c>
      <c r="AK17" s="53">
        <v>103</v>
      </c>
      <c r="AL17" s="57">
        <v>10</v>
      </c>
      <c r="AM17" s="55">
        <f t="shared" si="11"/>
        <v>1030</v>
      </c>
      <c r="AN17" s="53">
        <f t="shared" si="12"/>
        <v>6266</v>
      </c>
      <c r="AO17" s="53"/>
      <c r="AP17" s="61"/>
      <c r="AQ17" s="53"/>
      <c r="AR17" s="53"/>
      <c r="AS17" s="55"/>
      <c r="AT17" s="53"/>
      <c r="AU17" s="53"/>
      <c r="AV17" s="66">
        <v>1266</v>
      </c>
      <c r="AW17" s="53"/>
      <c r="AX17" s="68">
        <f t="shared" si="13"/>
        <v>0.4019566589522407</v>
      </c>
      <c r="AY17" s="68">
        <f t="shared" si="14"/>
        <v>0.65916263412581533</v>
      </c>
      <c r="AZ17" s="68">
        <f t="shared" si="15"/>
        <v>0.3313268777806857</v>
      </c>
      <c r="BA17" s="55">
        <f t="shared" si="16"/>
        <v>548280</v>
      </c>
      <c r="BB17" s="55">
        <f t="shared" si="17"/>
        <v>532670</v>
      </c>
      <c r="BC17" s="55">
        <f t="shared" si="18"/>
        <v>548280</v>
      </c>
      <c r="BD17" s="55">
        <f t="shared" si="19"/>
        <v>549457.5</v>
      </c>
      <c r="BE17" s="62">
        <v>631978</v>
      </c>
      <c r="BF17" s="63">
        <v>413935.99</v>
      </c>
      <c r="BG17" s="69">
        <f t="shared" si="20"/>
        <v>65.498480959780252</v>
      </c>
      <c r="BH17" s="70">
        <f t="shared" si="21"/>
        <v>52225</v>
      </c>
      <c r="BI17" s="71">
        <f t="shared" si="22"/>
        <v>8.2637370288206238E-2</v>
      </c>
      <c r="BJ17" s="72">
        <f t="shared" ref="BJ17:BJ25" si="45">B17</f>
        <v>5</v>
      </c>
      <c r="BK17" s="61">
        <f t="shared" si="24"/>
        <v>75775</v>
      </c>
      <c r="BL17" s="69">
        <f t="shared" si="25"/>
        <v>2.6123373144176836</v>
      </c>
      <c r="BM17" s="73">
        <f t="shared" si="26"/>
        <v>0</v>
      </c>
      <c r="BN17" s="69" t="e">
        <f t="shared" si="27"/>
        <v>#DIV/0!</v>
      </c>
      <c r="BO17" s="61">
        <f t="shared" si="28"/>
        <v>15000</v>
      </c>
      <c r="BP17" s="69">
        <f t="shared" si="29"/>
        <v>13.196657333333333</v>
      </c>
      <c r="BQ17" s="64">
        <f t="shared" si="30"/>
        <v>54949.859999999986</v>
      </c>
      <c r="BR17" s="69">
        <f t="shared" si="31"/>
        <v>3.6023724173273606</v>
      </c>
      <c r="BS17" s="65">
        <v>197949.86</v>
      </c>
      <c r="BT17" s="74">
        <f t="shared" si="32"/>
        <v>31.322270711955163</v>
      </c>
      <c r="BU17" s="75">
        <f t="shared" si="33"/>
        <v>20092.150000000023</v>
      </c>
      <c r="BV17" s="69">
        <f t="shared" si="34"/>
        <v>3.1792483282645954</v>
      </c>
      <c r="BW17" s="55">
        <v>24211</v>
      </c>
      <c r="BX17" s="55">
        <v>12110</v>
      </c>
      <c r="BY17" s="55">
        <v>11104</v>
      </c>
      <c r="BZ17" s="55">
        <v>4800</v>
      </c>
      <c r="CA17" s="64">
        <v>75775</v>
      </c>
      <c r="CB17" s="64"/>
      <c r="CC17" s="64">
        <v>15000</v>
      </c>
      <c r="CD17" s="76">
        <f t="shared" si="35"/>
        <v>3.8309877875495668E-2</v>
      </c>
      <c r="CE17" s="76">
        <f t="shared" si="36"/>
        <v>1.9162059438777933E-2</v>
      </c>
      <c r="CF17" s="76">
        <f t="shared" si="37"/>
        <v>1.757023187516021E-2</v>
      </c>
      <c r="CG17" s="76">
        <f t="shared" si="38"/>
        <v>7.5952010987724253E-3</v>
      </c>
      <c r="CH17" s="76">
        <f t="shared" si="39"/>
        <v>0.11990132567905845</v>
      </c>
      <c r="CI17" s="63">
        <f t="shared" si="40"/>
        <v>4018.4300000000048</v>
      </c>
      <c r="CJ17" s="77">
        <f t="shared" si="41"/>
        <v>18082.935000000023</v>
      </c>
    </row>
    <row r="18" spans="1:88" ht="18.75" customHeight="1" x14ac:dyDescent="0.35">
      <c r="A18" s="50" t="e">
        <f t="shared" si="42"/>
        <v>#REF!</v>
      </c>
      <c r="B18" s="58">
        <v>4</v>
      </c>
      <c r="C18" s="52" t="s">
        <v>111</v>
      </c>
      <c r="D18" s="52"/>
      <c r="E18" s="53"/>
      <c r="F18" s="54">
        <v>40</v>
      </c>
      <c r="G18" s="55">
        <f t="shared" si="0"/>
        <v>0</v>
      </c>
      <c r="H18" s="53">
        <v>9920</v>
      </c>
      <c r="I18" s="56">
        <v>50</v>
      </c>
      <c r="J18" s="55">
        <f t="shared" si="1"/>
        <v>496000</v>
      </c>
      <c r="K18" s="53"/>
      <c r="L18" s="57">
        <v>60</v>
      </c>
      <c r="M18" s="55">
        <f t="shared" si="2"/>
        <v>0</v>
      </c>
      <c r="N18" s="53">
        <v>3345</v>
      </c>
      <c r="O18" s="57">
        <v>15</v>
      </c>
      <c r="P18" s="55">
        <f t="shared" si="3"/>
        <v>50175</v>
      </c>
      <c r="Q18" s="53">
        <v>370</v>
      </c>
      <c r="R18" s="59">
        <v>12</v>
      </c>
      <c r="S18" s="55">
        <f t="shared" si="4"/>
        <v>4440</v>
      </c>
      <c r="T18" s="53">
        <v>758</v>
      </c>
      <c r="U18" s="55">
        <f t="shared" si="5"/>
        <v>6064</v>
      </c>
      <c r="V18" s="53">
        <v>567</v>
      </c>
      <c r="W18" s="57">
        <v>12</v>
      </c>
      <c r="X18" s="55">
        <f t="shared" si="6"/>
        <v>6804</v>
      </c>
      <c r="Y18" s="53">
        <v>892</v>
      </c>
      <c r="Z18" s="57">
        <v>10</v>
      </c>
      <c r="AA18" s="55">
        <f t="shared" si="7"/>
        <v>8920</v>
      </c>
      <c r="AB18" s="53">
        <v>260</v>
      </c>
      <c r="AC18" s="57">
        <v>25</v>
      </c>
      <c r="AD18" s="55">
        <f t="shared" si="8"/>
        <v>6500</v>
      </c>
      <c r="AE18" s="53">
        <v>66</v>
      </c>
      <c r="AF18" s="57">
        <v>7.5</v>
      </c>
      <c r="AG18" s="55">
        <f t="shared" si="9"/>
        <v>495</v>
      </c>
      <c r="AH18" s="53"/>
      <c r="AI18" s="56">
        <v>15</v>
      </c>
      <c r="AJ18" s="55">
        <f t="shared" si="10"/>
        <v>0</v>
      </c>
      <c r="AK18" s="53"/>
      <c r="AL18" s="57">
        <v>10</v>
      </c>
      <c r="AM18" s="55">
        <f t="shared" si="11"/>
        <v>0</v>
      </c>
      <c r="AN18" s="53">
        <f t="shared" si="12"/>
        <v>2913</v>
      </c>
      <c r="AO18" s="53"/>
      <c r="AP18" s="61"/>
      <c r="AQ18" s="53"/>
      <c r="AR18" s="53"/>
      <c r="AS18" s="55"/>
      <c r="AT18" s="53"/>
      <c r="AU18" s="53"/>
      <c r="AV18" s="66">
        <v>1402</v>
      </c>
      <c r="AW18" s="53"/>
      <c r="AX18" s="68">
        <f t="shared" si="13"/>
        <v>0.33719758064516131</v>
      </c>
      <c r="AY18" s="68">
        <f t="shared" si="14"/>
        <v>0.29364919354838709</v>
      </c>
      <c r="AZ18" s="68">
        <f t="shared" si="15"/>
        <v>0.41913303437967114</v>
      </c>
      <c r="BA18" s="55">
        <f t="shared" si="16"/>
        <v>528728</v>
      </c>
      <c r="BB18" s="55">
        <f t="shared" si="17"/>
        <v>506940</v>
      </c>
      <c r="BC18" s="55">
        <f t="shared" si="18"/>
        <v>528728</v>
      </c>
      <c r="BD18" s="55">
        <f t="shared" si="19"/>
        <v>529223</v>
      </c>
      <c r="BE18" s="62">
        <v>606869</v>
      </c>
      <c r="BF18" s="63">
        <v>402784.38</v>
      </c>
      <c r="BG18" s="69">
        <f t="shared" si="20"/>
        <v>66.370893883193901</v>
      </c>
      <c r="BH18" s="70">
        <f t="shared" si="21"/>
        <v>57042</v>
      </c>
      <c r="BI18" s="71">
        <f t="shared" si="22"/>
        <v>9.3993926201536085E-2</v>
      </c>
      <c r="BJ18" s="72">
        <f t="shared" si="45"/>
        <v>4</v>
      </c>
      <c r="BK18" s="61">
        <f t="shared" si="24"/>
        <v>55775</v>
      </c>
      <c r="BL18" s="69">
        <f t="shared" si="25"/>
        <v>2.8239223666517255</v>
      </c>
      <c r="BM18" s="73">
        <f t="shared" si="26"/>
        <v>0</v>
      </c>
      <c r="BN18" s="69" t="e">
        <f t="shared" si="27"/>
        <v>#DIV/0!</v>
      </c>
      <c r="BO18" s="61">
        <f t="shared" si="28"/>
        <v>13000</v>
      </c>
      <c r="BP18" s="69">
        <f t="shared" si="29"/>
        <v>12.115713076923075</v>
      </c>
      <c r="BQ18" s="64">
        <f t="shared" si="30"/>
        <v>31687.26999999999</v>
      </c>
      <c r="BR18" s="69">
        <f t="shared" si="31"/>
        <v>4.9705850330432391</v>
      </c>
      <c r="BS18" s="65">
        <v>157504.26999999999</v>
      </c>
      <c r="BT18" s="74">
        <f t="shared" si="32"/>
        <v>25.953586358835267</v>
      </c>
      <c r="BU18" s="75">
        <f t="shared" si="33"/>
        <v>46580.350000000006</v>
      </c>
      <c r="BV18" s="69">
        <f t="shared" si="34"/>
        <v>7.6755197579708323</v>
      </c>
      <c r="BW18" s="55">
        <v>24324</v>
      </c>
      <c r="BX18" s="55">
        <v>11137</v>
      </c>
      <c r="BY18" s="55">
        <v>16451</v>
      </c>
      <c r="BZ18" s="55">
        <v>5130</v>
      </c>
      <c r="CA18" s="64">
        <v>55775</v>
      </c>
      <c r="CB18" s="64"/>
      <c r="CC18" s="64">
        <v>13000</v>
      </c>
      <c r="CD18" s="76">
        <f t="shared" si="35"/>
        <v>4.0081137774379647E-2</v>
      </c>
      <c r="CE18" s="76">
        <f t="shared" si="36"/>
        <v>1.8351571756013242E-2</v>
      </c>
      <c r="CF18" s="76">
        <f t="shared" si="37"/>
        <v>2.7107992004864311E-2</v>
      </c>
      <c r="CG18" s="76">
        <f t="shared" si="38"/>
        <v>8.4532246662788833E-3</v>
      </c>
      <c r="CH18" s="76">
        <f t="shared" si="39"/>
        <v>9.1906160967193909E-2</v>
      </c>
      <c r="CI18" s="63">
        <f t="shared" si="40"/>
        <v>9316.0700000000015</v>
      </c>
      <c r="CJ18" s="77">
        <f t="shared" si="41"/>
        <v>41922.31500000001</v>
      </c>
    </row>
    <row r="19" spans="1:88" ht="18.75" customHeight="1" x14ac:dyDescent="0.35">
      <c r="A19" s="50" t="e">
        <f t="shared" si="42"/>
        <v>#REF!</v>
      </c>
      <c r="B19" s="58">
        <v>4</v>
      </c>
      <c r="C19" s="52" t="s">
        <v>214</v>
      </c>
      <c r="D19" s="52"/>
      <c r="E19" s="53"/>
      <c r="F19" s="54">
        <v>40</v>
      </c>
      <c r="G19" s="55">
        <f t="shared" si="0"/>
        <v>0</v>
      </c>
      <c r="H19" s="53">
        <v>9057</v>
      </c>
      <c r="I19" s="56">
        <v>50</v>
      </c>
      <c r="J19" s="55">
        <f t="shared" si="1"/>
        <v>452850</v>
      </c>
      <c r="K19" s="53"/>
      <c r="L19" s="57">
        <v>60</v>
      </c>
      <c r="M19" s="55">
        <f t="shared" si="2"/>
        <v>0</v>
      </c>
      <c r="N19" s="53">
        <v>3557</v>
      </c>
      <c r="O19" s="57">
        <v>15</v>
      </c>
      <c r="P19" s="55">
        <f t="shared" si="3"/>
        <v>53355</v>
      </c>
      <c r="Q19" s="53">
        <v>1960</v>
      </c>
      <c r="R19" s="59">
        <v>12</v>
      </c>
      <c r="S19" s="55">
        <f t="shared" si="4"/>
        <v>23520</v>
      </c>
      <c r="T19" s="53">
        <v>660</v>
      </c>
      <c r="U19" s="55">
        <f t="shared" si="5"/>
        <v>5280</v>
      </c>
      <c r="V19" s="53">
        <v>769</v>
      </c>
      <c r="W19" s="57">
        <v>12</v>
      </c>
      <c r="X19" s="55">
        <f t="shared" si="6"/>
        <v>9228</v>
      </c>
      <c r="Y19" s="53">
        <v>779</v>
      </c>
      <c r="Z19" s="57">
        <v>10</v>
      </c>
      <c r="AA19" s="55">
        <f t="shared" si="7"/>
        <v>7790</v>
      </c>
      <c r="AB19" s="53">
        <v>283</v>
      </c>
      <c r="AC19" s="57">
        <v>25</v>
      </c>
      <c r="AD19" s="55">
        <f t="shared" si="8"/>
        <v>7075</v>
      </c>
      <c r="AE19" s="53">
        <v>272</v>
      </c>
      <c r="AF19" s="57">
        <v>7.5</v>
      </c>
      <c r="AG19" s="55">
        <f t="shared" si="9"/>
        <v>2040</v>
      </c>
      <c r="AH19" s="53"/>
      <c r="AI19" s="56">
        <v>15</v>
      </c>
      <c r="AJ19" s="55">
        <f t="shared" si="10"/>
        <v>0</v>
      </c>
      <c r="AK19" s="53">
        <v>126</v>
      </c>
      <c r="AL19" s="57">
        <v>10</v>
      </c>
      <c r="AM19" s="55">
        <f t="shared" si="11"/>
        <v>1260</v>
      </c>
      <c r="AN19" s="53">
        <f t="shared" si="12"/>
        <v>4849</v>
      </c>
      <c r="AO19" s="53"/>
      <c r="AP19" s="61"/>
      <c r="AQ19" s="53"/>
      <c r="AR19" s="53"/>
      <c r="AS19" s="55"/>
      <c r="AT19" s="53"/>
      <c r="AU19" s="53"/>
      <c r="AV19" s="66">
        <v>2061</v>
      </c>
      <c r="AW19" s="53"/>
      <c r="AX19" s="68">
        <f t="shared" si="13"/>
        <v>0.39273490118140664</v>
      </c>
      <c r="AY19" s="68">
        <f t="shared" si="14"/>
        <v>0.53538699348570162</v>
      </c>
      <c r="AZ19" s="68">
        <f t="shared" si="15"/>
        <v>0.57942086027551309</v>
      </c>
      <c r="BA19" s="55">
        <f t="shared" si="16"/>
        <v>505743</v>
      </c>
      <c r="BB19" s="55">
        <f t="shared" si="17"/>
        <v>483445</v>
      </c>
      <c r="BC19" s="55">
        <f t="shared" si="18"/>
        <v>505743</v>
      </c>
      <c r="BD19" s="55">
        <f t="shared" si="19"/>
        <v>507783</v>
      </c>
      <c r="BE19" s="62">
        <v>604315</v>
      </c>
      <c r="BF19" s="63">
        <v>398039.26</v>
      </c>
      <c r="BG19" s="69">
        <f t="shared" si="20"/>
        <v>65.866188990840868</v>
      </c>
      <c r="BH19" s="70">
        <f t="shared" si="21"/>
        <v>50787</v>
      </c>
      <c r="BI19" s="71">
        <f t="shared" si="22"/>
        <v>8.40406079610799E-2</v>
      </c>
      <c r="BJ19" s="72">
        <f t="shared" si="45"/>
        <v>4</v>
      </c>
      <c r="BK19" s="61">
        <f t="shared" si="24"/>
        <v>63476</v>
      </c>
      <c r="BL19" s="69">
        <f t="shared" si="25"/>
        <v>2.8626695128867605</v>
      </c>
      <c r="BM19" s="73">
        <f t="shared" si="26"/>
        <v>510</v>
      </c>
      <c r="BN19" s="69">
        <f t="shared" si="27"/>
        <v>356.29570588235293</v>
      </c>
      <c r="BO19" s="61">
        <f t="shared" si="28"/>
        <v>21000</v>
      </c>
      <c r="BP19" s="69">
        <f t="shared" si="29"/>
        <v>8.6528957142857141</v>
      </c>
      <c r="BQ19" s="64">
        <f t="shared" si="30"/>
        <v>45937.81</v>
      </c>
      <c r="BR19" s="69">
        <f t="shared" si="31"/>
        <v>3.9555827759311994</v>
      </c>
      <c r="BS19" s="65">
        <v>181710.81</v>
      </c>
      <c r="BT19" s="74">
        <f t="shared" si="32"/>
        <v>30.068889569181636</v>
      </c>
      <c r="BU19" s="75">
        <f t="shared" si="33"/>
        <v>24564.929999999993</v>
      </c>
      <c r="BV19" s="69">
        <f t="shared" si="34"/>
        <v>4.0649214399774944</v>
      </c>
      <c r="BW19" s="55">
        <v>24396</v>
      </c>
      <c r="BX19" s="55">
        <v>10380</v>
      </c>
      <c r="BY19" s="55">
        <v>10571</v>
      </c>
      <c r="BZ19" s="55">
        <v>5440</v>
      </c>
      <c r="CA19" s="55">
        <v>63476</v>
      </c>
      <c r="CB19" s="64">
        <v>510</v>
      </c>
      <c r="CC19" s="64">
        <v>21000</v>
      </c>
      <c r="CD19" s="76">
        <f t="shared" si="35"/>
        <v>4.0369674755715151E-2</v>
      </c>
      <c r="CE19" s="76">
        <f t="shared" si="36"/>
        <v>1.7176472535018989E-2</v>
      </c>
      <c r="CF19" s="76">
        <f t="shared" si="37"/>
        <v>1.7492532867792458E-2</v>
      </c>
      <c r="CG19" s="76">
        <f t="shared" si="38"/>
        <v>9.0019278025533049E-3</v>
      </c>
      <c r="CH19" s="76">
        <f t="shared" si="39"/>
        <v>0.10503793551376352</v>
      </c>
      <c r="CI19" s="63">
        <f t="shared" si="40"/>
        <v>4912.985999999999</v>
      </c>
      <c r="CJ19" s="77">
        <f t="shared" si="41"/>
        <v>22108.436999999994</v>
      </c>
    </row>
    <row r="20" spans="1:88" ht="18.75" customHeight="1" x14ac:dyDescent="0.35">
      <c r="A20" s="50" t="e">
        <f t="shared" si="42"/>
        <v>#REF!</v>
      </c>
      <c r="B20" s="58">
        <v>4</v>
      </c>
      <c r="C20" s="52" t="s">
        <v>216</v>
      </c>
      <c r="D20" s="52"/>
      <c r="E20" s="53"/>
      <c r="F20" s="54">
        <v>40</v>
      </c>
      <c r="G20" s="55">
        <f t="shared" si="0"/>
        <v>0</v>
      </c>
      <c r="H20" s="53">
        <v>9337</v>
      </c>
      <c r="I20" s="56">
        <v>50</v>
      </c>
      <c r="J20" s="55">
        <f t="shared" si="1"/>
        <v>466850</v>
      </c>
      <c r="K20" s="53"/>
      <c r="L20" s="57">
        <v>60</v>
      </c>
      <c r="M20" s="55">
        <f t="shared" si="2"/>
        <v>0</v>
      </c>
      <c r="N20" s="53">
        <v>3144</v>
      </c>
      <c r="O20" s="57">
        <v>15</v>
      </c>
      <c r="P20" s="55">
        <f t="shared" si="3"/>
        <v>47160</v>
      </c>
      <c r="Q20" s="53">
        <v>2330</v>
      </c>
      <c r="R20" s="59">
        <v>12</v>
      </c>
      <c r="S20" s="55">
        <f t="shared" si="4"/>
        <v>27960</v>
      </c>
      <c r="T20" s="53">
        <v>520</v>
      </c>
      <c r="U20" s="55">
        <f t="shared" si="5"/>
        <v>4160</v>
      </c>
      <c r="V20" s="53">
        <v>603</v>
      </c>
      <c r="W20" s="57">
        <v>12</v>
      </c>
      <c r="X20" s="55">
        <f t="shared" si="6"/>
        <v>7236</v>
      </c>
      <c r="Y20" s="53">
        <v>582</v>
      </c>
      <c r="Z20" s="57">
        <v>10</v>
      </c>
      <c r="AA20" s="55">
        <f t="shared" si="7"/>
        <v>5820</v>
      </c>
      <c r="AB20" s="53">
        <v>182</v>
      </c>
      <c r="AC20" s="57">
        <v>25</v>
      </c>
      <c r="AD20" s="55">
        <f t="shared" si="8"/>
        <v>4550</v>
      </c>
      <c r="AE20" s="53">
        <v>114</v>
      </c>
      <c r="AF20" s="57">
        <v>7.5</v>
      </c>
      <c r="AG20" s="55">
        <f t="shared" si="9"/>
        <v>855</v>
      </c>
      <c r="AH20" s="53"/>
      <c r="AI20" s="56">
        <v>15</v>
      </c>
      <c r="AJ20" s="55">
        <f t="shared" si="10"/>
        <v>0</v>
      </c>
      <c r="AK20" s="53">
        <v>109</v>
      </c>
      <c r="AL20" s="57">
        <v>10</v>
      </c>
      <c r="AM20" s="55">
        <f t="shared" si="11"/>
        <v>1090</v>
      </c>
      <c r="AN20" s="53">
        <f t="shared" si="12"/>
        <v>4440</v>
      </c>
      <c r="AO20" s="53"/>
      <c r="AP20" s="61"/>
      <c r="AQ20" s="53"/>
      <c r="AR20" s="53"/>
      <c r="AS20" s="55"/>
      <c r="AT20" s="53"/>
      <c r="AU20" s="53"/>
      <c r="AV20" s="66">
        <v>1239</v>
      </c>
      <c r="AW20" s="53"/>
      <c r="AX20" s="68">
        <f t="shared" si="13"/>
        <v>0.33672485809146407</v>
      </c>
      <c r="AY20" s="68">
        <f t="shared" si="14"/>
        <v>0.47552747135054085</v>
      </c>
      <c r="AZ20" s="68">
        <f t="shared" si="15"/>
        <v>0.39408396946564883</v>
      </c>
      <c r="BA20" s="55">
        <f t="shared" si="16"/>
        <v>516576</v>
      </c>
      <c r="BB20" s="55">
        <f t="shared" si="17"/>
        <v>499360</v>
      </c>
      <c r="BC20" s="55">
        <f t="shared" si="18"/>
        <v>516576</v>
      </c>
      <c r="BD20" s="55">
        <f t="shared" si="19"/>
        <v>517431</v>
      </c>
      <c r="BE20" s="62">
        <v>589608</v>
      </c>
      <c r="BF20" s="63">
        <v>390543.46</v>
      </c>
      <c r="BG20" s="69">
        <f t="shared" si="20"/>
        <v>66.237815633437819</v>
      </c>
      <c r="BH20" s="70">
        <f t="shared" si="21"/>
        <v>40823</v>
      </c>
      <c r="BI20" s="71">
        <f t="shared" si="22"/>
        <v>6.9237527306278079E-2</v>
      </c>
      <c r="BJ20" s="72">
        <f t="shared" si="45"/>
        <v>4</v>
      </c>
      <c r="BK20" s="61">
        <f t="shared" si="24"/>
        <v>57662.5</v>
      </c>
      <c r="BL20" s="69">
        <f t="shared" si="25"/>
        <v>2.8607871667027966</v>
      </c>
      <c r="BM20" s="73">
        <f t="shared" si="26"/>
        <v>0</v>
      </c>
      <c r="BN20" s="69" t="e">
        <f t="shared" si="27"/>
        <v>#DIV/0!</v>
      </c>
      <c r="BO20" s="61">
        <f t="shared" si="28"/>
        <v>30000</v>
      </c>
      <c r="BP20" s="69">
        <f t="shared" si="29"/>
        <v>5.4986713333333341</v>
      </c>
      <c r="BQ20" s="64">
        <f t="shared" si="30"/>
        <v>36474.640000000014</v>
      </c>
      <c r="BR20" s="69">
        <f t="shared" si="31"/>
        <v>4.5225981668359152</v>
      </c>
      <c r="BS20" s="65">
        <v>164960.14000000001</v>
      </c>
      <c r="BT20" s="74">
        <f t="shared" si="32"/>
        <v>27.977934492069309</v>
      </c>
      <c r="BU20" s="75">
        <f t="shared" si="33"/>
        <v>34104.399999999965</v>
      </c>
      <c r="BV20" s="69">
        <f t="shared" si="34"/>
        <v>5.7842498744928772</v>
      </c>
      <c r="BW20" s="55">
        <v>18297</v>
      </c>
      <c r="BX20" s="55">
        <v>8650</v>
      </c>
      <c r="BY20" s="55">
        <v>9716</v>
      </c>
      <c r="BZ20" s="55">
        <v>4160</v>
      </c>
      <c r="CA20" s="64">
        <v>57662.5</v>
      </c>
      <c r="CB20" s="64"/>
      <c r="CC20" s="64">
        <v>30000</v>
      </c>
      <c r="CD20" s="76">
        <f t="shared" si="35"/>
        <v>3.1032482598607889E-2</v>
      </c>
      <c r="CE20" s="76">
        <f t="shared" si="36"/>
        <v>1.4670764304419208E-2</v>
      </c>
      <c r="CF20" s="76">
        <f t="shared" si="37"/>
        <v>1.647874520020081E-2</v>
      </c>
      <c r="CG20" s="76">
        <f t="shared" si="38"/>
        <v>7.0555352030501626E-3</v>
      </c>
      <c r="CH20" s="76">
        <f t="shared" si="39"/>
        <v>9.7798028520644231E-2</v>
      </c>
      <c r="CI20" s="63">
        <f t="shared" si="40"/>
        <v>6820.8799999999937</v>
      </c>
      <c r="CJ20" s="77">
        <f t="shared" si="41"/>
        <v>30693.95999999997</v>
      </c>
    </row>
    <row r="21" spans="1:88" ht="18.75" customHeight="1" x14ac:dyDescent="0.35">
      <c r="A21" s="50" t="e">
        <f t="shared" si="42"/>
        <v>#REF!</v>
      </c>
      <c r="B21" s="51">
        <v>4</v>
      </c>
      <c r="C21" s="52" t="s">
        <v>215</v>
      </c>
      <c r="D21" s="52"/>
      <c r="E21" s="53"/>
      <c r="F21" s="54">
        <v>40</v>
      </c>
      <c r="G21" s="55">
        <f t="shared" si="0"/>
        <v>0</v>
      </c>
      <c r="H21" s="53">
        <v>7804</v>
      </c>
      <c r="I21" s="56">
        <v>50</v>
      </c>
      <c r="J21" s="55">
        <f t="shared" si="1"/>
        <v>390200</v>
      </c>
      <c r="K21" s="53"/>
      <c r="L21" s="57">
        <v>60</v>
      </c>
      <c r="M21" s="55">
        <f t="shared" si="2"/>
        <v>0</v>
      </c>
      <c r="N21" s="53">
        <v>3553</v>
      </c>
      <c r="O21" s="57">
        <v>15</v>
      </c>
      <c r="P21" s="55">
        <f t="shared" si="3"/>
        <v>53295</v>
      </c>
      <c r="Q21" s="53">
        <v>4440</v>
      </c>
      <c r="R21" s="59">
        <v>12</v>
      </c>
      <c r="S21" s="55">
        <f t="shared" si="4"/>
        <v>53280</v>
      </c>
      <c r="T21" s="53">
        <v>981</v>
      </c>
      <c r="U21" s="55">
        <f t="shared" si="5"/>
        <v>7848</v>
      </c>
      <c r="V21" s="53">
        <v>912</v>
      </c>
      <c r="W21" s="57">
        <v>12</v>
      </c>
      <c r="X21" s="55">
        <f t="shared" si="6"/>
        <v>10944</v>
      </c>
      <c r="Y21" s="53">
        <v>1109</v>
      </c>
      <c r="Z21" s="57">
        <v>10</v>
      </c>
      <c r="AA21" s="55">
        <f t="shared" si="7"/>
        <v>11090</v>
      </c>
      <c r="AB21" s="53">
        <v>391</v>
      </c>
      <c r="AC21" s="57">
        <v>25</v>
      </c>
      <c r="AD21" s="55">
        <f t="shared" si="8"/>
        <v>9775</v>
      </c>
      <c r="AE21" s="53">
        <v>305</v>
      </c>
      <c r="AF21" s="57">
        <v>7.5</v>
      </c>
      <c r="AG21" s="55">
        <f t="shared" si="9"/>
        <v>2287.5</v>
      </c>
      <c r="AH21" s="53"/>
      <c r="AI21" s="56">
        <v>15</v>
      </c>
      <c r="AJ21" s="55">
        <f t="shared" si="10"/>
        <v>0</v>
      </c>
      <c r="AK21" s="53">
        <v>141</v>
      </c>
      <c r="AL21" s="57">
        <v>10</v>
      </c>
      <c r="AM21" s="55">
        <f t="shared" si="11"/>
        <v>1410</v>
      </c>
      <c r="AN21" s="53">
        <f t="shared" si="12"/>
        <v>8279</v>
      </c>
      <c r="AO21" s="53"/>
      <c r="AP21" s="61"/>
      <c r="AQ21" s="53"/>
      <c r="AR21" s="53"/>
      <c r="AS21" s="55"/>
      <c r="AT21" s="53"/>
      <c r="AU21" s="53"/>
      <c r="AV21" s="66">
        <v>1711</v>
      </c>
      <c r="AW21" s="53"/>
      <c r="AX21" s="68">
        <f t="shared" si="13"/>
        <v>0.45527934392619168</v>
      </c>
      <c r="AY21" s="68">
        <f t="shared" si="14"/>
        <v>1.0608662224500256</v>
      </c>
      <c r="AZ21" s="68">
        <f t="shared" si="15"/>
        <v>0.48156487475372922</v>
      </c>
      <c r="BA21" s="55">
        <f t="shared" si="16"/>
        <v>483137</v>
      </c>
      <c r="BB21" s="55">
        <f t="shared" si="17"/>
        <v>453255</v>
      </c>
      <c r="BC21" s="55">
        <f t="shared" si="18"/>
        <v>483137</v>
      </c>
      <c r="BD21" s="55">
        <f t="shared" si="19"/>
        <v>485424.5</v>
      </c>
      <c r="BE21" s="62">
        <v>571928.5</v>
      </c>
      <c r="BF21" s="63">
        <v>374845.81</v>
      </c>
      <c r="BG21" s="69">
        <f t="shared" si="20"/>
        <v>65.54067685034056</v>
      </c>
      <c r="BH21" s="70">
        <f t="shared" si="21"/>
        <v>45058</v>
      </c>
      <c r="BI21" s="71">
        <f t="shared" si="22"/>
        <v>7.8782575094614088E-2</v>
      </c>
      <c r="BJ21" s="72">
        <f t="shared" si="45"/>
        <v>4</v>
      </c>
      <c r="BK21" s="61">
        <f t="shared" si="24"/>
        <v>63212.5</v>
      </c>
      <c r="BL21" s="69">
        <f t="shared" si="25"/>
        <v>2.8439338738382443</v>
      </c>
      <c r="BM21" s="73">
        <f t="shared" si="26"/>
        <v>0</v>
      </c>
      <c r="BN21" s="69" t="e">
        <f t="shared" si="27"/>
        <v>#DIV/0!</v>
      </c>
      <c r="BO21" s="61">
        <f t="shared" si="28"/>
        <v>12000</v>
      </c>
      <c r="BP21" s="69">
        <f t="shared" si="29"/>
        <v>14.981014166666668</v>
      </c>
      <c r="BQ21" s="64">
        <f t="shared" si="30"/>
        <v>59501.670000000013</v>
      </c>
      <c r="BR21" s="69">
        <f t="shared" si="31"/>
        <v>3.0212962089971587</v>
      </c>
      <c r="BS21" s="65">
        <v>179772.17</v>
      </c>
      <c r="BT21" s="74">
        <f t="shared" si="32"/>
        <v>31.432630127717015</v>
      </c>
      <c r="BU21" s="75">
        <f t="shared" si="33"/>
        <v>17310.51999999999</v>
      </c>
      <c r="BV21" s="69">
        <f t="shared" si="34"/>
        <v>3.0266930219424264</v>
      </c>
      <c r="BW21" s="55">
        <v>18112</v>
      </c>
      <c r="BX21" s="55">
        <v>12110</v>
      </c>
      <c r="BY21" s="55">
        <v>9716</v>
      </c>
      <c r="BZ21" s="55">
        <v>5120</v>
      </c>
      <c r="CA21" s="64">
        <v>63212.5</v>
      </c>
      <c r="CB21" s="64"/>
      <c r="CC21" s="64">
        <v>12000</v>
      </c>
      <c r="CD21" s="76">
        <f t="shared" si="35"/>
        <v>3.1668294201110801E-2</v>
      </c>
      <c r="CE21" s="76">
        <f t="shared" si="36"/>
        <v>2.1173975418255952E-2</v>
      </c>
      <c r="CF21" s="76">
        <f t="shared" si="37"/>
        <v>1.6988137503201887E-2</v>
      </c>
      <c r="CG21" s="76">
        <f t="shared" si="38"/>
        <v>8.9521679720454567E-3</v>
      </c>
      <c r="CH21" s="76">
        <f t="shared" si="39"/>
        <v>0.1105251792837741</v>
      </c>
      <c r="CI21" s="63">
        <f t="shared" si="40"/>
        <v>3462.103999999998</v>
      </c>
      <c r="CJ21" s="77">
        <f t="shared" si="41"/>
        <v>15579.467999999992</v>
      </c>
    </row>
    <row r="22" spans="1:88" ht="18.75" customHeight="1" x14ac:dyDescent="0.35">
      <c r="A22" s="50" t="e">
        <f t="shared" si="42"/>
        <v>#REF!</v>
      </c>
      <c r="B22" s="58">
        <v>4</v>
      </c>
      <c r="C22" s="52" t="s">
        <v>11</v>
      </c>
      <c r="D22" s="52"/>
      <c r="E22" s="53"/>
      <c r="F22" s="54">
        <v>40</v>
      </c>
      <c r="G22" s="55">
        <f t="shared" si="0"/>
        <v>0</v>
      </c>
      <c r="H22" s="53">
        <v>7562</v>
      </c>
      <c r="I22" s="56">
        <v>50</v>
      </c>
      <c r="J22" s="55">
        <f t="shared" si="1"/>
        <v>378100</v>
      </c>
      <c r="K22" s="53"/>
      <c r="L22" s="57">
        <v>60</v>
      </c>
      <c r="M22" s="55">
        <f t="shared" si="2"/>
        <v>0</v>
      </c>
      <c r="N22" s="53">
        <v>4767</v>
      </c>
      <c r="O22" s="57">
        <v>15</v>
      </c>
      <c r="P22" s="55">
        <f t="shared" si="3"/>
        <v>71505</v>
      </c>
      <c r="Q22" s="53">
        <v>3860</v>
      </c>
      <c r="R22" s="59">
        <v>12</v>
      </c>
      <c r="S22" s="55">
        <f t="shared" si="4"/>
        <v>46320</v>
      </c>
      <c r="T22" s="53">
        <v>930</v>
      </c>
      <c r="U22" s="55">
        <f t="shared" si="5"/>
        <v>7440</v>
      </c>
      <c r="V22" s="53">
        <v>209</v>
      </c>
      <c r="W22" s="57">
        <v>12</v>
      </c>
      <c r="X22" s="55">
        <f t="shared" si="6"/>
        <v>2508</v>
      </c>
      <c r="Y22" s="53">
        <v>850</v>
      </c>
      <c r="Z22" s="57">
        <v>10</v>
      </c>
      <c r="AA22" s="55">
        <f t="shared" si="7"/>
        <v>8500</v>
      </c>
      <c r="AB22" s="53">
        <v>309</v>
      </c>
      <c r="AC22" s="57">
        <v>25</v>
      </c>
      <c r="AD22" s="55">
        <f t="shared" si="8"/>
        <v>7725</v>
      </c>
      <c r="AE22" s="53"/>
      <c r="AF22" s="57">
        <v>7.5</v>
      </c>
      <c r="AG22" s="55">
        <f t="shared" si="9"/>
        <v>0</v>
      </c>
      <c r="AH22" s="53"/>
      <c r="AI22" s="56">
        <v>15</v>
      </c>
      <c r="AJ22" s="55">
        <f t="shared" si="10"/>
        <v>0</v>
      </c>
      <c r="AK22" s="53">
        <v>254</v>
      </c>
      <c r="AL22" s="57">
        <v>10</v>
      </c>
      <c r="AM22" s="55">
        <f t="shared" si="11"/>
        <v>2540</v>
      </c>
      <c r="AN22" s="53">
        <f t="shared" si="12"/>
        <v>6412</v>
      </c>
      <c r="AO22" s="53"/>
      <c r="AP22" s="61"/>
      <c r="AQ22" s="53"/>
      <c r="AR22" s="53"/>
      <c r="AS22" s="55"/>
      <c r="AT22" s="53"/>
      <c r="AU22" s="53"/>
      <c r="AV22" s="66">
        <f>129+1090+218+132+84+149</f>
        <v>1802</v>
      </c>
      <c r="AW22" s="53"/>
      <c r="AX22" s="68">
        <f t="shared" si="13"/>
        <v>0.63038878603544035</v>
      </c>
      <c r="AY22" s="68">
        <f t="shared" si="14"/>
        <v>0.84792382967468927</v>
      </c>
      <c r="AZ22" s="68">
        <f t="shared" si="15"/>
        <v>0.37801552338997274</v>
      </c>
      <c r="BA22" s="55">
        <f t="shared" si="16"/>
        <v>450593</v>
      </c>
      <c r="BB22" s="55">
        <f t="shared" si="17"/>
        <v>432145</v>
      </c>
      <c r="BC22" s="55">
        <f t="shared" si="18"/>
        <v>450593</v>
      </c>
      <c r="BD22" s="55">
        <f t="shared" si="19"/>
        <v>450593</v>
      </c>
      <c r="BE22" s="62">
        <v>561379.5</v>
      </c>
      <c r="BF22" s="63">
        <v>375346.65</v>
      </c>
      <c r="BG22" s="69">
        <f t="shared" si="20"/>
        <v>66.861481404290686</v>
      </c>
      <c r="BH22" s="70">
        <f t="shared" si="21"/>
        <v>39854.5</v>
      </c>
      <c r="BI22" s="71">
        <f t="shared" si="22"/>
        <v>7.0993864221974623E-2</v>
      </c>
      <c r="BJ22" s="72">
        <f t="shared" si="45"/>
        <v>4</v>
      </c>
      <c r="BK22" s="61">
        <f t="shared" si="24"/>
        <v>66100</v>
      </c>
      <c r="BL22" s="69">
        <f t="shared" si="25"/>
        <v>2.4343974281391834</v>
      </c>
      <c r="BM22" s="73">
        <f t="shared" si="26"/>
        <v>0</v>
      </c>
      <c r="BN22" s="69" t="e">
        <f t="shared" si="27"/>
        <v>#DIV/0!</v>
      </c>
      <c r="BO22" s="61">
        <f t="shared" si="28"/>
        <v>16000</v>
      </c>
      <c r="BP22" s="69">
        <f t="shared" si="29"/>
        <v>10.057104375000002</v>
      </c>
      <c r="BQ22" s="64">
        <f t="shared" si="30"/>
        <v>38959.170000000013</v>
      </c>
      <c r="BR22" s="69">
        <f t="shared" si="31"/>
        <v>4.1303156612422685</v>
      </c>
      <c r="BS22" s="65">
        <v>160913.67000000001</v>
      </c>
      <c r="BT22" s="74">
        <f t="shared" si="32"/>
        <v>28.663973301483225</v>
      </c>
      <c r="BU22" s="75">
        <f t="shared" si="33"/>
        <v>25119.179999999964</v>
      </c>
      <c r="BV22" s="69">
        <f t="shared" si="34"/>
        <v>4.4745452942260915</v>
      </c>
      <c r="BW22" s="55">
        <v>18260.5</v>
      </c>
      <c r="BX22" s="55">
        <v>9546</v>
      </c>
      <c r="BY22" s="55">
        <v>9618</v>
      </c>
      <c r="BZ22" s="55">
        <v>2430</v>
      </c>
      <c r="CA22" s="64">
        <f>61100+3500+1500</f>
        <v>66100</v>
      </c>
      <c r="CB22" s="64"/>
      <c r="CC22" s="64">
        <v>16000</v>
      </c>
      <c r="CD22" s="76">
        <f t="shared" si="35"/>
        <v>3.2527906701260025E-2</v>
      </c>
      <c r="CE22" s="76">
        <f t="shared" si="36"/>
        <v>1.7004539709768524E-2</v>
      </c>
      <c r="CF22" s="76">
        <f t="shared" si="37"/>
        <v>1.7132795194694499E-2</v>
      </c>
      <c r="CG22" s="76">
        <f t="shared" si="38"/>
        <v>4.3286226162515731E-3</v>
      </c>
      <c r="CH22" s="76">
        <f t="shared" si="39"/>
        <v>0.1177456604667609</v>
      </c>
      <c r="CI22" s="63">
        <f t="shared" si="40"/>
        <v>5023.835999999993</v>
      </c>
      <c r="CJ22" s="77">
        <f t="shared" si="41"/>
        <v>22607.26199999997</v>
      </c>
    </row>
    <row r="23" spans="1:88" ht="18.75" customHeight="1" x14ac:dyDescent="0.35">
      <c r="A23" s="50">
        <v>1</v>
      </c>
      <c r="B23" s="51">
        <v>4</v>
      </c>
      <c r="C23" s="52" t="s">
        <v>4</v>
      </c>
      <c r="D23" s="52"/>
      <c r="E23" s="53"/>
      <c r="F23" s="54">
        <v>40</v>
      </c>
      <c r="G23" s="55">
        <f t="shared" si="0"/>
        <v>0</v>
      </c>
      <c r="H23" s="53">
        <v>8529</v>
      </c>
      <c r="I23" s="56">
        <v>50</v>
      </c>
      <c r="J23" s="55">
        <f t="shared" si="1"/>
        <v>426450</v>
      </c>
      <c r="K23" s="53"/>
      <c r="L23" s="57">
        <v>60</v>
      </c>
      <c r="M23" s="55">
        <f t="shared" si="2"/>
        <v>0</v>
      </c>
      <c r="N23" s="53">
        <v>3515</v>
      </c>
      <c r="O23" s="57">
        <v>15</v>
      </c>
      <c r="P23" s="55">
        <f t="shared" si="3"/>
        <v>52725</v>
      </c>
      <c r="Q23" s="53">
        <v>1460</v>
      </c>
      <c r="R23" s="59">
        <v>12</v>
      </c>
      <c r="S23" s="55">
        <f t="shared" si="4"/>
        <v>17520</v>
      </c>
      <c r="T23" s="53">
        <v>841</v>
      </c>
      <c r="U23" s="55">
        <f t="shared" si="5"/>
        <v>6728</v>
      </c>
      <c r="V23" s="53">
        <v>395</v>
      </c>
      <c r="W23" s="57">
        <v>12</v>
      </c>
      <c r="X23" s="55">
        <f t="shared" si="6"/>
        <v>4740</v>
      </c>
      <c r="Y23" s="53">
        <v>953</v>
      </c>
      <c r="Z23" s="57">
        <v>10</v>
      </c>
      <c r="AA23" s="55">
        <f t="shared" si="7"/>
        <v>9530</v>
      </c>
      <c r="AB23" s="53">
        <v>110</v>
      </c>
      <c r="AC23" s="57">
        <v>25</v>
      </c>
      <c r="AD23" s="55">
        <f t="shared" si="8"/>
        <v>2750</v>
      </c>
      <c r="AE23" s="53">
        <v>94</v>
      </c>
      <c r="AF23" s="57">
        <v>7.5</v>
      </c>
      <c r="AG23" s="55">
        <f t="shared" si="9"/>
        <v>705</v>
      </c>
      <c r="AH23" s="53"/>
      <c r="AI23" s="56">
        <v>15</v>
      </c>
      <c r="AJ23" s="55">
        <f t="shared" si="10"/>
        <v>0</v>
      </c>
      <c r="AK23" s="53">
        <v>267</v>
      </c>
      <c r="AL23" s="57">
        <v>10</v>
      </c>
      <c r="AM23" s="55">
        <f t="shared" si="11"/>
        <v>2670</v>
      </c>
      <c r="AN23" s="53">
        <f t="shared" si="12"/>
        <v>4120</v>
      </c>
      <c r="AO23" s="53"/>
      <c r="AP23" s="61"/>
      <c r="AQ23" s="53"/>
      <c r="AR23" s="53"/>
      <c r="AS23" s="55"/>
      <c r="AT23" s="53"/>
      <c r="AU23" s="53"/>
      <c r="AV23" s="66">
        <v>1884</v>
      </c>
      <c r="AW23" s="53"/>
      <c r="AX23" s="68">
        <f t="shared" si="13"/>
        <v>0.41212334388556687</v>
      </c>
      <c r="AY23" s="68">
        <f t="shared" si="14"/>
        <v>0.48305780279047955</v>
      </c>
      <c r="AZ23" s="68">
        <f t="shared" si="15"/>
        <v>0.5359886201991465</v>
      </c>
      <c r="BA23" s="55">
        <f t="shared" si="16"/>
        <v>467718</v>
      </c>
      <c r="BB23" s="55">
        <f t="shared" si="17"/>
        <v>446720</v>
      </c>
      <c r="BC23" s="55">
        <f t="shared" si="18"/>
        <v>467718</v>
      </c>
      <c r="BD23" s="55">
        <f t="shared" si="19"/>
        <v>468423</v>
      </c>
      <c r="BE23" s="62">
        <v>561216</v>
      </c>
      <c r="BF23" s="63">
        <v>365605.08</v>
      </c>
      <c r="BG23" s="69">
        <f t="shared" si="20"/>
        <v>65.145163359562105</v>
      </c>
      <c r="BH23" s="70">
        <f t="shared" si="21"/>
        <v>42177</v>
      </c>
      <c r="BI23" s="71">
        <f t="shared" si="22"/>
        <v>7.5152882312692446E-2</v>
      </c>
      <c r="BJ23" s="72">
        <f t="shared" si="45"/>
        <v>4</v>
      </c>
      <c r="BK23" s="61">
        <f t="shared" si="24"/>
        <v>51393</v>
      </c>
      <c r="BL23" s="69">
        <f t="shared" si="25"/>
        <v>2.7882318603700895</v>
      </c>
      <c r="BM23" s="73">
        <f t="shared" si="26"/>
        <v>0</v>
      </c>
      <c r="BN23" s="69" t="e">
        <f t="shared" si="27"/>
        <v>#DIV/0!</v>
      </c>
      <c r="BO23" s="61">
        <f t="shared" si="28"/>
        <v>20000</v>
      </c>
      <c r="BP23" s="69">
        <f t="shared" si="29"/>
        <v>7.1647800000000004</v>
      </c>
      <c r="BQ23" s="64">
        <f t="shared" si="30"/>
        <v>29725.600000000006</v>
      </c>
      <c r="BR23" s="69">
        <f t="shared" si="31"/>
        <v>4.8206125359959087</v>
      </c>
      <c r="BS23" s="65">
        <v>143295.6</v>
      </c>
      <c r="BT23" s="74">
        <f t="shared" si="32"/>
        <v>25.533056790968185</v>
      </c>
      <c r="BU23" s="75">
        <f t="shared" si="33"/>
        <v>52315.319999999978</v>
      </c>
      <c r="BV23" s="69">
        <f t="shared" si="34"/>
        <v>9.3217798494697188</v>
      </c>
      <c r="BW23" s="55">
        <v>18195</v>
      </c>
      <c r="BX23" s="55">
        <v>9456</v>
      </c>
      <c r="BY23" s="55">
        <v>11016</v>
      </c>
      <c r="BZ23" s="55">
        <v>3510</v>
      </c>
      <c r="CA23" s="64">
        <v>51393</v>
      </c>
      <c r="CB23" s="64"/>
      <c r="CC23" s="64">
        <v>20000</v>
      </c>
      <c r="CD23" s="76">
        <f t="shared" si="35"/>
        <v>3.2420672254533017E-2</v>
      </c>
      <c r="CE23" s="76">
        <f t="shared" si="36"/>
        <v>1.684912760862128E-2</v>
      </c>
      <c r="CF23" s="76">
        <f t="shared" si="37"/>
        <v>1.9628806021211084E-2</v>
      </c>
      <c r="CG23" s="76">
        <f t="shared" si="38"/>
        <v>6.2542764283270609E-3</v>
      </c>
      <c r="CH23" s="76">
        <f t="shared" si="39"/>
        <v>9.1574367088607597E-2</v>
      </c>
      <c r="CI23" s="63">
        <f t="shared" si="40"/>
        <v>10463.063999999997</v>
      </c>
      <c r="CJ23" s="77">
        <f t="shared" si="41"/>
        <v>47083.787999999979</v>
      </c>
    </row>
    <row r="24" spans="1:88" ht="18.75" customHeight="1" x14ac:dyDescent="0.35">
      <c r="A24" s="50">
        <f t="shared" ref="A24:A39" si="46">A23+1</f>
        <v>2</v>
      </c>
      <c r="B24" s="58">
        <v>3</v>
      </c>
      <c r="C24" s="52" t="s">
        <v>97</v>
      </c>
      <c r="D24" s="52"/>
      <c r="E24" s="53"/>
      <c r="F24" s="54">
        <v>40</v>
      </c>
      <c r="G24" s="55">
        <f t="shared" si="0"/>
        <v>0</v>
      </c>
      <c r="H24" s="53">
        <v>7523</v>
      </c>
      <c r="I24" s="56">
        <v>50</v>
      </c>
      <c r="J24" s="55">
        <f t="shared" si="1"/>
        <v>376150</v>
      </c>
      <c r="K24" s="53"/>
      <c r="L24" s="57">
        <v>60</v>
      </c>
      <c r="M24" s="55">
        <f t="shared" si="2"/>
        <v>0</v>
      </c>
      <c r="N24" s="53">
        <v>4539</v>
      </c>
      <c r="O24" s="57">
        <v>15</v>
      </c>
      <c r="P24" s="55">
        <f t="shared" si="3"/>
        <v>68085</v>
      </c>
      <c r="Q24" s="53">
        <v>2710</v>
      </c>
      <c r="R24" s="59">
        <v>12</v>
      </c>
      <c r="S24" s="55">
        <f t="shared" si="4"/>
        <v>32520</v>
      </c>
      <c r="T24" s="53">
        <v>553</v>
      </c>
      <c r="U24" s="55">
        <f t="shared" si="5"/>
        <v>4424</v>
      </c>
      <c r="V24" s="53">
        <v>236</v>
      </c>
      <c r="W24" s="57">
        <v>12</v>
      </c>
      <c r="X24" s="55">
        <f t="shared" si="6"/>
        <v>2832</v>
      </c>
      <c r="Y24" s="53">
        <v>518</v>
      </c>
      <c r="Z24" s="57">
        <v>10</v>
      </c>
      <c r="AA24" s="55">
        <f t="shared" si="7"/>
        <v>5180</v>
      </c>
      <c r="AB24" s="53">
        <v>203</v>
      </c>
      <c r="AC24" s="57">
        <v>25</v>
      </c>
      <c r="AD24" s="55">
        <f t="shared" si="8"/>
        <v>5075</v>
      </c>
      <c r="AE24" s="53">
        <v>232</v>
      </c>
      <c r="AF24" s="57">
        <v>7.5</v>
      </c>
      <c r="AG24" s="55">
        <f t="shared" si="9"/>
        <v>1740</v>
      </c>
      <c r="AH24" s="53"/>
      <c r="AI24" s="56">
        <v>15</v>
      </c>
      <c r="AJ24" s="55">
        <f t="shared" si="10"/>
        <v>0</v>
      </c>
      <c r="AK24" s="53">
        <v>183</v>
      </c>
      <c r="AL24" s="57">
        <v>10</v>
      </c>
      <c r="AM24" s="55">
        <f t="shared" si="11"/>
        <v>1830</v>
      </c>
      <c r="AN24" s="53">
        <f t="shared" si="12"/>
        <v>4635</v>
      </c>
      <c r="AO24" s="53"/>
      <c r="AP24" s="61"/>
      <c r="AQ24" s="53"/>
      <c r="AR24" s="53"/>
      <c r="AS24" s="55"/>
      <c r="AT24" s="53"/>
      <c r="AU24" s="53"/>
      <c r="AV24" s="66">
        <f>258+624+157+201+114+79</f>
        <v>1433</v>
      </c>
      <c r="AW24" s="53"/>
      <c r="AX24" s="68">
        <f t="shared" si="13"/>
        <v>0.60334972750232618</v>
      </c>
      <c r="AY24" s="68">
        <f t="shared" si="14"/>
        <v>0.61611059417785463</v>
      </c>
      <c r="AZ24" s="68">
        <f t="shared" si="15"/>
        <v>0.31570830579422782</v>
      </c>
      <c r="BA24" s="55">
        <f t="shared" si="16"/>
        <v>426181</v>
      </c>
      <c r="BB24" s="55">
        <f t="shared" si="17"/>
        <v>413745</v>
      </c>
      <c r="BC24" s="55">
        <f t="shared" si="18"/>
        <v>426181</v>
      </c>
      <c r="BD24" s="55">
        <f t="shared" si="19"/>
        <v>427921</v>
      </c>
      <c r="BE24" s="62">
        <v>525463</v>
      </c>
      <c r="BF24" s="63">
        <v>353492.29</v>
      </c>
      <c r="BG24" s="69">
        <f t="shared" si="20"/>
        <v>67.272536791363038</v>
      </c>
      <c r="BH24" s="70">
        <f t="shared" si="21"/>
        <v>43918.75</v>
      </c>
      <c r="BI24" s="71">
        <f t="shared" si="22"/>
        <v>8.3581051377547025E-2</v>
      </c>
      <c r="BJ24" s="72">
        <f t="shared" si="45"/>
        <v>3</v>
      </c>
      <c r="BK24" s="61">
        <f t="shared" si="24"/>
        <v>43762.5</v>
      </c>
      <c r="BL24" s="69">
        <f t="shared" si="25"/>
        <v>3.5437095686946587</v>
      </c>
      <c r="BM24" s="73">
        <f t="shared" si="26"/>
        <v>1937</v>
      </c>
      <c r="BN24" s="69">
        <f t="shared" si="27"/>
        <v>80.062772328342803</v>
      </c>
      <c r="BO24" s="61">
        <f t="shared" si="28"/>
        <v>26761.07</v>
      </c>
      <c r="BP24" s="69">
        <f t="shared" si="29"/>
        <v>5.7950444432901973</v>
      </c>
      <c r="BQ24" s="64">
        <f t="shared" si="30"/>
        <v>38702.26999999999</v>
      </c>
      <c r="BR24" s="69">
        <f t="shared" si="31"/>
        <v>4.0070411890568707</v>
      </c>
      <c r="BS24" s="65">
        <v>155081.59</v>
      </c>
      <c r="BT24" s="74">
        <f t="shared" si="32"/>
        <v>29.5133225365059</v>
      </c>
      <c r="BU24" s="75">
        <f t="shared" si="33"/>
        <v>16889.120000000024</v>
      </c>
      <c r="BV24" s="69">
        <f t="shared" si="34"/>
        <v>3.2141406721310584</v>
      </c>
      <c r="BW24" s="55">
        <v>18260.5</v>
      </c>
      <c r="BX24" s="55">
        <v>9546</v>
      </c>
      <c r="BY24" s="55">
        <v>12308</v>
      </c>
      <c r="BZ24" s="55">
        <f>3240+564.25</f>
        <v>3804.25</v>
      </c>
      <c r="CA24" s="64">
        <v>43762.5</v>
      </c>
      <c r="CB24" s="64">
        <v>1937</v>
      </c>
      <c r="CC24" s="64">
        <v>26761.07</v>
      </c>
      <c r="CD24" s="76">
        <f t="shared" si="35"/>
        <v>3.4751257462466434E-2</v>
      </c>
      <c r="CE24" s="76">
        <f t="shared" si="36"/>
        <v>1.8166835723923472E-2</v>
      </c>
      <c r="CF24" s="76">
        <f t="shared" si="37"/>
        <v>2.3423152534050924E-2</v>
      </c>
      <c r="CG24" s="76">
        <f t="shared" si="38"/>
        <v>7.2398056571062091E-3</v>
      </c>
      <c r="CH24" s="76">
        <f t="shared" si="39"/>
        <v>8.3283694570312275E-2</v>
      </c>
      <c r="CI24" s="63">
        <f t="shared" si="40"/>
        <v>3377.8240000000051</v>
      </c>
      <c r="CJ24" s="77">
        <f t="shared" si="41"/>
        <v>15200.208000000022</v>
      </c>
    </row>
    <row r="25" spans="1:88" ht="18.75" customHeight="1" x14ac:dyDescent="0.35">
      <c r="A25" s="50">
        <f t="shared" si="46"/>
        <v>3</v>
      </c>
      <c r="B25" s="58">
        <v>4</v>
      </c>
      <c r="C25" s="52" t="s">
        <v>108</v>
      </c>
      <c r="D25" s="52"/>
      <c r="E25" s="53"/>
      <c r="F25" s="54">
        <v>40</v>
      </c>
      <c r="G25" s="55">
        <f t="shared" si="0"/>
        <v>0</v>
      </c>
      <c r="H25" s="53">
        <v>6479</v>
      </c>
      <c r="I25" s="56">
        <v>50</v>
      </c>
      <c r="J25" s="55">
        <f t="shared" si="1"/>
        <v>323950</v>
      </c>
      <c r="K25" s="53"/>
      <c r="L25" s="57">
        <v>60</v>
      </c>
      <c r="M25" s="55">
        <f t="shared" si="2"/>
        <v>0</v>
      </c>
      <c r="N25" s="53">
        <v>5865</v>
      </c>
      <c r="O25" s="57">
        <v>15</v>
      </c>
      <c r="P25" s="55">
        <f t="shared" si="3"/>
        <v>87975</v>
      </c>
      <c r="Q25" s="53">
        <v>1500</v>
      </c>
      <c r="R25" s="59">
        <v>12</v>
      </c>
      <c r="S25" s="55">
        <f t="shared" si="4"/>
        <v>18000</v>
      </c>
      <c r="T25" s="53">
        <v>1099</v>
      </c>
      <c r="U25" s="55">
        <f t="shared" si="5"/>
        <v>8792</v>
      </c>
      <c r="V25" s="53">
        <v>327</v>
      </c>
      <c r="W25" s="57">
        <v>12</v>
      </c>
      <c r="X25" s="55">
        <f t="shared" si="6"/>
        <v>3924</v>
      </c>
      <c r="Y25" s="53">
        <v>1193</v>
      </c>
      <c r="Z25" s="57">
        <v>10</v>
      </c>
      <c r="AA25" s="55">
        <f t="shared" si="7"/>
        <v>11930</v>
      </c>
      <c r="AB25" s="53">
        <v>247</v>
      </c>
      <c r="AC25" s="57">
        <v>25</v>
      </c>
      <c r="AD25" s="55">
        <f t="shared" si="8"/>
        <v>6175</v>
      </c>
      <c r="AE25" s="53">
        <v>92</v>
      </c>
      <c r="AF25" s="57">
        <v>7.5</v>
      </c>
      <c r="AG25" s="55">
        <f t="shared" si="9"/>
        <v>690</v>
      </c>
      <c r="AH25" s="53"/>
      <c r="AI25" s="56">
        <v>15</v>
      </c>
      <c r="AJ25" s="55">
        <f t="shared" si="10"/>
        <v>0</v>
      </c>
      <c r="AK25" s="53">
        <v>242</v>
      </c>
      <c r="AL25" s="57">
        <v>10</v>
      </c>
      <c r="AM25" s="55">
        <f t="shared" si="11"/>
        <v>2420</v>
      </c>
      <c r="AN25" s="53">
        <f t="shared" si="12"/>
        <v>4700</v>
      </c>
      <c r="AO25" s="53"/>
      <c r="AP25" s="61"/>
      <c r="AQ25" s="53"/>
      <c r="AR25" s="53"/>
      <c r="AS25" s="55"/>
      <c r="AT25" s="53"/>
      <c r="AU25" s="53"/>
      <c r="AV25" s="66">
        <f>471+1464+224+176+96</f>
        <v>2431</v>
      </c>
      <c r="AW25" s="53"/>
      <c r="AX25" s="68">
        <f t="shared" si="13"/>
        <v>0.9052322889334774</v>
      </c>
      <c r="AY25" s="68">
        <f t="shared" si="14"/>
        <v>0.72542058959716005</v>
      </c>
      <c r="AZ25" s="68">
        <f t="shared" si="15"/>
        <v>0.41449275362318838</v>
      </c>
      <c r="BA25" s="55">
        <f t="shared" si="16"/>
        <v>372771</v>
      </c>
      <c r="BB25" s="55">
        <f t="shared" si="17"/>
        <v>348125</v>
      </c>
      <c r="BC25" s="55">
        <f t="shared" si="18"/>
        <v>372771</v>
      </c>
      <c r="BD25" s="55">
        <f t="shared" si="19"/>
        <v>373461</v>
      </c>
      <c r="BE25" s="62">
        <v>510521</v>
      </c>
      <c r="BF25" s="63">
        <v>339292.08</v>
      </c>
      <c r="BG25" s="69">
        <f t="shared" si="20"/>
        <v>66.459965407887239</v>
      </c>
      <c r="BH25" s="70">
        <f t="shared" si="21"/>
        <v>42451</v>
      </c>
      <c r="BI25" s="71">
        <f t="shared" si="22"/>
        <v>8.3152309111672193E-2</v>
      </c>
      <c r="BJ25" s="72">
        <f t="shared" si="45"/>
        <v>4</v>
      </c>
      <c r="BK25" s="61">
        <f t="shared" si="24"/>
        <v>57312.5</v>
      </c>
      <c r="BL25" s="69">
        <f t="shared" si="25"/>
        <v>2.9130810905125406</v>
      </c>
      <c r="BM25" s="73">
        <f t="shared" si="26"/>
        <v>0</v>
      </c>
      <c r="BN25" s="69" t="e">
        <f t="shared" si="27"/>
        <v>#DIV/0!</v>
      </c>
      <c r="BO25" s="61">
        <f t="shared" si="28"/>
        <v>28000</v>
      </c>
      <c r="BP25" s="69">
        <f t="shared" si="29"/>
        <v>5.9627128571428569</v>
      </c>
      <c r="BQ25" s="64">
        <f t="shared" si="30"/>
        <v>39192.459999999992</v>
      </c>
      <c r="BR25" s="69">
        <f t="shared" si="31"/>
        <v>4.2598999909676509</v>
      </c>
      <c r="BS25" s="65">
        <v>166955.96</v>
      </c>
      <c r="BT25" s="74">
        <f t="shared" si="32"/>
        <v>32.703054330771899</v>
      </c>
      <c r="BU25" s="75">
        <f t="shared" si="33"/>
        <v>4272.9599999999919</v>
      </c>
      <c r="BV25" s="69">
        <f t="shared" si="34"/>
        <v>0.8369802613408639</v>
      </c>
      <c r="BW25" s="55">
        <v>18295</v>
      </c>
      <c r="BX25" s="55">
        <v>9546</v>
      </c>
      <c r="BY25" s="55">
        <v>10992</v>
      </c>
      <c r="BZ25" s="55">
        <f>3510+108</f>
        <v>3618</v>
      </c>
      <c r="CA25" s="64">
        <v>57312.5</v>
      </c>
      <c r="CB25" s="64"/>
      <c r="CC25" s="64">
        <v>28000</v>
      </c>
      <c r="CD25" s="76">
        <f t="shared" si="35"/>
        <v>3.5835940147418033E-2</v>
      </c>
      <c r="CE25" s="76">
        <f t="shared" si="36"/>
        <v>1.8698545211656328E-2</v>
      </c>
      <c r="CF25" s="76">
        <f t="shared" si="37"/>
        <v>2.1530945837683464E-2</v>
      </c>
      <c r="CG25" s="76">
        <f t="shared" si="38"/>
        <v>7.0868779149143718E-3</v>
      </c>
      <c r="CH25" s="76">
        <f t="shared" si="39"/>
        <v>0.11226276685973741</v>
      </c>
      <c r="CI25" s="63">
        <f t="shared" si="40"/>
        <v>854.59199999999839</v>
      </c>
      <c r="CJ25" s="77">
        <f t="shared" si="41"/>
        <v>3845.6639999999929</v>
      </c>
    </row>
    <row r="26" spans="1:88" ht="18.75" customHeight="1" x14ac:dyDescent="0.35">
      <c r="A26" s="50">
        <f t="shared" si="46"/>
        <v>4</v>
      </c>
      <c r="B26" s="51"/>
      <c r="C26" s="52" t="s">
        <v>247</v>
      </c>
      <c r="D26" s="52"/>
      <c r="E26" s="53"/>
      <c r="F26" s="54">
        <v>40</v>
      </c>
      <c r="G26" s="55">
        <f t="shared" si="0"/>
        <v>0</v>
      </c>
      <c r="H26" s="53">
        <v>7189</v>
      </c>
      <c r="I26" s="56">
        <v>50</v>
      </c>
      <c r="J26" s="55">
        <f t="shared" si="1"/>
        <v>359450</v>
      </c>
      <c r="K26" s="53"/>
      <c r="L26" s="57">
        <v>60</v>
      </c>
      <c r="M26" s="55">
        <f t="shared" si="2"/>
        <v>0</v>
      </c>
      <c r="N26" s="53">
        <v>3800</v>
      </c>
      <c r="O26" s="57">
        <v>15</v>
      </c>
      <c r="P26" s="55">
        <f t="shared" si="3"/>
        <v>57000</v>
      </c>
      <c r="Q26" s="53">
        <v>1670</v>
      </c>
      <c r="R26" s="59">
        <v>12</v>
      </c>
      <c r="S26" s="55">
        <f t="shared" si="4"/>
        <v>20040</v>
      </c>
      <c r="T26" s="53">
        <v>921</v>
      </c>
      <c r="U26" s="55">
        <f t="shared" si="5"/>
        <v>7368</v>
      </c>
      <c r="V26" s="53">
        <v>425</v>
      </c>
      <c r="W26" s="57">
        <v>12</v>
      </c>
      <c r="X26" s="55">
        <f t="shared" si="6"/>
        <v>5100</v>
      </c>
      <c r="Y26" s="53">
        <v>636</v>
      </c>
      <c r="Z26" s="57">
        <v>10</v>
      </c>
      <c r="AA26" s="55">
        <f t="shared" si="7"/>
        <v>6360</v>
      </c>
      <c r="AB26" s="53">
        <v>325</v>
      </c>
      <c r="AC26" s="57">
        <v>25</v>
      </c>
      <c r="AD26" s="55">
        <f t="shared" si="8"/>
        <v>8125</v>
      </c>
      <c r="AE26" s="53">
        <v>194</v>
      </c>
      <c r="AF26" s="57">
        <v>7.5</v>
      </c>
      <c r="AG26" s="55">
        <f t="shared" si="9"/>
        <v>1455</v>
      </c>
      <c r="AH26" s="53"/>
      <c r="AI26" s="56">
        <v>15</v>
      </c>
      <c r="AJ26" s="55">
        <f t="shared" si="10"/>
        <v>0</v>
      </c>
      <c r="AK26" s="53">
        <v>164</v>
      </c>
      <c r="AL26" s="57">
        <v>10</v>
      </c>
      <c r="AM26" s="55">
        <f t="shared" si="11"/>
        <v>1640</v>
      </c>
      <c r="AN26" s="53">
        <f t="shared" si="12"/>
        <v>4335</v>
      </c>
      <c r="AO26" s="53"/>
      <c r="AP26" s="61"/>
      <c r="AQ26" s="53"/>
      <c r="AR26" s="53"/>
      <c r="AS26" s="55"/>
      <c r="AT26" s="53"/>
      <c r="AU26" s="53"/>
      <c r="AV26" s="66">
        <f>431+437+106+60+94</f>
        <v>1128</v>
      </c>
      <c r="AW26" s="53"/>
      <c r="AX26" s="68">
        <f t="shared" si="13"/>
        <v>0.52858533871192104</v>
      </c>
      <c r="AY26" s="68">
        <f t="shared" si="14"/>
        <v>0.60300459034636245</v>
      </c>
      <c r="AZ26" s="68">
        <f t="shared" si="15"/>
        <v>0.29684210526315791</v>
      </c>
      <c r="BA26" s="55">
        <f t="shared" si="16"/>
        <v>406443</v>
      </c>
      <c r="BB26" s="55">
        <f t="shared" si="17"/>
        <v>387615</v>
      </c>
      <c r="BC26" s="55">
        <f t="shared" si="18"/>
        <v>406443</v>
      </c>
      <c r="BD26" s="55">
        <f t="shared" si="19"/>
        <v>407898</v>
      </c>
      <c r="BE26" s="62">
        <v>486915</v>
      </c>
      <c r="BF26" s="63">
        <v>329199.7</v>
      </c>
      <c r="BG26" s="69">
        <f t="shared" si="20"/>
        <v>67.609274719406883</v>
      </c>
      <c r="BH26" s="70">
        <f t="shared" si="21"/>
        <v>31928</v>
      </c>
      <c r="BI26" s="71">
        <f t="shared" si="22"/>
        <v>6.5572019757041786E-2</v>
      </c>
      <c r="BJ26" s="72">
        <v>3</v>
      </c>
      <c r="BK26" s="61">
        <f t="shared" si="24"/>
        <v>44487.5</v>
      </c>
      <c r="BL26" s="69">
        <f t="shared" si="25"/>
        <v>2.7398781680247262</v>
      </c>
      <c r="BM26" s="73">
        <f t="shared" si="26"/>
        <v>1000</v>
      </c>
      <c r="BN26" s="69">
        <f t="shared" si="27"/>
        <v>121.89033000000001</v>
      </c>
      <c r="BO26" s="61">
        <f t="shared" si="28"/>
        <v>27000</v>
      </c>
      <c r="BP26" s="69">
        <f t="shared" si="29"/>
        <v>4.5144566666666668</v>
      </c>
      <c r="BQ26" s="64">
        <f t="shared" si="30"/>
        <v>17474.830000000002</v>
      </c>
      <c r="BR26" s="69">
        <f t="shared" si="31"/>
        <v>6.9751940362223834</v>
      </c>
      <c r="BS26" s="65">
        <v>121890.33</v>
      </c>
      <c r="BT26" s="74">
        <f t="shared" si="32"/>
        <v>25.03318443670867</v>
      </c>
      <c r="BU26" s="75">
        <f t="shared" si="33"/>
        <v>35824.969999999987</v>
      </c>
      <c r="BV26" s="69">
        <f t="shared" si="34"/>
        <v>7.3575408438844541</v>
      </c>
      <c r="BW26" s="55">
        <v>12197</v>
      </c>
      <c r="BX26" s="55">
        <v>6364</v>
      </c>
      <c r="BY26" s="55">
        <v>9560</v>
      </c>
      <c r="BZ26" s="55">
        <f>2970+837</f>
        <v>3807</v>
      </c>
      <c r="CA26" s="64">
        <v>44487.5</v>
      </c>
      <c r="CB26" s="64">
        <v>1000</v>
      </c>
      <c r="CC26" s="64">
        <v>27000</v>
      </c>
      <c r="CD26" s="76">
        <f t="shared" si="35"/>
        <v>2.504954663544972E-2</v>
      </c>
      <c r="CE26" s="76">
        <f t="shared" si="36"/>
        <v>1.3070043025990163E-2</v>
      </c>
      <c r="CF26" s="76">
        <f t="shared" si="37"/>
        <v>1.9633816990645186E-2</v>
      </c>
      <c r="CG26" s="76">
        <f t="shared" si="38"/>
        <v>7.8186131049567172E-3</v>
      </c>
      <c r="CH26" s="76">
        <f t="shared" si="39"/>
        <v>9.1366049515829245E-2</v>
      </c>
      <c r="CI26" s="63">
        <f t="shared" si="40"/>
        <v>7164.9939999999979</v>
      </c>
      <c r="CJ26" s="77">
        <f t="shared" si="41"/>
        <v>32242.472999999987</v>
      </c>
    </row>
    <row r="27" spans="1:88" ht="18.75" customHeight="1" x14ac:dyDescent="0.35">
      <c r="A27" s="50">
        <f t="shared" si="46"/>
        <v>5</v>
      </c>
      <c r="B27" s="58">
        <v>3</v>
      </c>
      <c r="C27" s="52" t="s">
        <v>208</v>
      </c>
      <c r="D27" s="52"/>
      <c r="E27" s="53"/>
      <c r="F27" s="54">
        <v>40</v>
      </c>
      <c r="G27" s="55">
        <f t="shared" si="0"/>
        <v>0</v>
      </c>
      <c r="H27" s="53">
        <v>7291</v>
      </c>
      <c r="I27" s="56">
        <v>50</v>
      </c>
      <c r="J27" s="55">
        <f t="shared" si="1"/>
        <v>364550</v>
      </c>
      <c r="K27" s="53"/>
      <c r="L27" s="57">
        <v>60</v>
      </c>
      <c r="M27" s="55">
        <f t="shared" si="2"/>
        <v>0</v>
      </c>
      <c r="N27" s="53">
        <v>3094</v>
      </c>
      <c r="O27" s="57">
        <v>15</v>
      </c>
      <c r="P27" s="55">
        <f t="shared" si="3"/>
        <v>46410</v>
      </c>
      <c r="Q27" s="53">
        <v>2118</v>
      </c>
      <c r="R27" s="59">
        <v>12</v>
      </c>
      <c r="S27" s="55">
        <f t="shared" si="4"/>
        <v>25416</v>
      </c>
      <c r="T27" s="53">
        <v>736</v>
      </c>
      <c r="U27" s="55">
        <f t="shared" si="5"/>
        <v>5888</v>
      </c>
      <c r="V27" s="53">
        <v>413</v>
      </c>
      <c r="W27" s="57">
        <v>12</v>
      </c>
      <c r="X27" s="55">
        <f t="shared" si="6"/>
        <v>4956</v>
      </c>
      <c r="Y27" s="53">
        <v>652</v>
      </c>
      <c r="Z27" s="57">
        <v>10</v>
      </c>
      <c r="AA27" s="55">
        <f t="shared" si="7"/>
        <v>6520</v>
      </c>
      <c r="AB27" s="53">
        <v>230</v>
      </c>
      <c r="AC27" s="57">
        <v>25</v>
      </c>
      <c r="AD27" s="55">
        <f t="shared" si="8"/>
        <v>5750</v>
      </c>
      <c r="AE27" s="53">
        <v>85</v>
      </c>
      <c r="AF27" s="57">
        <v>7.5</v>
      </c>
      <c r="AG27" s="55">
        <f t="shared" si="9"/>
        <v>637.5</v>
      </c>
      <c r="AH27" s="53"/>
      <c r="AI27" s="56">
        <v>15</v>
      </c>
      <c r="AJ27" s="55">
        <f t="shared" si="10"/>
        <v>0</v>
      </c>
      <c r="AK27" s="53">
        <v>244</v>
      </c>
      <c r="AL27" s="57">
        <v>10</v>
      </c>
      <c r="AM27" s="55">
        <f t="shared" si="11"/>
        <v>2440</v>
      </c>
      <c r="AN27" s="53">
        <f t="shared" si="12"/>
        <v>4478</v>
      </c>
      <c r="AO27" s="53"/>
      <c r="AP27" s="61"/>
      <c r="AQ27" s="53"/>
      <c r="AR27" s="53"/>
      <c r="AS27" s="55"/>
      <c r="AT27" s="53"/>
      <c r="AU27" s="53"/>
      <c r="AV27" s="66">
        <v>1285</v>
      </c>
      <c r="AW27" s="53"/>
      <c r="AX27" s="68">
        <f t="shared" si="13"/>
        <v>0.42435879851872171</v>
      </c>
      <c r="AY27" s="68">
        <f t="shared" si="14"/>
        <v>0.61418186805650798</v>
      </c>
      <c r="AZ27" s="68">
        <f t="shared" si="15"/>
        <v>0.41531997414350358</v>
      </c>
      <c r="BA27" s="55">
        <f t="shared" si="16"/>
        <v>413080</v>
      </c>
      <c r="BB27" s="55">
        <f t="shared" si="17"/>
        <v>395716</v>
      </c>
      <c r="BC27" s="55">
        <f t="shared" si="18"/>
        <v>413080</v>
      </c>
      <c r="BD27" s="55">
        <f t="shared" si="19"/>
        <v>413717.5</v>
      </c>
      <c r="BE27" s="62">
        <v>486524.5</v>
      </c>
      <c r="BF27" s="63">
        <v>319741.89</v>
      </c>
      <c r="BG27" s="69">
        <f t="shared" si="20"/>
        <v>65.7195865778599</v>
      </c>
      <c r="BH27" s="70">
        <f t="shared" si="21"/>
        <v>40188</v>
      </c>
      <c r="BI27" s="71">
        <f t="shared" si="22"/>
        <v>8.2602212221583898E-2</v>
      </c>
      <c r="BJ27" s="72">
        <f t="shared" ref="BJ27:BJ28" si="47">B27</f>
        <v>3</v>
      </c>
      <c r="BK27" s="61">
        <f t="shared" si="24"/>
        <v>40175</v>
      </c>
      <c r="BL27" s="69">
        <f t="shared" si="25"/>
        <v>3.1199912881144991</v>
      </c>
      <c r="BM27" s="73">
        <f t="shared" si="26"/>
        <v>0</v>
      </c>
      <c r="BN27" s="69" t="e">
        <f t="shared" si="27"/>
        <v>#DIV/0!</v>
      </c>
      <c r="BO27" s="61">
        <f t="shared" si="28"/>
        <v>15000</v>
      </c>
      <c r="BP27" s="69">
        <f t="shared" si="29"/>
        <v>8.3563766666666659</v>
      </c>
      <c r="BQ27" s="64">
        <f t="shared" si="30"/>
        <v>29982.649999999994</v>
      </c>
      <c r="BR27" s="69">
        <f t="shared" si="31"/>
        <v>4.1806061172044506</v>
      </c>
      <c r="BS27" s="65">
        <v>125345.65</v>
      </c>
      <c r="BT27" s="74">
        <f t="shared" si="32"/>
        <v>25.763481592396683</v>
      </c>
      <c r="BU27" s="75">
        <f t="shared" si="33"/>
        <v>41436.959999999992</v>
      </c>
      <c r="BV27" s="69">
        <f t="shared" si="34"/>
        <v>8.5169318297434131</v>
      </c>
      <c r="BW27" s="55">
        <v>18112</v>
      </c>
      <c r="BX27" s="55">
        <v>9546</v>
      </c>
      <c r="BY27" s="55">
        <v>9560</v>
      </c>
      <c r="BZ27" s="55">
        <v>2970</v>
      </c>
      <c r="CA27" s="64">
        <v>40175</v>
      </c>
      <c r="CB27" s="64"/>
      <c r="CC27" s="64">
        <v>15000</v>
      </c>
      <c r="CD27" s="76">
        <f t="shared" si="35"/>
        <v>3.7227313321322973E-2</v>
      </c>
      <c r="CE27" s="76">
        <f t="shared" si="36"/>
        <v>1.9620800185807703E-2</v>
      </c>
      <c r="CF27" s="76">
        <f t="shared" si="37"/>
        <v>1.9649575715097595E-2</v>
      </c>
      <c r="CG27" s="76">
        <f t="shared" si="38"/>
        <v>6.1045229993556341E-3</v>
      </c>
      <c r="CH27" s="76">
        <f t="shared" si="39"/>
        <v>8.2575492087243296E-2</v>
      </c>
      <c r="CI27" s="63">
        <f t="shared" si="40"/>
        <v>8287.391999999998</v>
      </c>
      <c r="CJ27" s="77">
        <f t="shared" si="41"/>
        <v>37293.263999999996</v>
      </c>
    </row>
    <row r="28" spans="1:88" ht="18.75" customHeight="1" x14ac:dyDescent="0.35">
      <c r="A28" s="50">
        <f t="shared" si="46"/>
        <v>6</v>
      </c>
      <c r="B28" s="58">
        <v>4</v>
      </c>
      <c r="C28" s="52" t="s">
        <v>78</v>
      </c>
      <c r="D28" s="52"/>
      <c r="E28" s="53"/>
      <c r="F28" s="54">
        <v>40</v>
      </c>
      <c r="G28" s="55">
        <f t="shared" si="0"/>
        <v>0</v>
      </c>
      <c r="H28" s="53">
        <v>7880</v>
      </c>
      <c r="I28" s="56">
        <v>50</v>
      </c>
      <c r="J28" s="55">
        <f t="shared" si="1"/>
        <v>394000</v>
      </c>
      <c r="K28" s="53"/>
      <c r="L28" s="57">
        <v>60</v>
      </c>
      <c r="M28" s="55">
        <f t="shared" si="2"/>
        <v>0</v>
      </c>
      <c r="N28" s="53">
        <v>2856</v>
      </c>
      <c r="O28" s="57">
        <v>15</v>
      </c>
      <c r="P28" s="55">
        <f t="shared" si="3"/>
        <v>42840</v>
      </c>
      <c r="Q28" s="53">
        <v>1040</v>
      </c>
      <c r="R28" s="59">
        <v>12</v>
      </c>
      <c r="S28" s="55">
        <f t="shared" si="4"/>
        <v>12480</v>
      </c>
      <c r="T28" s="53">
        <v>260</v>
      </c>
      <c r="U28" s="55">
        <f t="shared" si="5"/>
        <v>2080</v>
      </c>
      <c r="V28" s="53">
        <v>168</v>
      </c>
      <c r="W28" s="57">
        <v>12</v>
      </c>
      <c r="X28" s="55">
        <f t="shared" si="6"/>
        <v>2016</v>
      </c>
      <c r="Y28" s="53">
        <v>286</v>
      </c>
      <c r="Z28" s="57">
        <v>10</v>
      </c>
      <c r="AA28" s="55">
        <f t="shared" si="7"/>
        <v>2860</v>
      </c>
      <c r="AB28" s="53">
        <v>142</v>
      </c>
      <c r="AC28" s="57">
        <v>25</v>
      </c>
      <c r="AD28" s="55">
        <f t="shared" si="8"/>
        <v>3550</v>
      </c>
      <c r="AE28" s="53">
        <v>80</v>
      </c>
      <c r="AF28" s="57">
        <v>7.5</v>
      </c>
      <c r="AG28" s="55">
        <f t="shared" si="9"/>
        <v>600</v>
      </c>
      <c r="AH28" s="53"/>
      <c r="AI28" s="56">
        <v>15</v>
      </c>
      <c r="AJ28" s="55">
        <f t="shared" si="10"/>
        <v>0</v>
      </c>
      <c r="AK28" s="53">
        <v>63</v>
      </c>
      <c r="AL28" s="57">
        <v>12</v>
      </c>
      <c r="AM28" s="55">
        <f t="shared" si="11"/>
        <v>756</v>
      </c>
      <c r="AN28" s="53">
        <f t="shared" si="12"/>
        <v>2039</v>
      </c>
      <c r="AO28" s="53"/>
      <c r="AP28" s="61"/>
      <c r="AQ28" s="53"/>
      <c r="AR28" s="53"/>
      <c r="AS28" s="55"/>
      <c r="AT28" s="53"/>
      <c r="AU28" s="53"/>
      <c r="AV28" s="66">
        <v>1228</v>
      </c>
      <c r="AW28" s="53"/>
      <c r="AX28" s="68">
        <f t="shared" si="13"/>
        <v>0.36243654822335025</v>
      </c>
      <c r="AY28" s="68">
        <f t="shared" si="14"/>
        <v>0.25875634517766499</v>
      </c>
      <c r="AZ28" s="68">
        <f t="shared" si="15"/>
        <v>0.42997198879551823</v>
      </c>
      <c r="BA28" s="55">
        <f t="shared" si="16"/>
        <v>416986</v>
      </c>
      <c r="BB28" s="55">
        <f t="shared" si="17"/>
        <v>410030</v>
      </c>
      <c r="BC28" s="55">
        <f t="shared" si="18"/>
        <v>416986</v>
      </c>
      <c r="BD28" s="55">
        <f t="shared" si="19"/>
        <v>417586</v>
      </c>
      <c r="BE28" s="62">
        <v>484452</v>
      </c>
      <c r="BF28" s="63">
        <v>319769.34000000003</v>
      </c>
      <c r="BG28" s="69">
        <f t="shared" si="20"/>
        <v>66.006403111144138</v>
      </c>
      <c r="BH28" s="70">
        <f t="shared" si="21"/>
        <v>38236</v>
      </c>
      <c r="BI28" s="71">
        <f t="shared" si="22"/>
        <v>7.8926291975262769E-2</v>
      </c>
      <c r="BJ28" s="72">
        <f t="shared" si="47"/>
        <v>4</v>
      </c>
      <c r="BK28" s="61">
        <f t="shared" si="24"/>
        <v>45637.5</v>
      </c>
      <c r="BL28" s="69">
        <f t="shared" si="25"/>
        <v>3.0170088195015063</v>
      </c>
      <c r="BM28" s="73">
        <f t="shared" si="26"/>
        <v>0</v>
      </c>
      <c r="BN28" s="69" t="e">
        <f t="shared" si="27"/>
        <v>#DIV/0!</v>
      </c>
      <c r="BO28" s="61">
        <f t="shared" si="28"/>
        <v>18000</v>
      </c>
      <c r="BP28" s="69">
        <f t="shared" si="29"/>
        <v>7.6493744444444438</v>
      </c>
      <c r="BQ28" s="64">
        <f t="shared" si="30"/>
        <v>35815.239999999991</v>
      </c>
      <c r="BR28" s="69">
        <f t="shared" si="31"/>
        <v>3.844417627803137</v>
      </c>
      <c r="BS28" s="65">
        <v>137688.74</v>
      </c>
      <c r="BT28" s="74">
        <f t="shared" si="32"/>
        <v>28.421544342886392</v>
      </c>
      <c r="BU28" s="75">
        <f t="shared" si="33"/>
        <v>26993.919999999984</v>
      </c>
      <c r="BV28" s="69">
        <f t="shared" si="34"/>
        <v>5.5720525459694628</v>
      </c>
      <c r="BW28" s="55">
        <v>16990</v>
      </c>
      <c r="BX28" s="55">
        <v>8650</v>
      </c>
      <c r="BY28" s="55">
        <v>9716</v>
      </c>
      <c r="BZ28" s="55">
        <v>2880</v>
      </c>
      <c r="CA28" s="64">
        <v>45637.5</v>
      </c>
      <c r="CB28" s="64"/>
      <c r="CC28" s="64">
        <v>18000</v>
      </c>
      <c r="CD28" s="76">
        <f t="shared" si="35"/>
        <v>3.5070553945488921E-2</v>
      </c>
      <c r="CE28" s="76">
        <f t="shared" si="36"/>
        <v>1.7855226111152395E-2</v>
      </c>
      <c r="CF28" s="76">
        <f t="shared" si="37"/>
        <v>2.0055650508203082E-2</v>
      </c>
      <c r="CG28" s="76">
        <f t="shared" si="38"/>
        <v>5.9448614104183695E-3</v>
      </c>
      <c r="CH28" s="76">
        <f t="shared" si="39"/>
        <v>9.4204379381239003E-2</v>
      </c>
      <c r="CI28" s="63">
        <f t="shared" si="40"/>
        <v>5398.7839999999969</v>
      </c>
      <c r="CJ28" s="77">
        <f t="shared" si="41"/>
        <v>24294.527999999988</v>
      </c>
    </row>
    <row r="29" spans="1:88" ht="18.75" customHeight="1" x14ac:dyDescent="0.35">
      <c r="A29" s="50">
        <f t="shared" si="46"/>
        <v>7</v>
      </c>
      <c r="B29" s="51">
        <v>4</v>
      </c>
      <c r="C29" s="52" t="s">
        <v>99</v>
      </c>
      <c r="D29" s="52"/>
      <c r="E29" s="53"/>
      <c r="F29" s="54">
        <v>40</v>
      </c>
      <c r="G29" s="55">
        <f t="shared" si="0"/>
        <v>0</v>
      </c>
      <c r="H29" s="53">
        <v>5584</v>
      </c>
      <c r="I29" s="56">
        <v>50</v>
      </c>
      <c r="J29" s="55">
        <f t="shared" si="1"/>
        <v>279200</v>
      </c>
      <c r="K29" s="53"/>
      <c r="L29" s="57">
        <v>60</v>
      </c>
      <c r="M29" s="55">
        <f t="shared" si="2"/>
        <v>0</v>
      </c>
      <c r="N29" s="53">
        <v>4903</v>
      </c>
      <c r="O29" s="57">
        <v>15</v>
      </c>
      <c r="P29" s="55">
        <f t="shared" si="3"/>
        <v>73545</v>
      </c>
      <c r="Q29" s="53">
        <v>4569</v>
      </c>
      <c r="R29" s="59">
        <v>12</v>
      </c>
      <c r="S29" s="55">
        <f t="shared" si="4"/>
        <v>54828</v>
      </c>
      <c r="T29" s="53">
        <v>535</v>
      </c>
      <c r="U29" s="55">
        <f t="shared" si="5"/>
        <v>4280</v>
      </c>
      <c r="V29" s="53">
        <v>156</v>
      </c>
      <c r="W29" s="57">
        <v>12</v>
      </c>
      <c r="X29" s="55">
        <f t="shared" si="6"/>
        <v>1872</v>
      </c>
      <c r="Y29" s="53">
        <v>579</v>
      </c>
      <c r="Z29" s="57">
        <v>10</v>
      </c>
      <c r="AA29" s="55">
        <f t="shared" si="7"/>
        <v>5790</v>
      </c>
      <c r="AB29" s="53">
        <v>175</v>
      </c>
      <c r="AC29" s="57">
        <v>25</v>
      </c>
      <c r="AD29" s="55">
        <f t="shared" si="8"/>
        <v>4375</v>
      </c>
      <c r="AE29" s="53">
        <v>223</v>
      </c>
      <c r="AF29" s="57">
        <v>7.5</v>
      </c>
      <c r="AG29" s="55">
        <f t="shared" si="9"/>
        <v>1672.5</v>
      </c>
      <c r="AH29" s="53"/>
      <c r="AI29" s="56">
        <v>15</v>
      </c>
      <c r="AJ29" s="55">
        <f t="shared" si="10"/>
        <v>0</v>
      </c>
      <c r="AK29" s="53">
        <v>247</v>
      </c>
      <c r="AL29" s="57">
        <v>10</v>
      </c>
      <c r="AM29" s="55">
        <f t="shared" si="11"/>
        <v>2470</v>
      </c>
      <c r="AN29" s="53">
        <f t="shared" si="12"/>
        <v>6484</v>
      </c>
      <c r="AO29" s="53"/>
      <c r="AP29" s="61"/>
      <c r="AQ29" s="53"/>
      <c r="AR29" s="53"/>
      <c r="AS29" s="55"/>
      <c r="AT29" s="53"/>
      <c r="AU29" s="53"/>
      <c r="AV29" s="66">
        <f>108+887+118+131+122+72</f>
        <v>1438</v>
      </c>
      <c r="AW29" s="53"/>
      <c r="AX29" s="68">
        <f t="shared" si="13"/>
        <v>0.87804441260744981</v>
      </c>
      <c r="AY29" s="68">
        <f t="shared" si="14"/>
        <v>1.1611747851002865</v>
      </c>
      <c r="AZ29" s="68">
        <f t="shared" si="15"/>
        <v>0.29328982255761776</v>
      </c>
      <c r="BA29" s="55">
        <f t="shared" si="16"/>
        <v>350345</v>
      </c>
      <c r="BB29" s="55">
        <f t="shared" si="17"/>
        <v>338403</v>
      </c>
      <c r="BC29" s="55">
        <f t="shared" si="18"/>
        <v>350345</v>
      </c>
      <c r="BD29" s="55">
        <f t="shared" si="19"/>
        <v>352017.5</v>
      </c>
      <c r="BE29" s="62">
        <v>456652.5</v>
      </c>
      <c r="BF29" s="63">
        <v>302095.08</v>
      </c>
      <c r="BG29" s="69">
        <f t="shared" si="20"/>
        <v>66.154259529948931</v>
      </c>
      <c r="BH29" s="70">
        <f t="shared" si="21"/>
        <v>42150</v>
      </c>
      <c r="BI29" s="71">
        <f t="shared" si="22"/>
        <v>9.2302133460344576E-2</v>
      </c>
      <c r="BJ29" s="72">
        <v>3</v>
      </c>
      <c r="BK29" s="61">
        <f t="shared" si="24"/>
        <v>41750.5</v>
      </c>
      <c r="BL29" s="69">
        <f t="shared" si="25"/>
        <v>3.8472674578747559</v>
      </c>
      <c r="BM29" s="73">
        <f t="shared" si="26"/>
        <v>3187.8</v>
      </c>
      <c r="BN29" s="69">
        <f t="shared" si="27"/>
        <v>50.387521174477691</v>
      </c>
      <c r="BO29" s="61">
        <f t="shared" si="28"/>
        <v>35000</v>
      </c>
      <c r="BP29" s="69">
        <f t="shared" si="29"/>
        <v>4.5892954285714289</v>
      </c>
      <c r="BQ29" s="64">
        <f t="shared" si="30"/>
        <v>38537.039999999994</v>
      </c>
      <c r="BR29" s="69">
        <f t="shared" si="31"/>
        <v>4.168076738638983</v>
      </c>
      <c r="BS29" s="65">
        <v>160625.34</v>
      </c>
      <c r="BT29" s="74">
        <f t="shared" si="32"/>
        <v>35.174523297255575</v>
      </c>
      <c r="BU29" s="75">
        <f t="shared" si="33"/>
        <v>-6067.9200000000128</v>
      </c>
      <c r="BV29" s="69">
        <f t="shared" si="34"/>
        <v>-1.3287828272044966</v>
      </c>
      <c r="BW29" s="55">
        <v>18295</v>
      </c>
      <c r="BX29" s="55">
        <v>9546</v>
      </c>
      <c r="BY29" s="55">
        <v>11209</v>
      </c>
      <c r="BZ29" s="55">
        <f>2970+130</f>
        <v>3100</v>
      </c>
      <c r="CA29" s="64">
        <v>41750.5</v>
      </c>
      <c r="CB29" s="64">
        <v>3187.8</v>
      </c>
      <c r="CC29" s="64">
        <v>35000</v>
      </c>
      <c r="CD29" s="76">
        <f t="shared" si="35"/>
        <v>4.0063286634804365E-2</v>
      </c>
      <c r="CE29" s="76">
        <f t="shared" si="36"/>
        <v>2.0904298126036756E-2</v>
      </c>
      <c r="CF29" s="76">
        <f t="shared" si="37"/>
        <v>2.4546016938481668E-2</v>
      </c>
      <c r="CG29" s="76">
        <f t="shared" si="38"/>
        <v>6.7885317610217833E-3</v>
      </c>
      <c r="CH29" s="76">
        <f t="shared" si="39"/>
        <v>9.142728880275483E-2</v>
      </c>
      <c r="CI29" s="63">
        <f t="shared" si="40"/>
        <v>-1213.5840000000026</v>
      </c>
      <c r="CJ29" s="77">
        <f t="shared" si="41"/>
        <v>-5461.1280000000115</v>
      </c>
    </row>
    <row r="30" spans="1:88" ht="18.75" customHeight="1" x14ac:dyDescent="0.35">
      <c r="A30" s="50">
        <f t="shared" si="46"/>
        <v>8</v>
      </c>
      <c r="B30" s="58">
        <v>2</v>
      </c>
      <c r="C30" s="52" t="s">
        <v>217</v>
      </c>
      <c r="D30" s="52"/>
      <c r="E30" s="53"/>
      <c r="F30" s="54">
        <v>40</v>
      </c>
      <c r="G30" s="55">
        <f t="shared" si="0"/>
        <v>0</v>
      </c>
      <c r="H30" s="53">
        <v>6820</v>
      </c>
      <c r="I30" s="56">
        <v>50</v>
      </c>
      <c r="J30" s="55">
        <f t="shared" si="1"/>
        <v>341000</v>
      </c>
      <c r="K30" s="53"/>
      <c r="L30" s="57">
        <v>60</v>
      </c>
      <c r="M30" s="55">
        <f t="shared" si="2"/>
        <v>0</v>
      </c>
      <c r="N30" s="53">
        <v>2740</v>
      </c>
      <c r="O30" s="57">
        <v>15</v>
      </c>
      <c r="P30" s="55">
        <f t="shared" si="3"/>
        <v>41100</v>
      </c>
      <c r="Q30" s="53">
        <v>2341</v>
      </c>
      <c r="R30" s="59">
        <v>12</v>
      </c>
      <c r="S30" s="55">
        <f t="shared" si="4"/>
        <v>28092</v>
      </c>
      <c r="T30" s="53">
        <v>347</v>
      </c>
      <c r="U30" s="55">
        <f t="shared" si="5"/>
        <v>2776</v>
      </c>
      <c r="V30" s="53">
        <v>215</v>
      </c>
      <c r="W30" s="57">
        <v>12</v>
      </c>
      <c r="X30" s="55">
        <f t="shared" si="6"/>
        <v>2580</v>
      </c>
      <c r="Y30" s="53">
        <v>276</v>
      </c>
      <c r="Z30" s="57">
        <v>10</v>
      </c>
      <c r="AA30" s="55">
        <f t="shared" si="7"/>
        <v>2760</v>
      </c>
      <c r="AB30" s="53">
        <v>107</v>
      </c>
      <c r="AC30" s="57">
        <v>25</v>
      </c>
      <c r="AD30" s="55">
        <f t="shared" si="8"/>
        <v>2675</v>
      </c>
      <c r="AE30" s="53">
        <v>70</v>
      </c>
      <c r="AF30" s="57">
        <v>7.5</v>
      </c>
      <c r="AG30" s="55">
        <f t="shared" si="9"/>
        <v>525</v>
      </c>
      <c r="AH30" s="53"/>
      <c r="AI30" s="56">
        <v>15</v>
      </c>
      <c r="AJ30" s="55">
        <f t="shared" si="10"/>
        <v>0</v>
      </c>
      <c r="AK30" s="53">
        <v>90</v>
      </c>
      <c r="AL30" s="57">
        <v>10</v>
      </c>
      <c r="AM30" s="55">
        <f t="shared" si="11"/>
        <v>900</v>
      </c>
      <c r="AN30" s="53">
        <f t="shared" si="12"/>
        <v>3446</v>
      </c>
      <c r="AO30" s="53"/>
      <c r="AP30" s="61"/>
      <c r="AQ30" s="53"/>
      <c r="AR30" s="53"/>
      <c r="AS30" s="55"/>
      <c r="AT30" s="53"/>
      <c r="AU30" s="53"/>
      <c r="AV30" s="66">
        <v>1167</v>
      </c>
      <c r="AW30" s="53"/>
      <c r="AX30" s="68">
        <f t="shared" si="13"/>
        <v>0.40175953079178883</v>
      </c>
      <c r="AY30" s="68">
        <f t="shared" si="14"/>
        <v>0.50527859237536654</v>
      </c>
      <c r="AZ30" s="68">
        <f t="shared" si="15"/>
        <v>0.42591240875912406</v>
      </c>
      <c r="BA30" s="55">
        <f t="shared" si="16"/>
        <v>379883</v>
      </c>
      <c r="BB30" s="55">
        <f t="shared" si="17"/>
        <v>371767</v>
      </c>
      <c r="BC30" s="55">
        <f t="shared" si="18"/>
        <v>379883</v>
      </c>
      <c r="BD30" s="55">
        <f t="shared" si="19"/>
        <v>380408</v>
      </c>
      <c r="BE30" s="62">
        <v>443733</v>
      </c>
      <c r="BF30" s="63">
        <v>289830.53000000003</v>
      </c>
      <c r="BG30" s="69">
        <f t="shared" si="20"/>
        <v>65.31642451654487</v>
      </c>
      <c r="BH30" s="70">
        <f t="shared" si="21"/>
        <v>38666</v>
      </c>
      <c r="BI30" s="71">
        <f t="shared" si="22"/>
        <v>8.7137986131299694E-2</v>
      </c>
      <c r="BJ30" s="72">
        <f t="shared" ref="BJ30:BJ32" si="48">B30</f>
        <v>2</v>
      </c>
      <c r="BK30" s="61">
        <f t="shared" si="24"/>
        <v>40750</v>
      </c>
      <c r="BL30" s="69">
        <f t="shared" si="25"/>
        <v>3.2450134969325148</v>
      </c>
      <c r="BM30" s="73">
        <f t="shared" si="26"/>
        <v>0</v>
      </c>
      <c r="BN30" s="69" t="e">
        <f t="shared" si="27"/>
        <v>#DIV/0!</v>
      </c>
      <c r="BO30" s="61">
        <f t="shared" si="28"/>
        <v>14000</v>
      </c>
      <c r="BP30" s="69">
        <f t="shared" si="29"/>
        <v>9.4453071428571427</v>
      </c>
      <c r="BQ30" s="64">
        <f t="shared" si="30"/>
        <v>38818.299999999988</v>
      </c>
      <c r="BR30" s="69">
        <f t="shared" si="31"/>
        <v>3.4064938443981325</v>
      </c>
      <c r="BS30" s="65">
        <v>132234.29999999999</v>
      </c>
      <c r="BT30" s="74">
        <f t="shared" si="32"/>
        <v>29.800420523152432</v>
      </c>
      <c r="BU30" s="75">
        <f t="shared" si="33"/>
        <v>21668.169999999984</v>
      </c>
      <c r="BV30" s="69">
        <f t="shared" si="34"/>
        <v>4.8831549603027007</v>
      </c>
      <c r="BW30" s="55">
        <v>18225</v>
      </c>
      <c r="BX30" s="55">
        <v>8650</v>
      </c>
      <c r="BY30" s="55">
        <v>7951</v>
      </c>
      <c r="BZ30" s="55">
        <v>3840</v>
      </c>
      <c r="CA30" s="64">
        <v>40750</v>
      </c>
      <c r="CB30" s="64"/>
      <c r="CC30" s="64">
        <v>14000</v>
      </c>
      <c r="CD30" s="76">
        <f t="shared" si="35"/>
        <v>4.1071995997593147E-2</v>
      </c>
      <c r="CE30" s="76">
        <f t="shared" si="36"/>
        <v>1.9493704547554499E-2</v>
      </c>
      <c r="CF30" s="76">
        <f t="shared" si="37"/>
        <v>1.7918432931515123E-2</v>
      </c>
      <c r="CG30" s="76">
        <f t="shared" si="38"/>
        <v>8.6538526546369107E-3</v>
      </c>
      <c r="CH30" s="76">
        <f t="shared" si="39"/>
        <v>9.1834504082409923E-2</v>
      </c>
      <c r="CI30" s="63">
        <f t="shared" si="40"/>
        <v>4333.6339999999973</v>
      </c>
      <c r="CJ30" s="77">
        <f t="shared" si="41"/>
        <v>19501.352999999985</v>
      </c>
    </row>
    <row r="31" spans="1:88" ht="18.75" customHeight="1" x14ac:dyDescent="0.35">
      <c r="A31" s="50">
        <f t="shared" si="46"/>
        <v>9</v>
      </c>
      <c r="B31" s="51">
        <v>4</v>
      </c>
      <c r="C31" s="52" t="s">
        <v>213</v>
      </c>
      <c r="D31" s="52"/>
      <c r="E31" s="53"/>
      <c r="F31" s="54">
        <v>40</v>
      </c>
      <c r="G31" s="55">
        <f t="shared" si="0"/>
        <v>0</v>
      </c>
      <c r="H31" s="53">
        <v>6476</v>
      </c>
      <c r="I31" s="56">
        <v>50</v>
      </c>
      <c r="J31" s="55">
        <f t="shared" si="1"/>
        <v>323800</v>
      </c>
      <c r="K31" s="53"/>
      <c r="L31" s="57">
        <v>60</v>
      </c>
      <c r="M31" s="55">
        <f t="shared" si="2"/>
        <v>0</v>
      </c>
      <c r="N31" s="53">
        <v>2932</v>
      </c>
      <c r="O31" s="57">
        <v>15</v>
      </c>
      <c r="P31" s="55">
        <f t="shared" si="3"/>
        <v>43980</v>
      </c>
      <c r="Q31" s="53">
        <v>391</v>
      </c>
      <c r="R31" s="59">
        <v>12</v>
      </c>
      <c r="S31" s="55">
        <f t="shared" si="4"/>
        <v>4692</v>
      </c>
      <c r="T31" s="53">
        <v>364</v>
      </c>
      <c r="U31" s="55">
        <f t="shared" si="5"/>
        <v>2912</v>
      </c>
      <c r="V31" s="53">
        <v>212</v>
      </c>
      <c r="W31" s="57">
        <v>12</v>
      </c>
      <c r="X31" s="55">
        <f t="shared" si="6"/>
        <v>2544</v>
      </c>
      <c r="Y31" s="53">
        <v>665</v>
      </c>
      <c r="Z31" s="57">
        <v>10</v>
      </c>
      <c r="AA31" s="55">
        <f t="shared" si="7"/>
        <v>6650</v>
      </c>
      <c r="AB31" s="53">
        <v>87</v>
      </c>
      <c r="AC31" s="57">
        <v>25</v>
      </c>
      <c r="AD31" s="55">
        <f t="shared" si="8"/>
        <v>2175</v>
      </c>
      <c r="AE31" s="53">
        <v>6</v>
      </c>
      <c r="AF31" s="57">
        <v>7.5</v>
      </c>
      <c r="AG31" s="55">
        <f t="shared" si="9"/>
        <v>45</v>
      </c>
      <c r="AH31" s="53"/>
      <c r="AI31" s="56">
        <v>15</v>
      </c>
      <c r="AJ31" s="55">
        <f t="shared" si="10"/>
        <v>0</v>
      </c>
      <c r="AK31" s="53"/>
      <c r="AL31" s="57">
        <v>10</v>
      </c>
      <c r="AM31" s="55">
        <f t="shared" si="11"/>
        <v>0</v>
      </c>
      <c r="AN31" s="53">
        <f t="shared" si="12"/>
        <v>1725</v>
      </c>
      <c r="AO31" s="53"/>
      <c r="AP31" s="61"/>
      <c r="AQ31" s="53"/>
      <c r="AR31" s="53"/>
      <c r="AS31" s="55"/>
      <c r="AT31" s="53"/>
      <c r="AU31" s="53"/>
      <c r="AV31" s="66">
        <v>1131</v>
      </c>
      <c r="AW31" s="53"/>
      <c r="AX31" s="68">
        <f t="shared" si="13"/>
        <v>0.45274861025324276</v>
      </c>
      <c r="AY31" s="68">
        <f t="shared" si="14"/>
        <v>0.26636812847436692</v>
      </c>
      <c r="AZ31" s="68">
        <f t="shared" si="15"/>
        <v>0.38574351978171895</v>
      </c>
      <c r="BA31" s="55">
        <f t="shared" si="16"/>
        <v>342773</v>
      </c>
      <c r="BB31" s="55">
        <f t="shared" si="17"/>
        <v>330667</v>
      </c>
      <c r="BC31" s="55">
        <f t="shared" si="18"/>
        <v>342773</v>
      </c>
      <c r="BD31" s="55">
        <f t="shared" si="19"/>
        <v>342818</v>
      </c>
      <c r="BE31" s="62">
        <v>409342</v>
      </c>
      <c r="BF31" s="63">
        <v>267995.48</v>
      </c>
      <c r="BG31" s="69">
        <f t="shared" si="20"/>
        <v>65.469822300179302</v>
      </c>
      <c r="BH31" s="70">
        <f t="shared" si="21"/>
        <v>38962.5</v>
      </c>
      <c r="BI31" s="71">
        <f t="shared" si="22"/>
        <v>9.518324530588114E-2</v>
      </c>
      <c r="BJ31" s="72">
        <f t="shared" si="48"/>
        <v>4</v>
      </c>
      <c r="BK31" s="61">
        <f t="shared" si="24"/>
        <v>58162.5</v>
      </c>
      <c r="BL31" s="69">
        <f t="shared" si="25"/>
        <v>2.3462450891897704</v>
      </c>
      <c r="BM31" s="73">
        <f t="shared" si="26"/>
        <v>0</v>
      </c>
      <c r="BN31" s="69" t="e">
        <f t="shared" si="27"/>
        <v>#DIV/0!</v>
      </c>
      <c r="BO31" s="61">
        <f t="shared" si="28"/>
        <v>10000</v>
      </c>
      <c r="BP31" s="69">
        <f t="shared" si="29"/>
        <v>13.646348000000001</v>
      </c>
      <c r="BQ31" s="64">
        <f t="shared" si="30"/>
        <v>29338.48000000001</v>
      </c>
      <c r="BR31" s="69">
        <f t="shared" si="31"/>
        <v>4.6513479907616198</v>
      </c>
      <c r="BS31" s="65">
        <v>136463.48000000001</v>
      </c>
      <c r="BT31" s="74">
        <f t="shared" si="32"/>
        <v>33.337277875224139</v>
      </c>
      <c r="BU31" s="75">
        <f t="shared" si="33"/>
        <v>4883.0400000000081</v>
      </c>
      <c r="BV31" s="69">
        <f t="shared" si="34"/>
        <v>1.1928998245965496</v>
      </c>
      <c r="BW31" s="55">
        <v>18260.5</v>
      </c>
      <c r="BX31" s="55">
        <v>9546</v>
      </c>
      <c r="BY31" s="55">
        <v>8186</v>
      </c>
      <c r="BZ31" s="55">
        <v>2970</v>
      </c>
      <c r="CA31" s="64">
        <v>58162.5</v>
      </c>
      <c r="CB31" s="64"/>
      <c r="CC31" s="64">
        <v>10000</v>
      </c>
      <c r="CD31" s="76">
        <f t="shared" si="35"/>
        <v>4.4609397520899395E-2</v>
      </c>
      <c r="CE31" s="76">
        <f t="shared" si="36"/>
        <v>2.3320353152131958E-2</v>
      </c>
      <c r="CF31" s="76">
        <f t="shared" si="37"/>
        <v>1.9997947926183972E-2</v>
      </c>
      <c r="CG31" s="76">
        <f t="shared" si="38"/>
        <v>7.2555467066658195E-3</v>
      </c>
      <c r="CH31" s="76">
        <f t="shared" si="39"/>
        <v>0.14208778967220564</v>
      </c>
      <c r="CI31" s="63">
        <f t="shared" si="40"/>
        <v>976.60800000000165</v>
      </c>
      <c r="CJ31" s="77">
        <f t="shared" si="41"/>
        <v>4394.7360000000072</v>
      </c>
    </row>
    <row r="32" spans="1:88" ht="18.75" customHeight="1" x14ac:dyDescent="0.35">
      <c r="A32" s="50">
        <f t="shared" si="46"/>
        <v>10</v>
      </c>
      <c r="B32" s="58">
        <v>3</v>
      </c>
      <c r="C32" s="52" t="s">
        <v>116</v>
      </c>
      <c r="D32" s="52"/>
      <c r="E32" s="53"/>
      <c r="F32" s="54">
        <v>40</v>
      </c>
      <c r="G32" s="55">
        <f t="shared" si="0"/>
        <v>0</v>
      </c>
      <c r="H32" s="53">
        <v>5872</v>
      </c>
      <c r="I32" s="56">
        <v>50</v>
      </c>
      <c r="J32" s="55">
        <f t="shared" si="1"/>
        <v>293600</v>
      </c>
      <c r="K32" s="53"/>
      <c r="L32" s="57">
        <v>60</v>
      </c>
      <c r="M32" s="55">
        <f t="shared" si="2"/>
        <v>0</v>
      </c>
      <c r="N32" s="53">
        <v>1327</v>
      </c>
      <c r="O32" s="57">
        <v>15</v>
      </c>
      <c r="P32" s="55">
        <f t="shared" si="3"/>
        <v>19905</v>
      </c>
      <c r="Q32" s="53">
        <v>3510</v>
      </c>
      <c r="R32" s="59">
        <v>12</v>
      </c>
      <c r="S32" s="55">
        <f t="shared" si="4"/>
        <v>42120</v>
      </c>
      <c r="T32" s="53">
        <v>363</v>
      </c>
      <c r="U32" s="55">
        <f t="shared" si="5"/>
        <v>2904</v>
      </c>
      <c r="V32" s="53">
        <v>190</v>
      </c>
      <c r="W32" s="57">
        <v>12</v>
      </c>
      <c r="X32" s="55">
        <f t="shared" si="6"/>
        <v>2280</v>
      </c>
      <c r="Y32" s="53">
        <v>578</v>
      </c>
      <c r="Z32" s="57">
        <v>10</v>
      </c>
      <c r="AA32" s="55">
        <f t="shared" si="7"/>
        <v>5780</v>
      </c>
      <c r="AB32" s="53">
        <v>201</v>
      </c>
      <c r="AC32" s="57">
        <v>25</v>
      </c>
      <c r="AD32" s="55">
        <f t="shared" si="8"/>
        <v>5025</v>
      </c>
      <c r="AE32" s="53">
        <v>80</v>
      </c>
      <c r="AF32" s="57">
        <v>7.5</v>
      </c>
      <c r="AG32" s="55">
        <f t="shared" si="9"/>
        <v>600</v>
      </c>
      <c r="AH32" s="53"/>
      <c r="AI32" s="56">
        <v>15</v>
      </c>
      <c r="AJ32" s="55">
        <f t="shared" si="10"/>
        <v>0</v>
      </c>
      <c r="AK32" s="53">
        <v>119</v>
      </c>
      <c r="AL32" s="57">
        <v>10</v>
      </c>
      <c r="AM32" s="55">
        <f t="shared" si="11"/>
        <v>1190</v>
      </c>
      <c r="AN32" s="53">
        <f t="shared" si="12"/>
        <v>5041</v>
      </c>
      <c r="AO32" s="53"/>
      <c r="AP32" s="61"/>
      <c r="AQ32" s="53"/>
      <c r="AR32" s="53"/>
      <c r="AS32" s="55"/>
      <c r="AT32" s="53"/>
      <c r="AU32" s="53"/>
      <c r="AV32" s="66">
        <v>500</v>
      </c>
      <c r="AW32" s="53"/>
      <c r="AX32" s="68">
        <f t="shared" si="13"/>
        <v>0.22598773841961853</v>
      </c>
      <c r="AY32" s="68">
        <f t="shared" si="14"/>
        <v>0.85848092643051777</v>
      </c>
      <c r="AZ32" s="202">
        <f t="shared" si="15"/>
        <v>0.37678975131876413</v>
      </c>
      <c r="BA32" s="55">
        <f t="shared" si="16"/>
        <v>351709</v>
      </c>
      <c r="BB32" s="55">
        <f t="shared" si="17"/>
        <v>340745</v>
      </c>
      <c r="BC32" s="55">
        <f t="shared" si="18"/>
        <v>351709</v>
      </c>
      <c r="BD32" s="55">
        <f t="shared" si="19"/>
        <v>352309</v>
      </c>
      <c r="BE32" s="62">
        <v>382376</v>
      </c>
      <c r="BF32" s="63">
        <v>254675.05</v>
      </c>
      <c r="BG32" s="69">
        <f t="shared" si="20"/>
        <v>66.603304077661775</v>
      </c>
      <c r="BH32" s="70">
        <f t="shared" si="21"/>
        <v>40516</v>
      </c>
      <c r="BI32" s="71">
        <f t="shared" si="22"/>
        <v>0.10595853296231982</v>
      </c>
      <c r="BJ32" s="72">
        <f t="shared" si="48"/>
        <v>3</v>
      </c>
      <c r="BK32" s="61">
        <f t="shared" si="24"/>
        <v>45574.5</v>
      </c>
      <c r="BL32" s="69">
        <f t="shared" si="25"/>
        <v>2.7712560752175008</v>
      </c>
      <c r="BM32" s="73">
        <f t="shared" si="26"/>
        <v>0</v>
      </c>
      <c r="BN32" s="69" t="e">
        <f t="shared" si="27"/>
        <v>#DIV/0!</v>
      </c>
      <c r="BO32" s="61">
        <f t="shared" si="28"/>
        <v>15000</v>
      </c>
      <c r="BP32" s="69">
        <f t="shared" si="29"/>
        <v>8.4199073333333327</v>
      </c>
      <c r="BQ32" s="64">
        <f t="shared" si="30"/>
        <v>25208.11</v>
      </c>
      <c r="BR32" s="69">
        <f t="shared" si="31"/>
        <v>5.0102371816054436</v>
      </c>
      <c r="BS32" s="65">
        <v>126298.61</v>
      </c>
      <c r="BT32" s="74">
        <f t="shared" si="32"/>
        <v>33.029952193652321</v>
      </c>
      <c r="BU32" s="75">
        <f t="shared" si="33"/>
        <v>1402.3400000000111</v>
      </c>
      <c r="BV32" s="69">
        <f t="shared" si="34"/>
        <v>0.36674372868590366</v>
      </c>
      <c r="BW32" s="55">
        <v>18112</v>
      </c>
      <c r="BX32" s="55">
        <v>9546</v>
      </c>
      <c r="BY32" s="55">
        <v>9618</v>
      </c>
      <c r="BZ32" s="55">
        <v>3240</v>
      </c>
      <c r="CA32" s="64">
        <v>45574.5</v>
      </c>
      <c r="CB32" s="64"/>
      <c r="CC32" s="64">
        <v>15000</v>
      </c>
      <c r="CD32" s="76">
        <f t="shared" si="35"/>
        <v>4.7366989560014228E-2</v>
      </c>
      <c r="CE32" s="76">
        <f t="shared" si="36"/>
        <v>2.4964955959579052E-2</v>
      </c>
      <c r="CF32" s="76">
        <f t="shared" si="37"/>
        <v>2.5153252296169215E-2</v>
      </c>
      <c r="CG32" s="76">
        <f t="shared" si="38"/>
        <v>8.4733351465573151E-3</v>
      </c>
      <c r="CH32" s="76">
        <f t="shared" si="39"/>
        <v>0.11918765822122727</v>
      </c>
      <c r="CI32" s="63">
        <f t="shared" si="40"/>
        <v>280.46800000000223</v>
      </c>
      <c r="CJ32" s="77">
        <f t="shared" si="41"/>
        <v>1262.10600000001</v>
      </c>
    </row>
    <row r="33" spans="1:89" ht="18.75" customHeight="1" x14ac:dyDescent="0.35">
      <c r="A33" s="50">
        <f t="shared" si="46"/>
        <v>11</v>
      </c>
      <c r="B33" s="51"/>
      <c r="C33" s="52" t="s">
        <v>246</v>
      </c>
      <c r="D33" s="52"/>
      <c r="E33" s="53"/>
      <c r="F33" s="54">
        <v>40</v>
      </c>
      <c r="G33" s="55">
        <f t="shared" si="0"/>
        <v>0</v>
      </c>
      <c r="H33" s="53">
        <v>5520</v>
      </c>
      <c r="I33" s="56">
        <v>50</v>
      </c>
      <c r="J33" s="55">
        <f t="shared" si="1"/>
        <v>276000</v>
      </c>
      <c r="K33" s="53"/>
      <c r="L33" s="57">
        <v>60</v>
      </c>
      <c r="M33" s="55">
        <f t="shared" si="2"/>
        <v>0</v>
      </c>
      <c r="N33" s="53">
        <v>2605</v>
      </c>
      <c r="O33" s="57">
        <v>15</v>
      </c>
      <c r="P33" s="55">
        <f t="shared" si="3"/>
        <v>39075</v>
      </c>
      <c r="Q33" s="53">
        <v>930</v>
      </c>
      <c r="R33" s="59">
        <v>12</v>
      </c>
      <c r="S33" s="55">
        <f t="shared" si="4"/>
        <v>11160</v>
      </c>
      <c r="T33" s="53">
        <v>727</v>
      </c>
      <c r="U33" s="55">
        <f t="shared" si="5"/>
        <v>5816</v>
      </c>
      <c r="V33" s="53">
        <v>737</v>
      </c>
      <c r="W33" s="57">
        <v>12</v>
      </c>
      <c r="X33" s="55">
        <f t="shared" si="6"/>
        <v>8844</v>
      </c>
      <c r="Y33" s="53">
        <v>829</v>
      </c>
      <c r="Z33" s="57">
        <v>10</v>
      </c>
      <c r="AA33" s="55">
        <f t="shared" si="7"/>
        <v>8290</v>
      </c>
      <c r="AB33" s="53">
        <v>215</v>
      </c>
      <c r="AC33" s="57">
        <v>25</v>
      </c>
      <c r="AD33" s="55">
        <f t="shared" si="8"/>
        <v>5375</v>
      </c>
      <c r="AE33" s="53">
        <v>132</v>
      </c>
      <c r="AF33" s="57">
        <v>7.5</v>
      </c>
      <c r="AG33" s="55">
        <f t="shared" si="9"/>
        <v>990</v>
      </c>
      <c r="AH33" s="53"/>
      <c r="AI33" s="56">
        <v>15</v>
      </c>
      <c r="AJ33" s="55">
        <f t="shared" si="10"/>
        <v>0</v>
      </c>
      <c r="AK33" s="53">
        <v>100</v>
      </c>
      <c r="AL33" s="57">
        <v>10</v>
      </c>
      <c r="AM33" s="55">
        <f t="shared" si="11"/>
        <v>1000</v>
      </c>
      <c r="AN33" s="53">
        <f t="shared" si="12"/>
        <v>3670</v>
      </c>
      <c r="AO33" s="53"/>
      <c r="AP33" s="61"/>
      <c r="AQ33" s="53"/>
      <c r="AR33" s="53"/>
      <c r="AS33" s="55"/>
      <c r="AT33" s="53"/>
      <c r="AU33" s="53"/>
      <c r="AV33" s="66">
        <f>884+90+122+35+169+107</f>
        <v>1407</v>
      </c>
      <c r="AW33" s="53"/>
      <c r="AX33" s="68">
        <f t="shared" si="13"/>
        <v>0.47192028985507245</v>
      </c>
      <c r="AY33" s="68">
        <f t="shared" si="14"/>
        <v>0.66485507246376807</v>
      </c>
      <c r="AZ33" s="68">
        <f t="shared" si="15"/>
        <v>0.54011516314779273</v>
      </c>
      <c r="BA33" s="55">
        <f t="shared" si="16"/>
        <v>315485</v>
      </c>
      <c r="BB33" s="55">
        <f t="shared" si="17"/>
        <v>292535</v>
      </c>
      <c r="BC33" s="55">
        <f t="shared" si="18"/>
        <v>315485</v>
      </c>
      <c r="BD33" s="55">
        <f t="shared" si="19"/>
        <v>316475</v>
      </c>
      <c r="BE33" s="62">
        <v>379682</v>
      </c>
      <c r="BF33" s="63">
        <v>246145.47</v>
      </c>
      <c r="BG33" s="69">
        <f t="shared" si="20"/>
        <v>64.829375635400154</v>
      </c>
      <c r="BH33" s="70">
        <f t="shared" si="21"/>
        <v>33939.4</v>
      </c>
      <c r="BI33" s="71">
        <f t="shared" si="22"/>
        <v>8.9389015017830711E-2</v>
      </c>
      <c r="BJ33" s="72">
        <v>3</v>
      </c>
      <c r="BK33" s="61">
        <f t="shared" si="24"/>
        <v>43100</v>
      </c>
      <c r="BL33" s="69">
        <f t="shared" si="25"/>
        <v>2.651255916473318</v>
      </c>
      <c r="BM33" s="73">
        <f t="shared" si="26"/>
        <v>2500</v>
      </c>
      <c r="BN33" s="69">
        <f t="shared" si="27"/>
        <v>45.707652000000003</v>
      </c>
      <c r="BO33" s="61">
        <f t="shared" si="28"/>
        <v>11000</v>
      </c>
      <c r="BP33" s="69">
        <f t="shared" si="29"/>
        <v>10.388102727272727</v>
      </c>
      <c r="BQ33" s="64">
        <f t="shared" si="30"/>
        <v>23729.730000000003</v>
      </c>
      <c r="BR33" s="69">
        <f t="shared" si="31"/>
        <v>4.8154416421931474</v>
      </c>
      <c r="BS33" s="65">
        <v>114269.13</v>
      </c>
      <c r="BT33" s="74">
        <f t="shared" si="32"/>
        <v>30.096009291986451</v>
      </c>
      <c r="BU33" s="75">
        <f t="shared" si="33"/>
        <v>19267.399999999994</v>
      </c>
      <c r="BV33" s="69">
        <f t="shared" si="34"/>
        <v>5.0746150726133958</v>
      </c>
      <c r="BW33" s="55">
        <v>14022</v>
      </c>
      <c r="BX33" s="55">
        <v>7955</v>
      </c>
      <c r="BY33" s="55">
        <v>8186</v>
      </c>
      <c r="BZ33" s="55">
        <f>2970+806.4</f>
        <v>3776.4</v>
      </c>
      <c r="CA33" s="64">
        <v>43100</v>
      </c>
      <c r="CB33" s="64">
        <v>2500</v>
      </c>
      <c r="CC33" s="64">
        <v>11000</v>
      </c>
      <c r="CD33" s="76">
        <f t="shared" si="35"/>
        <v>3.6930905336571132E-2</v>
      </c>
      <c r="CE33" s="76">
        <f t="shared" si="36"/>
        <v>2.0951743827729522E-2</v>
      </c>
      <c r="CF33" s="76">
        <f t="shared" si="37"/>
        <v>2.1560147702551082E-2</v>
      </c>
      <c r="CG33" s="76">
        <f t="shared" si="38"/>
        <v>9.9462181509789773E-3</v>
      </c>
      <c r="CH33" s="76">
        <f t="shared" si="39"/>
        <v>0.11351604763986704</v>
      </c>
      <c r="CI33" s="63">
        <f t="shared" si="40"/>
        <v>3853.4799999999991</v>
      </c>
      <c r="CJ33" s="77">
        <f t="shared" si="41"/>
        <v>17340.659999999996</v>
      </c>
    </row>
    <row r="34" spans="1:89" ht="19.5" customHeight="1" x14ac:dyDescent="0.35">
      <c r="A34" s="50">
        <f t="shared" si="46"/>
        <v>12</v>
      </c>
      <c r="B34" s="58">
        <v>2</v>
      </c>
      <c r="C34" s="52" t="s">
        <v>105</v>
      </c>
      <c r="D34" s="52"/>
      <c r="E34" s="53"/>
      <c r="F34" s="54">
        <v>40</v>
      </c>
      <c r="G34" s="55">
        <f t="shared" si="0"/>
        <v>0</v>
      </c>
      <c r="H34" s="53">
        <v>4033</v>
      </c>
      <c r="I34" s="56">
        <v>50</v>
      </c>
      <c r="J34" s="55">
        <f t="shared" si="1"/>
        <v>201650</v>
      </c>
      <c r="K34" s="53"/>
      <c r="L34" s="57">
        <v>60</v>
      </c>
      <c r="M34" s="55">
        <f t="shared" si="2"/>
        <v>0</v>
      </c>
      <c r="N34" s="53">
        <v>2596</v>
      </c>
      <c r="O34" s="57">
        <v>15</v>
      </c>
      <c r="P34" s="55">
        <f t="shared" si="3"/>
        <v>38940</v>
      </c>
      <c r="Q34" s="53">
        <v>4105</v>
      </c>
      <c r="R34" s="59">
        <v>12</v>
      </c>
      <c r="S34" s="55">
        <f t="shared" si="4"/>
        <v>49260</v>
      </c>
      <c r="T34" s="53">
        <v>470</v>
      </c>
      <c r="U34" s="55">
        <f t="shared" si="5"/>
        <v>3760</v>
      </c>
      <c r="V34" s="53">
        <v>112</v>
      </c>
      <c r="W34" s="57">
        <v>12</v>
      </c>
      <c r="X34" s="55">
        <f t="shared" si="6"/>
        <v>1344</v>
      </c>
      <c r="Y34" s="53">
        <v>429</v>
      </c>
      <c r="Z34" s="57">
        <v>10</v>
      </c>
      <c r="AA34" s="55">
        <f t="shared" si="7"/>
        <v>4290</v>
      </c>
      <c r="AB34" s="53">
        <v>218</v>
      </c>
      <c r="AC34" s="57">
        <v>25</v>
      </c>
      <c r="AD34" s="55">
        <f t="shared" si="8"/>
        <v>5450</v>
      </c>
      <c r="AE34" s="53">
        <v>94</v>
      </c>
      <c r="AF34" s="57">
        <v>7.5</v>
      </c>
      <c r="AG34" s="55">
        <f t="shared" si="9"/>
        <v>705</v>
      </c>
      <c r="AH34" s="53"/>
      <c r="AI34" s="56">
        <v>15</v>
      </c>
      <c r="AJ34" s="55">
        <f t="shared" si="10"/>
        <v>0</v>
      </c>
      <c r="AK34" s="53">
        <v>183</v>
      </c>
      <c r="AL34" s="57">
        <v>10</v>
      </c>
      <c r="AM34" s="55">
        <f t="shared" si="11"/>
        <v>1830</v>
      </c>
      <c r="AN34" s="53">
        <f t="shared" si="12"/>
        <v>5611</v>
      </c>
      <c r="AO34" s="53"/>
      <c r="AP34" s="61"/>
      <c r="AQ34" s="53"/>
      <c r="AR34" s="53"/>
      <c r="AS34" s="55"/>
      <c r="AT34" s="53"/>
      <c r="AU34" s="53"/>
      <c r="AV34" s="66">
        <f>115+722+124+59+6</f>
        <v>1026</v>
      </c>
      <c r="AW34" s="53"/>
      <c r="AX34" s="68">
        <f t="shared" si="13"/>
        <v>0.64368956112075382</v>
      </c>
      <c r="AY34" s="68">
        <f t="shared" si="14"/>
        <v>1.3912720059509049</v>
      </c>
      <c r="AZ34" s="202">
        <f t="shared" si="15"/>
        <v>0.39522342064714944</v>
      </c>
      <c r="BA34" s="55">
        <f t="shared" si="16"/>
        <v>265754</v>
      </c>
      <c r="BB34" s="55">
        <f t="shared" si="17"/>
        <v>256360</v>
      </c>
      <c r="BC34" s="55">
        <f t="shared" si="18"/>
        <v>265754</v>
      </c>
      <c r="BD34" s="55">
        <f t="shared" si="19"/>
        <v>266459</v>
      </c>
      <c r="BE34" s="62">
        <v>327109</v>
      </c>
      <c r="BF34" s="63">
        <v>216121.11</v>
      </c>
      <c r="BG34" s="69">
        <f t="shared" si="20"/>
        <v>66.070059215735427</v>
      </c>
      <c r="BH34" s="70">
        <f t="shared" si="21"/>
        <v>26522</v>
      </c>
      <c r="BI34" s="71">
        <f t="shared" si="22"/>
        <v>8.1080006970153676E-2</v>
      </c>
      <c r="BJ34" s="72">
        <f t="shared" ref="BJ34:BJ39" si="49">B34</f>
        <v>2</v>
      </c>
      <c r="BK34" s="61">
        <f t="shared" si="24"/>
        <v>32937.5</v>
      </c>
      <c r="BL34" s="69">
        <f t="shared" si="25"/>
        <v>3.1107318406072104</v>
      </c>
      <c r="BM34" s="73">
        <f t="shared" si="26"/>
        <v>3125</v>
      </c>
      <c r="BN34" s="69">
        <f t="shared" si="27"/>
        <v>32.787113599999998</v>
      </c>
      <c r="BO34" s="61">
        <f t="shared" si="28"/>
        <v>8269</v>
      </c>
      <c r="BP34" s="69">
        <f t="shared" si="29"/>
        <v>12.390824767202805</v>
      </c>
      <c r="BQ34" s="64">
        <f t="shared" si="30"/>
        <v>31606.229999999996</v>
      </c>
      <c r="BR34" s="69">
        <f t="shared" si="31"/>
        <v>3.2417574003606253</v>
      </c>
      <c r="BS34" s="65">
        <v>102459.73</v>
      </c>
      <c r="BT34" s="74">
        <f t="shared" si="32"/>
        <v>31.322809827916686</v>
      </c>
      <c r="BU34" s="75">
        <f t="shared" si="33"/>
        <v>8528.160000000018</v>
      </c>
      <c r="BV34" s="69">
        <f t="shared" si="34"/>
        <v>2.6071309563478895</v>
      </c>
      <c r="BW34" s="55">
        <v>12162</v>
      </c>
      <c r="BX34" s="55">
        <v>6364</v>
      </c>
      <c r="BY34" s="55">
        <v>5438</v>
      </c>
      <c r="BZ34" s="55">
        <f>2430+128</f>
        <v>2558</v>
      </c>
      <c r="CA34" s="64">
        <v>32937.5</v>
      </c>
      <c r="CB34" s="64">
        <v>3125</v>
      </c>
      <c r="CC34" s="64">
        <v>8269</v>
      </c>
      <c r="CD34" s="76">
        <f t="shared" si="35"/>
        <v>3.7180267128082686E-2</v>
      </c>
      <c r="CE34" s="76">
        <f t="shared" si="36"/>
        <v>1.9455288604104441E-2</v>
      </c>
      <c r="CF34" s="76">
        <f t="shared" si="37"/>
        <v>1.6624427942979251E-2</v>
      </c>
      <c r="CG34" s="76">
        <f t="shared" si="38"/>
        <v>7.8200232949872973E-3</v>
      </c>
      <c r="CH34" s="76">
        <f t="shared" si="39"/>
        <v>0.10069273544903992</v>
      </c>
      <c r="CI34" s="63">
        <f t="shared" si="40"/>
        <v>1705.6320000000037</v>
      </c>
      <c r="CJ34" s="77">
        <f t="shared" si="41"/>
        <v>7675.3440000000164</v>
      </c>
    </row>
    <row r="35" spans="1:89" ht="18.75" customHeight="1" x14ac:dyDescent="0.35">
      <c r="A35" s="50">
        <f t="shared" si="46"/>
        <v>13</v>
      </c>
      <c r="B35" s="51">
        <v>2</v>
      </c>
      <c r="C35" s="52" t="s">
        <v>223</v>
      </c>
      <c r="D35" s="52"/>
      <c r="E35" s="53"/>
      <c r="F35" s="54">
        <v>40</v>
      </c>
      <c r="G35" s="55">
        <f t="shared" si="0"/>
        <v>0</v>
      </c>
      <c r="H35" s="53">
        <v>3809</v>
      </c>
      <c r="I35" s="56">
        <v>50</v>
      </c>
      <c r="J35" s="55">
        <f t="shared" si="1"/>
        <v>190450</v>
      </c>
      <c r="K35" s="53"/>
      <c r="L35" s="57">
        <v>60</v>
      </c>
      <c r="M35" s="55">
        <f t="shared" si="2"/>
        <v>0</v>
      </c>
      <c r="N35" s="53">
        <v>3231</v>
      </c>
      <c r="O35" s="57">
        <v>15</v>
      </c>
      <c r="P35" s="55">
        <f t="shared" si="3"/>
        <v>48465</v>
      </c>
      <c r="Q35" s="53">
        <v>2820</v>
      </c>
      <c r="R35" s="59">
        <v>12</v>
      </c>
      <c r="S35" s="55">
        <f t="shared" si="4"/>
        <v>33840</v>
      </c>
      <c r="T35" s="53">
        <v>408</v>
      </c>
      <c r="U35" s="55">
        <f t="shared" si="5"/>
        <v>3264</v>
      </c>
      <c r="V35" s="53">
        <v>141</v>
      </c>
      <c r="W35" s="57">
        <v>12</v>
      </c>
      <c r="X35" s="55">
        <f t="shared" si="6"/>
        <v>1692</v>
      </c>
      <c r="Y35" s="53">
        <v>354</v>
      </c>
      <c r="Z35" s="57">
        <v>10</v>
      </c>
      <c r="AA35" s="55">
        <f t="shared" si="7"/>
        <v>3540</v>
      </c>
      <c r="AB35" s="53">
        <v>136</v>
      </c>
      <c r="AC35" s="57">
        <v>25</v>
      </c>
      <c r="AD35" s="55">
        <f t="shared" si="8"/>
        <v>3400</v>
      </c>
      <c r="AE35" s="53">
        <v>105</v>
      </c>
      <c r="AF35" s="57">
        <v>7.5</v>
      </c>
      <c r="AG35" s="55">
        <f t="shared" si="9"/>
        <v>787.5</v>
      </c>
      <c r="AH35" s="53"/>
      <c r="AI35" s="56">
        <v>15</v>
      </c>
      <c r="AJ35" s="55">
        <f t="shared" si="10"/>
        <v>0</v>
      </c>
      <c r="AK35" s="53">
        <v>129</v>
      </c>
      <c r="AL35" s="57">
        <v>10</v>
      </c>
      <c r="AM35" s="55">
        <f t="shared" si="11"/>
        <v>1290</v>
      </c>
      <c r="AN35" s="53">
        <f t="shared" si="12"/>
        <v>4093</v>
      </c>
      <c r="AO35" s="53"/>
      <c r="AP35" s="61"/>
      <c r="AQ35" s="53"/>
      <c r="AR35" s="53"/>
      <c r="AS35" s="55"/>
      <c r="AT35" s="53"/>
      <c r="AU35" s="53"/>
      <c r="AV35" s="66">
        <f>758+57+44+34</f>
        <v>893</v>
      </c>
      <c r="AW35" s="53"/>
      <c r="AX35" s="68">
        <f t="shared" si="13"/>
        <v>0.84825413494355473</v>
      </c>
      <c r="AY35" s="68">
        <f t="shared" si="14"/>
        <v>1.0745602520346547</v>
      </c>
      <c r="AZ35" s="68">
        <f t="shared" si="15"/>
        <v>0.27638502011761062</v>
      </c>
      <c r="BA35" s="55">
        <f t="shared" si="16"/>
        <v>236186</v>
      </c>
      <c r="BB35" s="55">
        <f t="shared" si="17"/>
        <v>227690</v>
      </c>
      <c r="BC35" s="55">
        <f t="shared" si="18"/>
        <v>236186</v>
      </c>
      <c r="BD35" s="55">
        <f t="shared" si="19"/>
        <v>236973.5</v>
      </c>
      <c r="BE35" s="62">
        <v>304455.5</v>
      </c>
      <c r="BF35" s="63">
        <v>200191.98</v>
      </c>
      <c r="BG35" s="69">
        <f t="shared" si="20"/>
        <v>65.754101995201282</v>
      </c>
      <c r="BH35" s="70">
        <f t="shared" si="21"/>
        <v>18125.25</v>
      </c>
      <c r="BI35" s="71">
        <f t="shared" si="22"/>
        <v>5.9533330815176609E-2</v>
      </c>
      <c r="BJ35" s="72">
        <f t="shared" si="49"/>
        <v>2</v>
      </c>
      <c r="BK35" s="61">
        <f t="shared" si="24"/>
        <v>34112.5</v>
      </c>
      <c r="BL35" s="69">
        <f t="shared" si="25"/>
        <v>2.7232832539391718</v>
      </c>
      <c r="BM35" s="73">
        <f t="shared" si="26"/>
        <v>2250</v>
      </c>
      <c r="BN35" s="69">
        <f t="shared" si="27"/>
        <v>41.287999999999997</v>
      </c>
      <c r="BO35" s="61">
        <f t="shared" si="28"/>
        <v>20000</v>
      </c>
      <c r="BP35" s="69">
        <f t="shared" si="29"/>
        <v>4.6448999999999998</v>
      </c>
      <c r="BQ35" s="64">
        <f t="shared" si="30"/>
        <v>18410.25</v>
      </c>
      <c r="BR35" s="69">
        <f t="shared" si="31"/>
        <v>5.0459934004155294</v>
      </c>
      <c r="BS35" s="65">
        <v>92898</v>
      </c>
      <c r="BT35" s="74">
        <f t="shared" si="32"/>
        <v>30.512833566810258</v>
      </c>
      <c r="BU35" s="75">
        <f t="shared" si="33"/>
        <v>11365.51999999999</v>
      </c>
      <c r="BV35" s="69">
        <f t="shared" si="34"/>
        <v>3.7330644379884714</v>
      </c>
      <c r="BW35" s="55">
        <v>6098.5</v>
      </c>
      <c r="BX35" s="55">
        <v>4773</v>
      </c>
      <c r="BY35" s="55">
        <v>5496</v>
      </c>
      <c r="BZ35" s="55">
        <f>1620+137.75</f>
        <v>1757.75</v>
      </c>
      <c r="CA35" s="64">
        <v>34112.5</v>
      </c>
      <c r="CB35" s="64">
        <v>2250</v>
      </c>
      <c r="CC35" s="64">
        <v>20000</v>
      </c>
      <c r="CD35" s="76">
        <f t="shared" si="35"/>
        <v>2.0030841945703065E-2</v>
      </c>
      <c r="CE35" s="76">
        <f t="shared" si="36"/>
        <v>1.567716792766102E-2</v>
      </c>
      <c r="CF35" s="76">
        <f t="shared" si="37"/>
        <v>1.805189921022941E-2</v>
      </c>
      <c r="CG35" s="76">
        <f t="shared" si="38"/>
        <v>5.7734217315831048E-3</v>
      </c>
      <c r="CH35" s="76">
        <f t="shared" si="39"/>
        <v>0.11204428890264752</v>
      </c>
      <c r="CI35" s="63">
        <f t="shared" si="40"/>
        <v>2273.103999999998</v>
      </c>
      <c r="CJ35" s="77">
        <f t="shared" si="41"/>
        <v>10228.967999999992</v>
      </c>
    </row>
    <row r="36" spans="1:89" ht="18.75" customHeight="1" x14ac:dyDescent="0.35">
      <c r="A36" s="50">
        <f t="shared" si="46"/>
        <v>14</v>
      </c>
      <c r="B36" s="51">
        <v>2</v>
      </c>
      <c r="C36" s="52" t="s">
        <v>220</v>
      </c>
      <c r="D36" s="52"/>
      <c r="E36" s="53"/>
      <c r="F36" s="54">
        <v>40</v>
      </c>
      <c r="G36" s="55">
        <f t="shared" si="0"/>
        <v>0</v>
      </c>
      <c r="H36" s="53">
        <v>4231</v>
      </c>
      <c r="I36" s="56">
        <v>50</v>
      </c>
      <c r="J36" s="55">
        <f t="shared" si="1"/>
        <v>211550</v>
      </c>
      <c r="K36" s="53"/>
      <c r="L36" s="57">
        <v>60</v>
      </c>
      <c r="M36" s="55">
        <f t="shared" si="2"/>
        <v>0</v>
      </c>
      <c r="N36" s="53">
        <v>1581</v>
      </c>
      <c r="O36" s="57">
        <v>15</v>
      </c>
      <c r="P36" s="55">
        <f t="shared" si="3"/>
        <v>23715</v>
      </c>
      <c r="Q36" s="53">
        <v>3521</v>
      </c>
      <c r="R36" s="59">
        <v>12</v>
      </c>
      <c r="S36" s="55">
        <f t="shared" si="4"/>
        <v>42252</v>
      </c>
      <c r="T36" s="53">
        <v>3914</v>
      </c>
      <c r="U36" s="55">
        <f t="shared" si="5"/>
        <v>31312</v>
      </c>
      <c r="V36" s="53">
        <v>225</v>
      </c>
      <c r="W36" s="57">
        <v>12</v>
      </c>
      <c r="X36" s="55">
        <f t="shared" si="6"/>
        <v>2700</v>
      </c>
      <c r="Y36" s="53">
        <v>333</v>
      </c>
      <c r="Z36" s="57">
        <v>10</v>
      </c>
      <c r="AA36" s="55">
        <f t="shared" si="7"/>
        <v>3330</v>
      </c>
      <c r="AB36" s="53">
        <v>163</v>
      </c>
      <c r="AC36" s="57">
        <v>25</v>
      </c>
      <c r="AD36" s="55">
        <f t="shared" si="8"/>
        <v>4075</v>
      </c>
      <c r="AE36" s="53"/>
      <c r="AF36" s="57">
        <v>7.5</v>
      </c>
      <c r="AG36" s="55">
        <f t="shared" si="9"/>
        <v>0</v>
      </c>
      <c r="AH36" s="53"/>
      <c r="AI36" s="56">
        <v>15</v>
      </c>
      <c r="AJ36" s="55">
        <f t="shared" si="10"/>
        <v>0</v>
      </c>
      <c r="AK36" s="53"/>
      <c r="AL36" s="57">
        <v>10</v>
      </c>
      <c r="AM36" s="55">
        <f t="shared" si="11"/>
        <v>0</v>
      </c>
      <c r="AN36" s="53">
        <f t="shared" si="12"/>
        <v>8156</v>
      </c>
      <c r="AO36" s="53"/>
      <c r="AP36" s="61"/>
      <c r="AQ36" s="53"/>
      <c r="AR36" s="53"/>
      <c r="AS36" s="55"/>
      <c r="AT36" s="53"/>
      <c r="AU36" s="53"/>
      <c r="AV36" s="66">
        <f>87+281+101</f>
        <v>469</v>
      </c>
      <c r="AW36" s="53"/>
      <c r="AX36" s="68">
        <f t="shared" si="13"/>
        <v>0.37367052706216025</v>
      </c>
      <c r="AY36" s="68">
        <f t="shared" si="14"/>
        <v>1.9276766721815173</v>
      </c>
      <c r="AZ36" s="68">
        <f t="shared" si="15"/>
        <v>0.29664769133459834</v>
      </c>
      <c r="BA36" s="55">
        <f t="shared" si="16"/>
        <v>295219</v>
      </c>
      <c r="BB36" s="55">
        <f t="shared" si="17"/>
        <v>257877</v>
      </c>
      <c r="BC36" s="55">
        <f t="shared" si="18"/>
        <v>295219</v>
      </c>
      <c r="BD36" s="55">
        <f t="shared" si="19"/>
        <v>295219</v>
      </c>
      <c r="BE36" s="62">
        <v>299651</v>
      </c>
      <c r="BF36" s="63">
        <v>196121.73</v>
      </c>
      <c r="BG36" s="69">
        <f t="shared" si="20"/>
        <v>65.450050225095197</v>
      </c>
      <c r="BH36" s="70">
        <f t="shared" si="21"/>
        <v>23417</v>
      </c>
      <c r="BI36" s="71">
        <f t="shared" si="22"/>
        <v>7.8147578349479899E-2</v>
      </c>
      <c r="BJ36" s="72">
        <f t="shared" si="49"/>
        <v>2</v>
      </c>
      <c r="BK36" s="61">
        <f t="shared" si="24"/>
        <v>26575</v>
      </c>
      <c r="BL36" s="69">
        <f t="shared" si="25"/>
        <v>3.0510566321730952</v>
      </c>
      <c r="BM36" s="73">
        <f t="shared" si="26"/>
        <v>3375</v>
      </c>
      <c r="BN36" s="69">
        <f t="shared" si="27"/>
        <v>24.024245925925925</v>
      </c>
      <c r="BO36" s="61">
        <f t="shared" si="28"/>
        <v>10000</v>
      </c>
      <c r="BP36" s="69">
        <f t="shared" si="29"/>
        <v>8.1081830000000004</v>
      </c>
      <c r="BQ36" s="64">
        <f t="shared" si="30"/>
        <v>17714.830000000002</v>
      </c>
      <c r="BR36" s="69">
        <f t="shared" si="31"/>
        <v>4.5770594468024806</v>
      </c>
      <c r="BS36" s="65">
        <v>81081.83</v>
      </c>
      <c r="BT36" s="74">
        <f t="shared" si="32"/>
        <v>27.058755018337997</v>
      </c>
      <c r="BU36" s="75">
        <f t="shared" si="33"/>
        <v>22447.439999999988</v>
      </c>
      <c r="BV36" s="69">
        <f t="shared" si="34"/>
        <v>7.4911947565668013</v>
      </c>
      <c r="BW36" s="55">
        <v>12126</v>
      </c>
      <c r="BX36" s="55">
        <v>4773</v>
      </c>
      <c r="BY36" s="55">
        <v>5438</v>
      </c>
      <c r="BZ36" s="55">
        <v>1080</v>
      </c>
      <c r="CA36" s="64">
        <v>26575</v>
      </c>
      <c r="CB36" s="64">
        <v>3375</v>
      </c>
      <c r="CC36" s="64">
        <v>10000</v>
      </c>
      <c r="CD36" s="76">
        <f t="shared" si="35"/>
        <v>4.0467076699226764E-2</v>
      </c>
      <c r="CE36" s="76">
        <f t="shared" si="36"/>
        <v>1.5928530190121176E-2</v>
      </c>
      <c r="CF36" s="76">
        <f t="shared" si="37"/>
        <v>1.8147778582417545E-2</v>
      </c>
      <c r="CG36" s="76">
        <f t="shared" si="38"/>
        <v>3.6041928777144077E-3</v>
      </c>
      <c r="CH36" s="76">
        <f t="shared" si="39"/>
        <v>8.8686505301167021E-2</v>
      </c>
      <c r="CI36" s="63">
        <f t="shared" si="40"/>
        <v>4489.4879999999976</v>
      </c>
      <c r="CJ36" s="77">
        <f t="shared" si="41"/>
        <v>20202.695999999989</v>
      </c>
    </row>
    <row r="37" spans="1:89" ht="18.75" customHeight="1" x14ac:dyDescent="0.35">
      <c r="A37" s="50">
        <f t="shared" si="46"/>
        <v>15</v>
      </c>
      <c r="B37" s="58">
        <v>2</v>
      </c>
      <c r="C37" s="52" t="s">
        <v>218</v>
      </c>
      <c r="D37" s="52"/>
      <c r="E37" s="53"/>
      <c r="F37" s="54">
        <v>40</v>
      </c>
      <c r="G37" s="55">
        <f t="shared" si="0"/>
        <v>0</v>
      </c>
      <c r="H37" s="53">
        <v>3783</v>
      </c>
      <c r="I37" s="56">
        <v>50</v>
      </c>
      <c r="J37" s="55">
        <f t="shared" si="1"/>
        <v>189150</v>
      </c>
      <c r="K37" s="53"/>
      <c r="L37" s="57">
        <v>60</v>
      </c>
      <c r="M37" s="55">
        <f t="shared" si="2"/>
        <v>0</v>
      </c>
      <c r="N37" s="53">
        <v>1759</v>
      </c>
      <c r="O37" s="57">
        <v>15</v>
      </c>
      <c r="P37" s="55">
        <f t="shared" si="3"/>
        <v>26385</v>
      </c>
      <c r="Q37" s="53">
        <v>795</v>
      </c>
      <c r="R37" s="59">
        <v>12</v>
      </c>
      <c r="S37" s="55">
        <f t="shared" si="4"/>
        <v>9540</v>
      </c>
      <c r="T37" s="53">
        <v>800</v>
      </c>
      <c r="U37" s="55">
        <f t="shared" si="5"/>
        <v>6400</v>
      </c>
      <c r="V37" s="53">
        <v>565</v>
      </c>
      <c r="W37" s="57">
        <v>12</v>
      </c>
      <c r="X37" s="55">
        <f t="shared" si="6"/>
        <v>6780</v>
      </c>
      <c r="Y37" s="53">
        <v>543</v>
      </c>
      <c r="Z37" s="57">
        <v>10</v>
      </c>
      <c r="AA37" s="55">
        <f t="shared" si="7"/>
        <v>5430</v>
      </c>
      <c r="AB37" s="53">
        <v>231</v>
      </c>
      <c r="AC37" s="57">
        <v>25</v>
      </c>
      <c r="AD37" s="55">
        <f t="shared" si="8"/>
        <v>5775</v>
      </c>
      <c r="AE37" s="53">
        <v>315</v>
      </c>
      <c r="AF37" s="57">
        <v>7.5</v>
      </c>
      <c r="AG37" s="55">
        <f t="shared" si="9"/>
        <v>2362.5</v>
      </c>
      <c r="AH37" s="53"/>
      <c r="AI37" s="56">
        <v>15</v>
      </c>
      <c r="AJ37" s="55">
        <f t="shared" si="10"/>
        <v>0</v>
      </c>
      <c r="AK37" s="53">
        <v>87</v>
      </c>
      <c r="AL37" s="57">
        <v>10</v>
      </c>
      <c r="AM37" s="55">
        <f t="shared" si="11"/>
        <v>870</v>
      </c>
      <c r="AN37" s="53">
        <f t="shared" si="12"/>
        <v>3336</v>
      </c>
      <c r="AO37" s="53"/>
      <c r="AP37" s="61"/>
      <c r="AQ37" s="53"/>
      <c r="AR37" s="53"/>
      <c r="AS37" s="55"/>
      <c r="AT37" s="53"/>
      <c r="AU37" s="53"/>
      <c r="AV37" s="66">
        <f>657+212+130</f>
        <v>999</v>
      </c>
      <c r="AW37" s="53"/>
      <c r="AX37" s="68">
        <f t="shared" si="13"/>
        <v>0.46497488765530004</v>
      </c>
      <c r="AY37" s="68">
        <f t="shared" si="14"/>
        <v>0.8818398096748612</v>
      </c>
      <c r="AZ37" s="68">
        <f t="shared" si="15"/>
        <v>0.56793632745878342</v>
      </c>
      <c r="BA37" s="55">
        <f t="shared" si="16"/>
        <v>223075</v>
      </c>
      <c r="BB37" s="55">
        <f t="shared" si="17"/>
        <v>204465</v>
      </c>
      <c r="BC37" s="55">
        <f t="shared" si="18"/>
        <v>223075</v>
      </c>
      <c r="BD37" s="55">
        <f t="shared" si="19"/>
        <v>225437.5</v>
      </c>
      <c r="BE37" s="62">
        <v>272860.5</v>
      </c>
      <c r="BF37" s="63">
        <v>178315.26</v>
      </c>
      <c r="BG37" s="69">
        <f t="shared" si="20"/>
        <v>65.350338359711287</v>
      </c>
      <c r="BH37" s="70">
        <f t="shared" si="21"/>
        <v>27796.2</v>
      </c>
      <c r="BI37" s="71">
        <f t="shared" si="22"/>
        <v>0.10186963668248061</v>
      </c>
      <c r="BJ37" s="72">
        <f t="shared" si="49"/>
        <v>2</v>
      </c>
      <c r="BK37" s="61">
        <f t="shared" si="24"/>
        <v>31800</v>
      </c>
      <c r="BL37" s="69">
        <f t="shared" si="25"/>
        <v>2.9613899371069183</v>
      </c>
      <c r="BM37" s="73">
        <f t="shared" si="26"/>
        <v>2500</v>
      </c>
      <c r="BN37" s="69">
        <f t="shared" si="27"/>
        <v>37.668880000000001</v>
      </c>
      <c r="BO37" s="61">
        <f t="shared" si="28"/>
        <v>12000</v>
      </c>
      <c r="BP37" s="69">
        <f t="shared" si="29"/>
        <v>7.8476833333333333</v>
      </c>
      <c r="BQ37" s="64">
        <f t="shared" si="30"/>
        <v>20075.999999999996</v>
      </c>
      <c r="BR37" s="69">
        <f t="shared" si="31"/>
        <v>4.6907850169356449</v>
      </c>
      <c r="BS37" s="65">
        <v>94172.2</v>
      </c>
      <c r="BT37" s="74">
        <f t="shared" si="32"/>
        <v>34.512947092012219</v>
      </c>
      <c r="BU37" s="75">
        <f t="shared" si="33"/>
        <v>373.0399999999936</v>
      </c>
      <c r="BV37" s="69">
        <f t="shared" si="34"/>
        <v>0.13671454827649793</v>
      </c>
      <c r="BW37" s="55">
        <v>12002</v>
      </c>
      <c r="BX37" s="55">
        <v>7995</v>
      </c>
      <c r="BY37" s="55">
        <v>5438</v>
      </c>
      <c r="BZ37" s="55">
        <f>1890+471.2</f>
        <v>2361.1999999999998</v>
      </c>
      <c r="CA37" s="64">
        <v>31800</v>
      </c>
      <c r="CB37" s="64">
        <v>2500</v>
      </c>
      <c r="CC37" s="64">
        <v>12000</v>
      </c>
      <c r="CD37" s="76">
        <f t="shared" si="35"/>
        <v>4.3985846247441458E-2</v>
      </c>
      <c r="CE37" s="76">
        <f t="shared" si="36"/>
        <v>2.9300686614588775E-2</v>
      </c>
      <c r="CF37" s="76">
        <f t="shared" si="37"/>
        <v>1.9929597724844747E-2</v>
      </c>
      <c r="CG37" s="76">
        <f t="shared" si="38"/>
        <v>8.6535060956056294E-3</v>
      </c>
      <c r="CH37" s="76">
        <f t="shared" si="39"/>
        <v>0.11654306871093471</v>
      </c>
      <c r="CI37" s="63">
        <f t="shared" si="40"/>
        <v>74.607999999998725</v>
      </c>
      <c r="CJ37" s="77">
        <f t="shared" si="41"/>
        <v>335.73599999999425</v>
      </c>
    </row>
    <row r="38" spans="1:89" ht="18.75" customHeight="1" x14ac:dyDescent="0.35">
      <c r="A38" s="50">
        <f t="shared" si="46"/>
        <v>16</v>
      </c>
      <c r="B38" s="58" t="s">
        <v>221</v>
      </c>
      <c r="C38" s="52" t="s">
        <v>222</v>
      </c>
      <c r="D38" s="52"/>
      <c r="E38" s="53"/>
      <c r="F38" s="54">
        <v>40</v>
      </c>
      <c r="G38" s="55">
        <f t="shared" si="0"/>
        <v>0</v>
      </c>
      <c r="H38" s="53">
        <v>3502</v>
      </c>
      <c r="I38" s="56">
        <v>50</v>
      </c>
      <c r="J38" s="55">
        <f t="shared" si="1"/>
        <v>175100</v>
      </c>
      <c r="K38" s="53"/>
      <c r="L38" s="57">
        <v>60</v>
      </c>
      <c r="M38" s="55">
        <f t="shared" si="2"/>
        <v>0</v>
      </c>
      <c r="N38" s="53">
        <v>2284</v>
      </c>
      <c r="O38" s="57">
        <v>15</v>
      </c>
      <c r="P38" s="55">
        <f t="shared" si="3"/>
        <v>34260</v>
      </c>
      <c r="Q38" s="53">
        <v>719</v>
      </c>
      <c r="R38" s="59">
        <v>12</v>
      </c>
      <c r="S38" s="55">
        <f t="shared" si="4"/>
        <v>8628</v>
      </c>
      <c r="T38" s="53">
        <v>225</v>
      </c>
      <c r="U38" s="55">
        <f t="shared" si="5"/>
        <v>1800</v>
      </c>
      <c r="V38" s="53">
        <v>172</v>
      </c>
      <c r="W38" s="57">
        <v>12</v>
      </c>
      <c r="X38" s="55">
        <f t="shared" si="6"/>
        <v>2064</v>
      </c>
      <c r="Y38" s="53">
        <v>340</v>
      </c>
      <c r="Z38" s="57">
        <v>10</v>
      </c>
      <c r="AA38" s="55">
        <f t="shared" si="7"/>
        <v>3400</v>
      </c>
      <c r="AB38" s="53">
        <v>54</v>
      </c>
      <c r="AC38" s="57">
        <v>25</v>
      </c>
      <c r="AD38" s="55">
        <f t="shared" si="8"/>
        <v>1350</v>
      </c>
      <c r="AE38" s="53"/>
      <c r="AF38" s="57">
        <v>7.5</v>
      </c>
      <c r="AG38" s="55">
        <f t="shared" si="9"/>
        <v>0</v>
      </c>
      <c r="AH38" s="53"/>
      <c r="AI38" s="56">
        <v>15</v>
      </c>
      <c r="AJ38" s="55">
        <f t="shared" si="10"/>
        <v>0</v>
      </c>
      <c r="AK38" s="53">
        <v>136</v>
      </c>
      <c r="AL38" s="57">
        <v>10</v>
      </c>
      <c r="AM38" s="55">
        <f t="shared" si="11"/>
        <v>1360</v>
      </c>
      <c r="AN38" s="53">
        <f t="shared" si="12"/>
        <v>1646</v>
      </c>
      <c r="AO38" s="53"/>
      <c r="AP38" s="61"/>
      <c r="AQ38" s="53"/>
      <c r="AR38" s="53"/>
      <c r="AS38" s="55"/>
      <c r="AT38" s="53"/>
      <c r="AU38" s="53"/>
      <c r="AV38" s="66">
        <v>1048</v>
      </c>
      <c r="AW38" s="53"/>
      <c r="AX38" s="68">
        <f t="shared" si="13"/>
        <v>0.65219874357509999</v>
      </c>
      <c r="AY38" s="68">
        <f t="shared" si="14"/>
        <v>0.47001713306681897</v>
      </c>
      <c r="AZ38" s="68">
        <f t="shared" si="15"/>
        <v>0.45884413309982486</v>
      </c>
      <c r="BA38" s="55">
        <f t="shared" si="16"/>
        <v>192342</v>
      </c>
      <c r="BB38" s="55">
        <f t="shared" si="17"/>
        <v>185078</v>
      </c>
      <c r="BC38" s="55">
        <f t="shared" si="18"/>
        <v>192342</v>
      </c>
      <c r="BD38" s="55">
        <f t="shared" si="19"/>
        <v>192342</v>
      </c>
      <c r="BE38" s="62">
        <v>248760</v>
      </c>
      <c r="BF38" s="63">
        <v>167254.63</v>
      </c>
      <c r="BG38" s="69">
        <f t="shared" si="20"/>
        <v>67.235339282842901</v>
      </c>
      <c r="BH38" s="70">
        <f t="shared" si="21"/>
        <v>23874.5</v>
      </c>
      <c r="BI38" s="71">
        <f t="shared" si="22"/>
        <v>9.5974031194725834E-2</v>
      </c>
      <c r="BJ38" s="72" t="str">
        <f t="shared" si="49"/>
        <v>,2</v>
      </c>
      <c r="BK38" s="61">
        <f t="shared" si="24"/>
        <v>28750</v>
      </c>
      <c r="BL38" s="69">
        <f t="shared" si="25"/>
        <v>3.3268573913043475</v>
      </c>
      <c r="BM38" s="73">
        <f t="shared" si="26"/>
        <v>6436.5</v>
      </c>
      <c r="BN38" s="69">
        <f t="shared" si="27"/>
        <v>14.860118076594421</v>
      </c>
      <c r="BO38" s="61">
        <f t="shared" si="28"/>
        <v>15000</v>
      </c>
      <c r="BP38" s="69">
        <f t="shared" si="29"/>
        <v>6.3764766666666661</v>
      </c>
      <c r="BQ38" s="64">
        <f t="shared" si="30"/>
        <v>21586.149999999994</v>
      </c>
      <c r="BR38" s="69">
        <f t="shared" si="31"/>
        <v>4.4309499378073447</v>
      </c>
      <c r="BS38" s="65">
        <v>95647.15</v>
      </c>
      <c r="BT38" s="74">
        <f t="shared" si="32"/>
        <v>38.449569866538027</v>
      </c>
      <c r="BU38" s="75">
        <f t="shared" si="33"/>
        <v>-14141.779999999999</v>
      </c>
      <c r="BV38" s="69">
        <f t="shared" si="34"/>
        <v>-5.6849091493809292</v>
      </c>
      <c r="BW38" s="55">
        <v>11098.5</v>
      </c>
      <c r="BX38" s="55">
        <v>3182</v>
      </c>
      <c r="BY38" s="55">
        <v>8244</v>
      </c>
      <c r="BZ38" s="55">
        <v>1350</v>
      </c>
      <c r="CA38" s="64">
        <v>28750</v>
      </c>
      <c r="CB38" s="64">
        <v>6436.5</v>
      </c>
      <c r="CC38" s="64">
        <v>15000</v>
      </c>
      <c r="CD38" s="76">
        <f t="shared" si="35"/>
        <v>4.4615291847563916E-2</v>
      </c>
      <c r="CE38" s="76">
        <f t="shared" si="36"/>
        <v>1.2791445570027336E-2</v>
      </c>
      <c r="CF38" s="76">
        <f t="shared" si="37"/>
        <v>3.3140376266280754E-2</v>
      </c>
      <c r="CG38" s="76">
        <f t="shared" si="38"/>
        <v>5.4269175108538348E-3</v>
      </c>
      <c r="CH38" s="76">
        <f t="shared" si="39"/>
        <v>0.11557324328670204</v>
      </c>
      <c r="CI38" s="63">
        <f t="shared" si="40"/>
        <v>-2828.3559999999998</v>
      </c>
      <c r="CJ38" s="77">
        <f t="shared" si="41"/>
        <v>-12727.601999999999</v>
      </c>
    </row>
    <row r="39" spans="1:89" ht="18.75" customHeight="1" x14ac:dyDescent="0.35">
      <c r="A39" s="50">
        <f t="shared" si="46"/>
        <v>17</v>
      </c>
      <c r="B39" s="225"/>
      <c r="C39" s="224" t="s">
        <v>253</v>
      </c>
      <c r="D39" s="225"/>
      <c r="E39" s="225"/>
      <c r="F39" s="225"/>
      <c r="G39" s="225"/>
      <c r="H39" s="226">
        <v>2019</v>
      </c>
      <c r="I39" s="56">
        <v>50</v>
      </c>
      <c r="J39" s="55">
        <f t="shared" si="1"/>
        <v>100950</v>
      </c>
      <c r="K39" s="53"/>
      <c r="L39" s="57">
        <v>60</v>
      </c>
      <c r="M39" s="55">
        <f t="shared" si="2"/>
        <v>0</v>
      </c>
      <c r="N39" s="53">
        <v>978</v>
      </c>
      <c r="O39" s="57">
        <v>15</v>
      </c>
      <c r="P39" s="55">
        <f t="shared" si="3"/>
        <v>14670</v>
      </c>
      <c r="Q39" s="53"/>
      <c r="R39" s="277">
        <v>12</v>
      </c>
      <c r="S39" s="278">
        <f t="shared" si="4"/>
        <v>0</v>
      </c>
      <c r="T39" s="279">
        <v>210</v>
      </c>
      <c r="U39" s="55">
        <f t="shared" si="5"/>
        <v>1680</v>
      </c>
      <c r="V39" s="53">
        <v>200</v>
      </c>
      <c r="W39" s="57">
        <v>12</v>
      </c>
      <c r="X39" s="55">
        <f t="shared" si="6"/>
        <v>2400</v>
      </c>
      <c r="Y39" s="53">
        <v>238</v>
      </c>
      <c r="Z39" s="57">
        <v>10</v>
      </c>
      <c r="AA39" s="55">
        <f t="shared" si="7"/>
        <v>2380</v>
      </c>
      <c r="AB39" s="53">
        <v>130</v>
      </c>
      <c r="AC39" s="57">
        <v>25</v>
      </c>
      <c r="AD39" s="55">
        <f t="shared" si="8"/>
        <v>3250</v>
      </c>
      <c r="AE39" s="53"/>
      <c r="AF39" s="57">
        <v>7.5</v>
      </c>
      <c r="AG39" s="55">
        <f t="shared" si="9"/>
        <v>0</v>
      </c>
      <c r="AH39" s="53"/>
      <c r="AI39" s="56">
        <v>15</v>
      </c>
      <c r="AJ39" s="55">
        <f t="shared" si="10"/>
        <v>0</v>
      </c>
      <c r="AK39" s="53">
        <v>81</v>
      </c>
      <c r="AL39" s="57">
        <v>10</v>
      </c>
      <c r="AM39" s="55">
        <f t="shared" si="11"/>
        <v>810</v>
      </c>
      <c r="AN39" s="53">
        <f t="shared" si="12"/>
        <v>859</v>
      </c>
      <c r="AO39" s="53"/>
      <c r="AP39" s="61"/>
      <c r="AQ39" s="53"/>
      <c r="AR39" s="53"/>
      <c r="AS39" s="55"/>
      <c r="AT39" s="53"/>
      <c r="AU39" s="53"/>
      <c r="AV39" s="66">
        <v>127</v>
      </c>
      <c r="AW39" s="53"/>
      <c r="AX39" s="68">
        <f t="shared" si="13"/>
        <v>0.48439821693907875</v>
      </c>
      <c r="AY39" s="68">
        <f t="shared" si="14"/>
        <v>0.42545814759782069</v>
      </c>
      <c r="AZ39" s="68">
        <f t="shared" si="15"/>
        <v>0.12985685071574643</v>
      </c>
      <c r="BA39" s="55">
        <f t="shared" si="16"/>
        <v>110660</v>
      </c>
      <c r="BB39" s="55">
        <f t="shared" si="17"/>
        <v>104200</v>
      </c>
      <c r="BC39" s="55">
        <f t="shared" si="18"/>
        <v>110660</v>
      </c>
      <c r="BD39" s="55">
        <f t="shared" si="19"/>
        <v>110660</v>
      </c>
      <c r="BE39" s="62">
        <v>128299</v>
      </c>
      <c r="BF39" s="63">
        <v>84061.21</v>
      </c>
      <c r="BG39" s="69">
        <f t="shared" si="20"/>
        <v>65.51977022424181</v>
      </c>
      <c r="BH39" s="225"/>
      <c r="BI39" s="225"/>
      <c r="BJ39" s="72">
        <f t="shared" si="49"/>
        <v>0</v>
      </c>
      <c r="BK39" s="225"/>
      <c r="BL39" s="225"/>
      <c r="BM39" s="225"/>
      <c r="BN39" s="225"/>
      <c r="BO39" s="225"/>
      <c r="BP39" s="225"/>
      <c r="BQ39" s="225"/>
      <c r="BR39" s="225"/>
      <c r="BS39" s="65">
        <v>20860</v>
      </c>
      <c r="BT39" s="74">
        <f t="shared" si="32"/>
        <v>16.258895236907538</v>
      </c>
      <c r="BU39" s="75">
        <f t="shared" si="33"/>
        <v>23377.789999999994</v>
      </c>
      <c r="BV39" s="69">
        <f t="shared" si="34"/>
        <v>18.221334538850648</v>
      </c>
      <c r="BW39" s="227"/>
      <c r="BX39" s="228">
        <v>5190</v>
      </c>
      <c r="BY39" s="224">
        <v>6940</v>
      </c>
      <c r="BZ39" s="224">
        <v>1600</v>
      </c>
      <c r="CA39" s="227"/>
      <c r="CB39" s="228">
        <v>3183</v>
      </c>
      <c r="CC39" s="224">
        <v>21600</v>
      </c>
      <c r="CD39" s="76">
        <f t="shared" si="35"/>
        <v>0</v>
      </c>
      <c r="CE39" s="76">
        <f t="shared" si="36"/>
        <v>4.0452380766802548E-2</v>
      </c>
      <c r="CF39" s="76">
        <f t="shared" si="37"/>
        <v>5.4092393549443098E-2</v>
      </c>
      <c r="CG39" s="76">
        <f t="shared" si="38"/>
        <v>1.247086882984279E-2</v>
      </c>
      <c r="CH39" s="76">
        <f t="shared" si="39"/>
        <v>0</v>
      </c>
      <c r="CI39" s="63">
        <f t="shared" si="40"/>
        <v>4675.5579999999991</v>
      </c>
      <c r="CJ39" s="77">
        <f t="shared" si="41"/>
        <v>21040.010999999995</v>
      </c>
      <c r="CK39" s="78"/>
    </row>
  </sheetData>
  <conditionalFormatting sqref="AX1:AX39">
    <cfRule type="cellIs" dxfId="12" priority="1" operator="lessThan">
      <formula>0.5</formula>
    </cfRule>
  </conditionalFormatting>
  <conditionalFormatting sqref="AY1:AY39">
    <cfRule type="cellIs" dxfId="11" priority="2" operator="lessThan">
      <formula>0.2</formula>
    </cfRule>
  </conditionalFormatting>
  <conditionalFormatting sqref="AZ1:AZ39">
    <cfRule type="cellIs" dxfId="10" priority="3" operator="lessThan">
      <formula>0.4</formula>
    </cfRule>
  </conditionalFormatting>
  <conditionalFormatting sqref="BT1:BT39">
    <cfRule type="cellIs" dxfId="9" priority="4" operator="lessThan">
      <formula>23</formula>
    </cfRule>
    <cfRule type="cellIs" dxfId="8" priority="5" operator="greaterThan">
      <formula>22.99</formula>
    </cfRule>
  </conditionalFormatting>
  <conditionalFormatting sqref="BU1:BU39">
    <cfRule type="cellIs" dxfId="7" priority="6" operator="greaterThan">
      <formula>0</formula>
    </cfRule>
    <cfRule type="cellIs" dxfId="6" priority="7" operator="lessThan">
      <formula>0</formula>
    </cfRule>
  </conditionalFormatting>
  <conditionalFormatting sqref="BV1:BV39">
    <cfRule type="cellIs" dxfId="5" priority="8" operator="greaterThan">
      <formula>0</formula>
    </cfRule>
    <cfRule type="cellIs" dxfId="4" priority="9" operator="lessThan">
      <formula>0</formula>
    </cfRule>
  </conditionalFormatting>
  <conditionalFormatting sqref="CD1:CG39">
    <cfRule type="cellIs" dxfId="3" priority="12" operator="greaterThan">
      <formula>2.99%</formula>
    </cfRule>
  </conditionalFormatting>
  <conditionalFormatting sqref="CD1:CH39">
    <cfRule type="cellIs" dxfId="2" priority="13" operator="lessThan">
      <formula>3%</formula>
    </cfRule>
  </conditionalFormatting>
  <conditionalFormatting sqref="CI1:CJ39">
    <cfRule type="cellIs" dxfId="1" priority="10" operator="greaterThan">
      <formula>0</formula>
    </cfRule>
    <cfRule type="cellIs" dxfId="0" priority="1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43"/>
  <sheetViews>
    <sheetView workbookViewId="0"/>
  </sheetViews>
  <sheetFormatPr defaultColWidth="14.453125" defaultRowHeight="15" customHeight="1" x14ac:dyDescent="0.35"/>
  <cols>
    <col min="1" max="1" width="5.81640625" customWidth="1"/>
    <col min="2" max="2" width="38.7265625" customWidth="1"/>
    <col min="3" max="3" width="12.54296875" customWidth="1"/>
    <col min="4" max="4" width="13.453125" customWidth="1"/>
    <col min="5" max="5" width="11.08984375" customWidth="1"/>
  </cols>
  <sheetData>
    <row r="1" spans="1:26" ht="14.5" x14ac:dyDescent="0.35">
      <c r="A1" s="1"/>
    </row>
    <row r="2" spans="1:26" ht="30" customHeight="1" x14ac:dyDescent="0.35">
      <c r="A2" s="446" t="s">
        <v>264</v>
      </c>
      <c r="B2" s="407"/>
      <c r="C2" s="273">
        <v>46023</v>
      </c>
      <c r="D2" s="273">
        <v>46054</v>
      </c>
      <c r="E2" s="273">
        <v>46082</v>
      </c>
      <c r="F2" s="273">
        <v>46113</v>
      </c>
      <c r="G2" s="273">
        <v>46143</v>
      </c>
      <c r="H2" s="273">
        <v>46174</v>
      </c>
      <c r="I2" s="273">
        <v>46204</v>
      </c>
      <c r="J2" s="273">
        <v>46235</v>
      </c>
      <c r="K2" s="273">
        <v>46266</v>
      </c>
      <c r="L2" s="273">
        <v>46296</v>
      </c>
      <c r="M2" s="273">
        <v>46327</v>
      </c>
      <c r="N2" s="273">
        <v>46357</v>
      </c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</row>
    <row r="3" spans="1:26" ht="14.5" x14ac:dyDescent="0.35">
      <c r="A3" s="149" t="s">
        <v>5</v>
      </c>
      <c r="B3" s="149"/>
      <c r="C3" s="275">
        <f>'JAN 2026-CONSO'!AK6</f>
        <v>25856162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</row>
    <row r="4" spans="1:26" ht="14.5" x14ac:dyDescent="0.35">
      <c r="A4" s="149" t="s">
        <v>265</v>
      </c>
      <c r="B4" s="149"/>
      <c r="C4" s="275">
        <f>'JAN 2026-CONSO'!AK7</f>
        <v>17377457.659999993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</row>
    <row r="5" spans="1:26" ht="14.5" x14ac:dyDescent="0.35">
      <c r="A5" s="149" t="s">
        <v>266</v>
      </c>
      <c r="B5" s="149"/>
      <c r="C5" s="275">
        <f t="shared" ref="C5:N5" si="0">C3-C4</f>
        <v>8478704.3400000073</v>
      </c>
      <c r="D5" s="149">
        <f t="shared" si="0"/>
        <v>0</v>
      </c>
      <c r="E5" s="149">
        <f t="shared" si="0"/>
        <v>0</v>
      </c>
      <c r="F5" s="149">
        <f t="shared" si="0"/>
        <v>0</v>
      </c>
      <c r="G5" s="149">
        <f t="shared" si="0"/>
        <v>0</v>
      </c>
      <c r="H5" s="149">
        <f t="shared" si="0"/>
        <v>0</v>
      </c>
      <c r="I5" s="149">
        <f t="shared" si="0"/>
        <v>0</v>
      </c>
      <c r="J5" s="149">
        <f t="shared" si="0"/>
        <v>0</v>
      </c>
      <c r="K5" s="149">
        <f t="shared" si="0"/>
        <v>0</v>
      </c>
      <c r="L5" s="149">
        <f t="shared" si="0"/>
        <v>0</v>
      </c>
      <c r="M5" s="149">
        <f t="shared" si="0"/>
        <v>0</v>
      </c>
      <c r="N5" s="149">
        <f t="shared" si="0"/>
        <v>0</v>
      </c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</row>
    <row r="6" spans="1:26" ht="14.5" x14ac:dyDescent="0.35">
      <c r="A6" s="149" t="s">
        <v>267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</row>
    <row r="7" spans="1:26" ht="14.5" x14ac:dyDescent="0.35">
      <c r="A7" s="280"/>
      <c r="B7" s="281" t="s">
        <v>90</v>
      </c>
      <c r="C7" s="282">
        <f>'JAN 2026-CONSO'!AK10</f>
        <v>583792.30000000005</v>
      </c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/>
      <c r="O7" s="280"/>
      <c r="P7" s="280"/>
      <c r="Q7" s="280"/>
      <c r="R7" s="280"/>
      <c r="S7" s="280"/>
      <c r="T7" s="280"/>
      <c r="U7" s="280"/>
      <c r="V7" s="280"/>
      <c r="W7" s="280"/>
      <c r="X7" s="280"/>
      <c r="Y7" s="280"/>
      <c r="Z7" s="280"/>
    </row>
    <row r="8" spans="1:26" ht="14.5" x14ac:dyDescent="0.35">
      <c r="A8" s="280"/>
      <c r="B8" s="281" t="s">
        <v>91</v>
      </c>
      <c r="C8" s="282">
        <f>'JAN 2026-CONSO'!AK11</f>
        <v>448228</v>
      </c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</row>
    <row r="9" spans="1:26" ht="14.5" x14ac:dyDescent="0.35">
      <c r="A9" s="280"/>
      <c r="B9" s="281" t="s">
        <v>92</v>
      </c>
      <c r="C9" s="282">
        <f>'JAN 2026-CONSO'!AK12</f>
        <v>513461.75</v>
      </c>
      <c r="D9" s="283"/>
      <c r="E9" s="283"/>
      <c r="F9" s="284"/>
      <c r="G9" s="283"/>
      <c r="H9" s="283"/>
      <c r="I9" s="283"/>
      <c r="J9" s="283"/>
      <c r="K9" s="283"/>
      <c r="L9" s="283"/>
      <c r="M9" s="283"/>
      <c r="N9" s="283"/>
      <c r="O9" s="280"/>
      <c r="P9" s="280"/>
      <c r="Q9" s="280"/>
      <c r="R9" s="280"/>
      <c r="S9" s="280"/>
      <c r="T9" s="280"/>
      <c r="U9" s="280"/>
      <c r="V9" s="280"/>
      <c r="W9" s="280"/>
      <c r="X9" s="280"/>
      <c r="Y9" s="280"/>
      <c r="Z9" s="280"/>
    </row>
    <row r="10" spans="1:26" ht="14.5" x14ac:dyDescent="0.35">
      <c r="A10" s="280"/>
      <c r="B10" s="281" t="s">
        <v>268</v>
      </c>
      <c r="C10" s="282">
        <f>'JAN 2026-CONSO'!AK13</f>
        <v>145290</v>
      </c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0"/>
      <c r="P10" s="280"/>
      <c r="Q10" s="280"/>
      <c r="R10" s="280"/>
      <c r="S10" s="280"/>
      <c r="T10" s="280"/>
      <c r="U10" s="280"/>
      <c r="V10" s="280"/>
      <c r="W10" s="280"/>
      <c r="X10" s="280"/>
      <c r="Y10" s="280"/>
      <c r="Z10" s="280"/>
    </row>
    <row r="11" spans="1:26" ht="14.5" x14ac:dyDescent="0.35">
      <c r="A11" s="280"/>
      <c r="B11" s="281" t="s">
        <v>55</v>
      </c>
      <c r="C11" s="282">
        <f>'JAN 2026-CONSO'!AK14</f>
        <v>2238820.77</v>
      </c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0"/>
      <c r="P11" s="280"/>
      <c r="Q11" s="280"/>
      <c r="R11" s="280"/>
      <c r="S11" s="280"/>
      <c r="T11" s="280"/>
      <c r="U11" s="280"/>
      <c r="V11" s="280"/>
      <c r="W11" s="280"/>
      <c r="X11" s="280"/>
      <c r="Y11" s="280"/>
      <c r="Z11" s="280"/>
    </row>
    <row r="12" spans="1:26" ht="14.5" x14ac:dyDescent="0.35">
      <c r="A12" s="280"/>
      <c r="B12" s="281" t="s">
        <v>269</v>
      </c>
      <c r="C12" s="282">
        <f>'JAN 2026-CONSO'!AK15</f>
        <v>159839.60000000003</v>
      </c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0"/>
      <c r="P12" s="280"/>
      <c r="Q12" s="280"/>
      <c r="R12" s="280"/>
      <c r="S12" s="280"/>
      <c r="T12" s="280"/>
      <c r="U12" s="280"/>
      <c r="V12" s="280"/>
      <c r="W12" s="280"/>
      <c r="X12" s="280"/>
      <c r="Y12" s="280"/>
      <c r="Z12" s="280"/>
    </row>
    <row r="13" spans="1:26" ht="14.5" x14ac:dyDescent="0.35">
      <c r="A13" s="280"/>
      <c r="B13" s="281" t="s">
        <v>57</v>
      </c>
      <c r="C13" s="282">
        <f>'JAN 2026-CONSO'!AK16</f>
        <v>76035.77</v>
      </c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0"/>
      <c r="P13" s="280"/>
      <c r="Q13" s="280"/>
      <c r="R13" s="280"/>
      <c r="S13" s="280"/>
      <c r="T13" s="280"/>
      <c r="U13" s="280"/>
      <c r="V13" s="280"/>
      <c r="W13" s="280"/>
      <c r="X13" s="280"/>
      <c r="Y13" s="280"/>
      <c r="Z13" s="280"/>
    </row>
    <row r="14" spans="1:26" ht="14.5" x14ac:dyDescent="0.35">
      <c r="A14" s="280"/>
      <c r="B14" s="281" t="s">
        <v>270</v>
      </c>
      <c r="C14" s="282">
        <f>'JAN 2026-CONSO'!AK17</f>
        <v>46263</v>
      </c>
      <c r="D14" s="283"/>
      <c r="E14" s="283"/>
      <c r="F14" s="283"/>
      <c r="G14" s="283"/>
      <c r="H14" s="283"/>
      <c r="I14" s="283"/>
      <c r="J14" s="283"/>
      <c r="K14" s="283"/>
      <c r="L14" s="283"/>
      <c r="M14" s="283"/>
      <c r="N14" s="283"/>
      <c r="O14" s="280"/>
      <c r="P14" s="280"/>
      <c r="Q14" s="280"/>
      <c r="R14" s="280"/>
      <c r="S14" s="280"/>
      <c r="T14" s="280"/>
      <c r="U14" s="280"/>
      <c r="V14" s="280"/>
      <c r="W14" s="280"/>
      <c r="X14" s="280"/>
      <c r="Y14" s="280"/>
      <c r="Z14" s="280"/>
    </row>
    <row r="15" spans="1:26" ht="14.5" x14ac:dyDescent="0.35">
      <c r="A15" s="280"/>
      <c r="B15" s="281" t="s">
        <v>271</v>
      </c>
      <c r="C15" s="282">
        <f>'JAN 2026-CONSO'!AK18</f>
        <v>48000.790000000008</v>
      </c>
      <c r="D15" s="283"/>
      <c r="E15" s="283"/>
      <c r="F15" s="283"/>
      <c r="G15" s="283"/>
      <c r="H15" s="283"/>
      <c r="I15" s="283"/>
      <c r="J15" s="283"/>
      <c r="K15" s="283"/>
      <c r="L15" s="283"/>
      <c r="M15" s="283"/>
      <c r="N15" s="283"/>
      <c r="O15" s="280"/>
      <c r="P15" s="280"/>
      <c r="Q15" s="280"/>
      <c r="R15" s="280"/>
      <c r="S15" s="280"/>
      <c r="T15" s="280"/>
      <c r="U15" s="280"/>
      <c r="V15" s="280"/>
      <c r="W15" s="280"/>
      <c r="X15" s="280"/>
      <c r="Y15" s="280"/>
      <c r="Z15" s="280"/>
    </row>
    <row r="16" spans="1:26" ht="14.5" x14ac:dyDescent="0.35">
      <c r="A16" s="280"/>
      <c r="B16" s="281" t="s">
        <v>272</v>
      </c>
      <c r="C16" s="282">
        <f>'JAN 2026-CONSO'!AK19</f>
        <v>192101.33000000002</v>
      </c>
      <c r="D16" s="283"/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0"/>
      <c r="P16" s="280"/>
      <c r="Q16" s="280"/>
      <c r="R16" s="280"/>
      <c r="S16" s="280"/>
      <c r="T16" s="280"/>
      <c r="U16" s="280"/>
      <c r="V16" s="280"/>
      <c r="W16" s="280"/>
      <c r="X16" s="280"/>
      <c r="Y16" s="280"/>
      <c r="Z16" s="280"/>
    </row>
    <row r="17" spans="1:26" ht="14.5" x14ac:dyDescent="0.35">
      <c r="A17" s="280"/>
      <c r="B17" s="281" t="s">
        <v>273</v>
      </c>
      <c r="C17" s="282">
        <f>'JAN 2026-CONSO'!AK20</f>
        <v>13222.270000000004</v>
      </c>
      <c r="D17" s="283"/>
      <c r="E17" s="283"/>
      <c r="F17" s="283"/>
      <c r="G17" s="283"/>
      <c r="H17" s="283"/>
      <c r="I17" s="283"/>
      <c r="J17" s="283"/>
      <c r="K17" s="283"/>
      <c r="L17" s="283"/>
      <c r="M17" s="283"/>
      <c r="N17" s="283"/>
      <c r="O17" s="280"/>
      <c r="P17" s="280"/>
      <c r="Q17" s="280"/>
      <c r="R17" s="280"/>
      <c r="S17" s="280"/>
      <c r="T17" s="280"/>
      <c r="U17" s="280"/>
      <c r="V17" s="280"/>
      <c r="W17" s="280"/>
      <c r="X17" s="280"/>
      <c r="Y17" s="280"/>
      <c r="Z17" s="280"/>
    </row>
    <row r="18" spans="1:26" ht="14.5" x14ac:dyDescent="0.35">
      <c r="A18" s="280"/>
      <c r="B18" s="281" t="s">
        <v>274</v>
      </c>
      <c r="C18" s="282">
        <f>'JAN 2026-CONSO'!AK21</f>
        <v>74195.430000000008</v>
      </c>
      <c r="D18" s="283"/>
      <c r="E18" s="283"/>
      <c r="F18" s="283"/>
      <c r="G18" s="283"/>
      <c r="H18" s="283"/>
      <c r="I18" s="283"/>
      <c r="J18" s="283"/>
      <c r="K18" s="283"/>
      <c r="L18" s="283"/>
      <c r="M18" s="283"/>
      <c r="N18" s="283"/>
      <c r="O18" s="280"/>
      <c r="P18" s="280"/>
      <c r="Q18" s="280"/>
      <c r="R18" s="280"/>
      <c r="S18" s="280"/>
      <c r="T18" s="280"/>
      <c r="U18" s="280"/>
      <c r="V18" s="280"/>
      <c r="W18" s="280"/>
      <c r="X18" s="280"/>
      <c r="Y18" s="280"/>
      <c r="Z18" s="280"/>
    </row>
    <row r="19" spans="1:26" ht="14.5" x14ac:dyDescent="0.35">
      <c r="A19" s="280"/>
      <c r="B19" s="281" t="s">
        <v>275</v>
      </c>
      <c r="C19" s="282">
        <f>'JAN 2026-CONSO'!AK22</f>
        <v>21485.86</v>
      </c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</row>
    <row r="20" spans="1:26" ht="14.5" x14ac:dyDescent="0.35">
      <c r="A20" s="280"/>
      <c r="B20" s="281" t="s">
        <v>276</v>
      </c>
      <c r="C20" s="282">
        <f>'JAN 2026-CONSO'!AK23</f>
        <v>0</v>
      </c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</row>
    <row r="21" spans="1:26" ht="14.5" x14ac:dyDescent="0.35">
      <c r="A21" s="280"/>
      <c r="B21" s="281" t="s">
        <v>277</v>
      </c>
      <c r="C21" s="282">
        <f>'JAN 2026-CONSO'!AK24</f>
        <v>20492</v>
      </c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</row>
    <row r="22" spans="1:26" ht="14.5" x14ac:dyDescent="0.35">
      <c r="A22" s="280"/>
      <c r="B22" s="281" t="s">
        <v>278</v>
      </c>
      <c r="C22" s="282">
        <f>'JAN 2026-CONSO'!AK25</f>
        <v>20685</v>
      </c>
      <c r="D22" s="283"/>
      <c r="E22" s="283"/>
      <c r="F22" s="283"/>
      <c r="G22" s="283"/>
      <c r="H22" s="283"/>
      <c r="I22" s="283"/>
      <c r="J22" s="283"/>
      <c r="K22" s="283"/>
      <c r="L22" s="283"/>
      <c r="M22" s="283"/>
      <c r="N22" s="283"/>
      <c r="O22" s="280"/>
      <c r="P22" s="280"/>
      <c r="Q22" s="280"/>
      <c r="R22" s="280"/>
      <c r="S22" s="280"/>
      <c r="T22" s="280"/>
      <c r="U22" s="280"/>
      <c r="V22" s="280"/>
      <c r="W22" s="280"/>
      <c r="X22" s="280"/>
      <c r="Y22" s="280"/>
      <c r="Z22" s="280"/>
    </row>
    <row r="23" spans="1:26" ht="14.5" x14ac:dyDescent="0.35">
      <c r="A23" s="280"/>
      <c r="B23" s="281" t="s">
        <v>279</v>
      </c>
      <c r="C23" s="282">
        <f>'JAN 2026-CONSO'!AK26</f>
        <v>724953.76</v>
      </c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0"/>
      <c r="P23" s="280"/>
      <c r="Q23" s="280"/>
      <c r="R23" s="280"/>
      <c r="S23" s="280"/>
      <c r="T23" s="280"/>
      <c r="U23" s="280"/>
      <c r="V23" s="280"/>
      <c r="W23" s="280"/>
      <c r="X23" s="280"/>
      <c r="Y23" s="280"/>
      <c r="Z23" s="280"/>
    </row>
    <row r="24" spans="1:26" ht="14.5" x14ac:dyDescent="0.35">
      <c r="A24" s="280"/>
      <c r="B24" s="281" t="s">
        <v>280</v>
      </c>
      <c r="C24" s="282">
        <f>'JAN 2026-CONSO'!AK27</f>
        <v>221568.05</v>
      </c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</row>
    <row r="25" spans="1:26" ht="14.5" x14ac:dyDescent="0.35">
      <c r="A25" s="280"/>
      <c r="B25" s="281" t="s">
        <v>281</v>
      </c>
      <c r="C25" s="282">
        <f>'JAN 2026-CONSO'!AK28</f>
        <v>41305.47</v>
      </c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</row>
    <row r="26" spans="1:26" ht="14.5" x14ac:dyDescent="0.35">
      <c r="A26" s="280"/>
      <c r="B26" s="281" t="s">
        <v>282</v>
      </c>
      <c r="C26" s="282">
        <f>'JAN 2026-CONSO'!AK29</f>
        <v>444362.81999999989</v>
      </c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</row>
    <row r="27" spans="1:26" ht="14.5" x14ac:dyDescent="0.35">
      <c r="A27" s="280"/>
      <c r="B27" s="281" t="s">
        <v>283</v>
      </c>
      <c r="C27" s="282">
        <f>'JAN 2026-CONSO'!AK30</f>
        <v>155201.35</v>
      </c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</row>
    <row r="28" spans="1:26" ht="14.5" x14ac:dyDescent="0.35">
      <c r="A28" s="280"/>
      <c r="B28" s="281" t="s">
        <v>284</v>
      </c>
      <c r="C28" s="282">
        <f>'JAN 2026-CONSO'!AK31</f>
        <v>20887</v>
      </c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</row>
    <row r="29" spans="1:26" ht="14.5" x14ac:dyDescent="0.35">
      <c r="A29" s="280"/>
      <c r="B29" s="281" t="s">
        <v>285</v>
      </c>
      <c r="C29" s="282">
        <f>'JAN 2026-CONSO'!AK32</f>
        <v>5039.99</v>
      </c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0"/>
      <c r="P29" s="280"/>
      <c r="Q29" s="280"/>
      <c r="R29" s="280"/>
      <c r="S29" s="280"/>
      <c r="T29" s="280"/>
      <c r="U29" s="280"/>
      <c r="V29" s="280"/>
      <c r="W29" s="280"/>
      <c r="X29" s="280"/>
      <c r="Y29" s="280"/>
      <c r="Z29" s="280"/>
    </row>
    <row r="30" spans="1:26" ht="14.5" x14ac:dyDescent="0.35">
      <c r="A30" s="280"/>
      <c r="B30" s="281" t="s">
        <v>286</v>
      </c>
      <c r="C30" s="282">
        <f>'JAN 2026-CONSO'!AK33</f>
        <v>56850.35</v>
      </c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0"/>
      <c r="P30" s="280"/>
      <c r="Q30" s="280"/>
      <c r="R30" s="280"/>
      <c r="S30" s="280"/>
      <c r="T30" s="280"/>
      <c r="U30" s="280"/>
      <c r="V30" s="280"/>
      <c r="W30" s="280"/>
      <c r="X30" s="280"/>
      <c r="Y30" s="280"/>
      <c r="Z30" s="280"/>
    </row>
    <row r="31" spans="1:26" ht="14.5" x14ac:dyDescent="0.35">
      <c r="A31" s="280"/>
      <c r="B31" s="281" t="s">
        <v>287</v>
      </c>
      <c r="C31" s="282">
        <f>'JAN 2026-CONSO'!AK34</f>
        <v>3991</v>
      </c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0"/>
      <c r="P31" s="280"/>
      <c r="Q31" s="280"/>
      <c r="R31" s="280"/>
      <c r="S31" s="280"/>
      <c r="T31" s="280"/>
      <c r="U31" s="280"/>
      <c r="V31" s="280"/>
      <c r="W31" s="280"/>
      <c r="X31" s="280"/>
      <c r="Y31" s="280"/>
      <c r="Z31" s="280"/>
    </row>
    <row r="32" spans="1:26" ht="14.5" x14ac:dyDescent="0.35">
      <c r="A32" s="280"/>
      <c r="B32" s="281" t="s">
        <v>288</v>
      </c>
      <c r="C32" s="282">
        <f>'JAN 2026-CONSO'!AK35</f>
        <v>60430.85</v>
      </c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</row>
    <row r="33" spans="1:26" ht="14.5" x14ac:dyDescent="0.35">
      <c r="A33" s="280"/>
      <c r="B33" s="281" t="s">
        <v>289</v>
      </c>
      <c r="C33" s="282">
        <f>'JAN 2026-CONSO'!AK36</f>
        <v>25788.949999999997</v>
      </c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</row>
    <row r="34" spans="1:26" ht="14.5" x14ac:dyDescent="0.35">
      <c r="A34" s="280"/>
      <c r="B34" s="281" t="s">
        <v>290</v>
      </c>
      <c r="C34" s="282">
        <f>'JAN 2026-CONSO'!AK37</f>
        <v>42706.39</v>
      </c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</row>
    <row r="35" spans="1:26" ht="14.5" x14ac:dyDescent="0.35">
      <c r="A35" s="280"/>
      <c r="B35" s="281" t="s">
        <v>291</v>
      </c>
      <c r="C35" s="282">
        <f>'JAN 2026-CONSO'!AK38</f>
        <v>47776</v>
      </c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0"/>
      <c r="P35" s="280"/>
      <c r="Q35" s="280"/>
      <c r="R35" s="280"/>
      <c r="S35" s="280"/>
      <c r="T35" s="280"/>
      <c r="U35" s="280"/>
      <c r="V35" s="280"/>
      <c r="W35" s="280"/>
      <c r="X35" s="280"/>
      <c r="Y35" s="280"/>
      <c r="Z35" s="280"/>
    </row>
    <row r="36" spans="1:26" ht="14.5" x14ac:dyDescent="0.35">
      <c r="A36" s="280"/>
      <c r="B36" s="281" t="s">
        <v>292</v>
      </c>
      <c r="C36" s="282">
        <f>'JAN 2026-CONSO'!AK39</f>
        <v>194953.96999999997</v>
      </c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</row>
    <row r="37" spans="1:26" ht="14.5" x14ac:dyDescent="0.35">
      <c r="A37" s="280"/>
      <c r="B37" s="281" t="s">
        <v>293</v>
      </c>
      <c r="C37" s="282">
        <f>'JAN 2026-CONSO'!AK40</f>
        <v>29877.979999999981</v>
      </c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0"/>
      <c r="P37" s="280"/>
      <c r="Q37" s="280"/>
      <c r="R37" s="280"/>
      <c r="S37" s="280"/>
      <c r="T37" s="280"/>
      <c r="U37" s="280"/>
      <c r="V37" s="280"/>
      <c r="W37" s="280"/>
      <c r="X37" s="280"/>
      <c r="Y37" s="280"/>
      <c r="Z37" s="280"/>
    </row>
    <row r="38" spans="1:26" ht="14.5" x14ac:dyDescent="0.35">
      <c r="A38" s="280"/>
      <c r="B38" s="281" t="s">
        <v>294</v>
      </c>
      <c r="C38" s="282">
        <f>'JAN 2026-CONSO'!AK41</f>
        <v>317.67</v>
      </c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0"/>
      <c r="P38" s="280"/>
      <c r="Q38" s="280"/>
      <c r="R38" s="280"/>
      <c r="S38" s="280"/>
      <c r="T38" s="280"/>
      <c r="U38" s="280"/>
      <c r="V38" s="280"/>
      <c r="W38" s="280"/>
      <c r="X38" s="280"/>
      <c r="Y38" s="280"/>
      <c r="Z38" s="280"/>
    </row>
    <row r="39" spans="1:26" ht="14.5" x14ac:dyDescent="0.35">
      <c r="A39" s="149" t="s">
        <v>295</v>
      </c>
      <c r="B39" s="149"/>
      <c r="C39" s="275">
        <f t="shared" ref="C39:N39" si="1">SUM(C7:C38)</f>
        <v>6677925.4699999988</v>
      </c>
      <c r="D39" s="149">
        <f t="shared" si="1"/>
        <v>0</v>
      </c>
      <c r="E39" s="149">
        <f t="shared" si="1"/>
        <v>0</v>
      </c>
      <c r="F39" s="149">
        <f t="shared" si="1"/>
        <v>0</v>
      </c>
      <c r="G39" s="149">
        <f t="shared" si="1"/>
        <v>0</v>
      </c>
      <c r="H39" s="149">
        <f t="shared" si="1"/>
        <v>0</v>
      </c>
      <c r="I39" s="149">
        <f t="shared" si="1"/>
        <v>0</v>
      </c>
      <c r="J39" s="149">
        <f t="shared" si="1"/>
        <v>0</v>
      </c>
      <c r="K39" s="149">
        <f t="shared" si="1"/>
        <v>0</v>
      </c>
      <c r="L39" s="149">
        <f t="shared" si="1"/>
        <v>0</v>
      </c>
      <c r="M39" s="149">
        <f t="shared" si="1"/>
        <v>0</v>
      </c>
      <c r="N39" s="149">
        <f t="shared" si="1"/>
        <v>0</v>
      </c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</row>
    <row r="40" spans="1:26" ht="14.5" x14ac:dyDescent="0.35">
      <c r="A40" s="447"/>
      <c r="B40" s="407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</row>
    <row r="41" spans="1:26" ht="14.5" x14ac:dyDescent="0.35">
      <c r="A41" s="149" t="s">
        <v>8</v>
      </c>
      <c r="B41" s="149"/>
      <c r="C41" s="275">
        <f>C5-C39</f>
        <v>1800778.8700000085</v>
      </c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</row>
    <row r="42" spans="1:26" ht="14.5" x14ac:dyDescent="0.35">
      <c r="A42" s="149" t="s">
        <v>296</v>
      </c>
      <c r="B42" s="149"/>
      <c r="C42" s="275">
        <f>C41*80%</f>
        <v>1440623.0960000069</v>
      </c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264"/>
      <c r="P42" s="264"/>
      <c r="Q42" s="264"/>
      <c r="R42" s="264"/>
      <c r="S42" s="264"/>
      <c r="T42" s="264"/>
      <c r="U42" s="264"/>
      <c r="V42" s="264"/>
      <c r="W42" s="264"/>
      <c r="X42" s="264"/>
      <c r="Y42" s="264"/>
      <c r="Z42" s="264"/>
    </row>
    <row r="43" spans="1:26" ht="14.5" x14ac:dyDescent="0.35">
      <c r="A43" s="149" t="s">
        <v>297</v>
      </c>
      <c r="B43" s="149"/>
      <c r="C43" s="275">
        <f>C41*20%</f>
        <v>360155.77400000172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264"/>
      <c r="P43" s="264"/>
      <c r="Q43" s="264"/>
      <c r="R43" s="264"/>
      <c r="S43" s="264"/>
      <c r="T43" s="264"/>
      <c r="U43" s="264"/>
      <c r="V43" s="264"/>
      <c r="W43" s="264"/>
      <c r="X43" s="264"/>
      <c r="Y43" s="264"/>
      <c r="Z43" s="264"/>
    </row>
  </sheetData>
  <mergeCells count="2">
    <mergeCell ref="A2:B2"/>
    <mergeCell ref="A40:B4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C998"/>
  <sheetViews>
    <sheetView workbookViewId="0"/>
  </sheetViews>
  <sheetFormatPr defaultColWidth="14.453125" defaultRowHeight="15" customHeight="1" x14ac:dyDescent="0.35"/>
  <cols>
    <col min="1" max="1" width="7.7265625" customWidth="1"/>
    <col min="2" max="2" width="16" customWidth="1"/>
  </cols>
  <sheetData>
    <row r="1" spans="1:29" x14ac:dyDescent="0.35"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9" x14ac:dyDescent="0.35">
      <c r="B2" s="1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9" x14ac:dyDescent="0.3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9" x14ac:dyDescent="0.35">
      <c r="A4" s="376">
        <v>1</v>
      </c>
      <c r="B4" s="5" t="s">
        <v>4</v>
      </c>
      <c r="C4" s="6">
        <v>45931</v>
      </c>
      <c r="D4" s="6">
        <v>45962</v>
      </c>
      <c r="E4" s="6">
        <v>45992</v>
      </c>
      <c r="F4" s="6">
        <v>46023</v>
      </c>
      <c r="G4" s="6">
        <v>46054</v>
      </c>
      <c r="H4" s="6">
        <v>46082</v>
      </c>
      <c r="I4" s="6">
        <v>46113</v>
      </c>
      <c r="J4" s="6">
        <v>46143</v>
      </c>
      <c r="K4" s="6">
        <v>46174</v>
      </c>
      <c r="L4" s="6">
        <v>46204</v>
      </c>
      <c r="M4" s="6">
        <v>46235</v>
      </c>
      <c r="N4" s="6">
        <v>46266</v>
      </c>
      <c r="O4" s="6">
        <v>46296</v>
      </c>
      <c r="P4" s="6">
        <v>46327</v>
      </c>
      <c r="Q4" s="6">
        <v>46357</v>
      </c>
    </row>
    <row r="5" spans="1:29" x14ac:dyDescent="0.35">
      <c r="A5" s="377"/>
      <c r="B5" s="8" t="s">
        <v>5</v>
      </c>
      <c r="C5" s="9"/>
      <c r="D5" s="9"/>
      <c r="E5" s="9"/>
      <c r="F5" s="9">
        <v>575689.5</v>
      </c>
      <c r="G5" s="9">
        <v>494977.5</v>
      </c>
      <c r="H5" s="9">
        <v>519613.5</v>
      </c>
      <c r="I5" s="9">
        <v>469665</v>
      </c>
      <c r="J5" s="9">
        <v>561216</v>
      </c>
      <c r="K5" s="9"/>
      <c r="L5" s="9"/>
      <c r="M5" s="9"/>
      <c r="N5" s="9"/>
      <c r="O5" s="9"/>
      <c r="P5" s="9"/>
      <c r="Q5" s="9"/>
    </row>
    <row r="6" spans="1:29" x14ac:dyDescent="0.35">
      <c r="A6" s="377"/>
      <c r="B6" s="8" t="s">
        <v>6</v>
      </c>
      <c r="C6" s="9"/>
      <c r="D6" s="9"/>
      <c r="E6" s="9"/>
      <c r="F6" s="9">
        <v>385184.17</v>
      </c>
      <c r="G6" s="9">
        <v>331160.57</v>
      </c>
      <c r="H6" s="9">
        <v>347500.32</v>
      </c>
      <c r="I6" s="9">
        <v>313639.07</v>
      </c>
      <c r="J6" s="9">
        <v>365605.68</v>
      </c>
      <c r="K6" s="9"/>
      <c r="L6" s="9"/>
      <c r="M6" s="9"/>
      <c r="N6" s="9"/>
      <c r="O6" s="9"/>
      <c r="P6" s="9"/>
      <c r="Q6" s="9"/>
    </row>
    <row r="7" spans="1:29" x14ac:dyDescent="0.35">
      <c r="A7" s="377"/>
      <c r="B7" s="8" t="s">
        <v>7</v>
      </c>
      <c r="C7" s="9"/>
      <c r="D7" s="9"/>
      <c r="E7" s="9"/>
      <c r="F7" s="9">
        <v>141054.70000000001</v>
      </c>
      <c r="G7" s="9">
        <v>135657.29</v>
      </c>
      <c r="H7" s="9">
        <v>126503.24</v>
      </c>
      <c r="I7" s="9">
        <v>133170.09</v>
      </c>
      <c r="J7" s="9">
        <v>143295.6</v>
      </c>
      <c r="K7" s="9"/>
      <c r="L7" s="9"/>
      <c r="M7" s="9"/>
      <c r="N7" s="9"/>
      <c r="O7" s="9"/>
      <c r="P7" s="9"/>
      <c r="Q7" s="9"/>
    </row>
    <row r="8" spans="1:29" x14ac:dyDescent="0.35">
      <c r="A8" s="378"/>
      <c r="B8" s="9" t="s">
        <v>8</v>
      </c>
      <c r="C8" s="9"/>
      <c r="D8" s="9"/>
      <c r="E8" s="9"/>
      <c r="F8" s="9">
        <f t="shared" ref="F8:J8" si="0">F5-F6-F7</f>
        <v>49450.630000000005</v>
      </c>
      <c r="G8" s="9">
        <f t="shared" si="0"/>
        <v>28159.639999999985</v>
      </c>
      <c r="H8" s="9">
        <f t="shared" si="0"/>
        <v>45609.939999999988</v>
      </c>
      <c r="I8" s="9">
        <f t="shared" si="0"/>
        <v>22855.839999999997</v>
      </c>
      <c r="J8" s="9">
        <f t="shared" si="0"/>
        <v>52314.720000000001</v>
      </c>
      <c r="K8" s="9"/>
      <c r="L8" s="9">
        <f t="shared" ref="L8:Q8" si="1">L5-L6-L7</f>
        <v>0</v>
      </c>
      <c r="M8" s="9">
        <f t="shared" si="1"/>
        <v>0</v>
      </c>
      <c r="N8" s="9">
        <f t="shared" si="1"/>
        <v>0</v>
      </c>
      <c r="O8" s="9">
        <f t="shared" si="1"/>
        <v>0</v>
      </c>
      <c r="P8" s="9">
        <f t="shared" si="1"/>
        <v>0</v>
      </c>
      <c r="Q8" s="9">
        <f t="shared" si="1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35">
      <c r="C9" s="2">
        <f t="shared" ref="C9:H9" si="2">C8*80%</f>
        <v>0</v>
      </c>
      <c r="D9" s="2">
        <f t="shared" si="2"/>
        <v>0</v>
      </c>
      <c r="E9" s="2">
        <f t="shared" si="2"/>
        <v>0</v>
      </c>
      <c r="F9" s="2">
        <f t="shared" si="2"/>
        <v>39560.504000000008</v>
      </c>
      <c r="G9" s="2">
        <f t="shared" si="2"/>
        <v>22527.711999999989</v>
      </c>
      <c r="H9" s="2">
        <f t="shared" si="2"/>
        <v>36487.95199999999</v>
      </c>
      <c r="I9" s="2">
        <f t="shared" ref="I9:K9" si="3">I8*90%</f>
        <v>20570.255999999998</v>
      </c>
      <c r="J9" s="2">
        <f t="shared" si="3"/>
        <v>47083.248</v>
      </c>
      <c r="K9" s="2">
        <f t="shared" si="3"/>
        <v>0</v>
      </c>
      <c r="L9" s="2">
        <f t="shared" ref="L9:Q9" si="4">L8*80%</f>
        <v>0</v>
      </c>
      <c r="M9" s="2">
        <f t="shared" si="4"/>
        <v>0</v>
      </c>
      <c r="N9" s="2">
        <f t="shared" si="4"/>
        <v>0</v>
      </c>
      <c r="O9" s="2">
        <f t="shared" si="4"/>
        <v>0</v>
      </c>
      <c r="P9" s="2">
        <f t="shared" si="4"/>
        <v>0</v>
      </c>
      <c r="Q9" s="2">
        <f t="shared" si="4"/>
        <v>0</v>
      </c>
    </row>
    <row r="10" spans="1:29" x14ac:dyDescent="0.3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9" x14ac:dyDescent="0.35">
      <c r="A11" s="376">
        <v>2</v>
      </c>
      <c r="B11" s="5" t="s">
        <v>9</v>
      </c>
      <c r="C11" s="6"/>
      <c r="D11" s="6"/>
      <c r="E11" s="6"/>
      <c r="F11" s="6">
        <v>46023</v>
      </c>
      <c r="G11" s="6">
        <v>46054</v>
      </c>
      <c r="H11" s="6">
        <v>46082</v>
      </c>
      <c r="I11" s="6">
        <v>46113</v>
      </c>
      <c r="J11" s="6">
        <v>46143</v>
      </c>
      <c r="K11" s="6"/>
      <c r="L11" s="6">
        <v>46204</v>
      </c>
      <c r="M11" s="6">
        <v>46235</v>
      </c>
      <c r="N11" s="6">
        <v>46266</v>
      </c>
      <c r="O11" s="6">
        <v>46296</v>
      </c>
      <c r="P11" s="6">
        <v>46327</v>
      </c>
      <c r="Q11" s="6">
        <v>46357</v>
      </c>
    </row>
    <row r="12" spans="1:29" x14ac:dyDescent="0.35">
      <c r="A12" s="377"/>
      <c r="B12" s="8" t="s">
        <v>5</v>
      </c>
      <c r="C12" s="9"/>
      <c r="D12" s="9"/>
      <c r="E12" s="9"/>
      <c r="F12" s="9">
        <v>824216</v>
      </c>
      <c r="G12" s="9">
        <v>668379</v>
      </c>
      <c r="H12" s="9">
        <v>730344</v>
      </c>
      <c r="I12" s="9">
        <v>664073</v>
      </c>
      <c r="J12" s="9">
        <v>847662</v>
      </c>
      <c r="K12" s="9"/>
      <c r="L12" s="9"/>
      <c r="M12" s="9"/>
      <c r="N12" s="9"/>
      <c r="O12" s="9"/>
      <c r="P12" s="9"/>
      <c r="Q12" s="9"/>
    </row>
    <row r="13" spans="1:29" x14ac:dyDescent="0.35">
      <c r="A13" s="377"/>
      <c r="B13" s="8" t="s">
        <v>6</v>
      </c>
      <c r="C13" s="9"/>
      <c r="D13" s="9"/>
      <c r="E13" s="9"/>
      <c r="F13" s="9">
        <v>552617.61</v>
      </c>
      <c r="G13" s="9">
        <v>448218.2</v>
      </c>
      <c r="H13" s="9">
        <v>489400.4</v>
      </c>
      <c r="I13" s="9">
        <v>445632.5</v>
      </c>
      <c r="J13" s="9">
        <v>553519.51</v>
      </c>
      <c r="K13" s="9"/>
      <c r="L13" s="9"/>
      <c r="M13" s="9"/>
      <c r="N13" s="9"/>
      <c r="O13" s="9"/>
      <c r="P13" s="9"/>
      <c r="Q13" s="9"/>
    </row>
    <row r="14" spans="1:29" x14ac:dyDescent="0.35">
      <c r="A14" s="377"/>
      <c r="B14" s="8" t="s">
        <v>7</v>
      </c>
      <c r="C14" s="9"/>
      <c r="D14" s="9"/>
      <c r="E14" s="9"/>
      <c r="F14" s="9">
        <v>207819</v>
      </c>
      <c r="G14" s="9">
        <v>203708.17</v>
      </c>
      <c r="H14" s="9">
        <v>176377.34</v>
      </c>
      <c r="I14" s="9">
        <v>185073.89</v>
      </c>
      <c r="J14" s="9">
        <v>220944.8</v>
      </c>
      <c r="K14" s="9"/>
      <c r="L14" s="9"/>
      <c r="M14" s="9"/>
      <c r="N14" s="9"/>
      <c r="O14" s="9"/>
      <c r="P14" s="9"/>
      <c r="Q14" s="9"/>
    </row>
    <row r="15" spans="1:29" x14ac:dyDescent="0.35">
      <c r="A15" s="378"/>
      <c r="B15" s="9" t="s">
        <v>8</v>
      </c>
      <c r="C15" s="9"/>
      <c r="D15" s="9"/>
      <c r="E15" s="9"/>
      <c r="F15" s="9">
        <f t="shared" ref="F15:J15" si="5">F12-F13-F14</f>
        <v>63779.390000000014</v>
      </c>
      <c r="G15" s="9">
        <f t="shared" si="5"/>
        <v>16452.629999999976</v>
      </c>
      <c r="H15" s="9">
        <f t="shared" si="5"/>
        <v>64566.25999999998</v>
      </c>
      <c r="I15" s="9">
        <f t="shared" si="5"/>
        <v>33366.609999999986</v>
      </c>
      <c r="J15" s="9">
        <f t="shared" si="5"/>
        <v>73197.69</v>
      </c>
      <c r="K15" s="9"/>
      <c r="L15" s="9">
        <f t="shared" ref="L15:Q15" si="6">L12-L13-L14</f>
        <v>0</v>
      </c>
      <c r="M15" s="9">
        <f t="shared" si="6"/>
        <v>0</v>
      </c>
      <c r="N15" s="9">
        <f t="shared" si="6"/>
        <v>0</v>
      </c>
      <c r="O15" s="9">
        <f t="shared" si="6"/>
        <v>0</v>
      </c>
      <c r="P15" s="9">
        <f t="shared" si="6"/>
        <v>0</v>
      </c>
      <c r="Q15" s="9">
        <f t="shared" si="6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35">
      <c r="C16" s="2">
        <f t="shared" ref="C16:H16" si="7">C15*80%</f>
        <v>0</v>
      </c>
      <c r="D16" s="2">
        <f t="shared" si="7"/>
        <v>0</v>
      </c>
      <c r="E16" s="2">
        <f t="shared" si="7"/>
        <v>0</v>
      </c>
      <c r="F16" s="2">
        <f t="shared" si="7"/>
        <v>51023.512000000017</v>
      </c>
      <c r="G16" s="2">
        <f t="shared" si="7"/>
        <v>13162.103999999981</v>
      </c>
      <c r="H16" s="2">
        <f t="shared" si="7"/>
        <v>51653.007999999987</v>
      </c>
      <c r="I16" s="2">
        <f t="shared" ref="I16:K16" si="8">I15*90%</f>
        <v>30029.94899999999</v>
      </c>
      <c r="J16" s="2">
        <f t="shared" si="8"/>
        <v>65877.921000000002</v>
      </c>
      <c r="K16" s="2">
        <f t="shared" si="8"/>
        <v>0</v>
      </c>
      <c r="L16" s="2">
        <f t="shared" ref="L16:Q16" si="9">L15*80%</f>
        <v>0</v>
      </c>
      <c r="M16" s="2">
        <f t="shared" si="9"/>
        <v>0</v>
      </c>
      <c r="N16" s="2">
        <f t="shared" si="9"/>
        <v>0</v>
      </c>
      <c r="O16" s="2">
        <f t="shared" si="9"/>
        <v>0</v>
      </c>
      <c r="P16" s="2">
        <f t="shared" si="9"/>
        <v>0</v>
      </c>
      <c r="Q16" s="2">
        <f t="shared" si="9"/>
        <v>0</v>
      </c>
    </row>
    <row r="17" spans="1:17" x14ac:dyDescent="0.3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5">
      <c r="A18" s="376">
        <v>3</v>
      </c>
      <c r="B18" s="5" t="s">
        <v>11</v>
      </c>
      <c r="C18" s="6"/>
      <c r="D18" s="6"/>
      <c r="E18" s="6"/>
      <c r="F18" s="6">
        <v>46023</v>
      </c>
      <c r="G18" s="6">
        <v>46054</v>
      </c>
      <c r="H18" s="6">
        <v>46082</v>
      </c>
      <c r="I18" s="6">
        <v>46113</v>
      </c>
      <c r="J18" s="6">
        <v>46143</v>
      </c>
      <c r="K18" s="6">
        <v>46174</v>
      </c>
      <c r="L18" s="6">
        <v>46204</v>
      </c>
      <c r="M18" s="6">
        <v>46235</v>
      </c>
      <c r="N18" s="6">
        <v>46266</v>
      </c>
      <c r="O18" s="6">
        <v>46296</v>
      </c>
      <c r="P18" s="6">
        <v>46327</v>
      </c>
      <c r="Q18" s="6">
        <v>46357</v>
      </c>
    </row>
    <row r="19" spans="1:17" x14ac:dyDescent="0.35">
      <c r="A19" s="377"/>
      <c r="B19" s="8" t="s">
        <v>5</v>
      </c>
      <c r="C19" s="9"/>
      <c r="D19" s="9"/>
      <c r="E19" s="9"/>
      <c r="F19" s="9">
        <v>610111</v>
      </c>
      <c r="G19" s="9">
        <v>545964.5</v>
      </c>
      <c r="H19" s="9">
        <v>612575</v>
      </c>
      <c r="I19" s="9">
        <v>503363.5</v>
      </c>
      <c r="J19" s="9">
        <v>561379.5</v>
      </c>
      <c r="K19" s="9"/>
      <c r="L19" s="9"/>
      <c r="M19" s="9"/>
      <c r="N19" s="9"/>
      <c r="O19" s="9"/>
      <c r="P19" s="9"/>
      <c r="Q19" s="9"/>
    </row>
    <row r="20" spans="1:17" x14ac:dyDescent="0.35">
      <c r="A20" s="377"/>
      <c r="B20" s="8" t="s">
        <v>6</v>
      </c>
      <c r="C20" s="9"/>
      <c r="D20" s="9"/>
      <c r="E20" s="9"/>
      <c r="F20" s="9">
        <v>411472.29</v>
      </c>
      <c r="G20" s="9">
        <v>368801.04</v>
      </c>
      <c r="H20" s="9">
        <v>412999.13</v>
      </c>
      <c r="I20" s="9">
        <v>337613.96</v>
      </c>
      <c r="J20" s="9">
        <v>375346.65</v>
      </c>
      <c r="K20" s="9"/>
      <c r="L20" s="9"/>
      <c r="M20" s="9"/>
      <c r="N20" s="9"/>
      <c r="O20" s="9"/>
      <c r="P20" s="9"/>
      <c r="Q20" s="9"/>
    </row>
    <row r="21" spans="1:17" x14ac:dyDescent="0.35">
      <c r="A21" s="377"/>
      <c r="B21" s="8" t="s">
        <v>7</v>
      </c>
      <c r="C21" s="9"/>
      <c r="D21" s="9"/>
      <c r="E21" s="9"/>
      <c r="F21" s="9">
        <v>156442.81</v>
      </c>
      <c r="G21" s="9">
        <v>167634.74</v>
      </c>
      <c r="H21" s="9">
        <v>143738.43</v>
      </c>
      <c r="I21" s="9">
        <v>150055.99</v>
      </c>
      <c r="J21" s="9">
        <v>160913.67000000001</v>
      </c>
      <c r="K21" s="9"/>
      <c r="L21" s="9"/>
      <c r="M21" s="9"/>
      <c r="N21" s="9"/>
      <c r="O21" s="9"/>
      <c r="P21" s="9"/>
      <c r="Q21" s="9"/>
    </row>
    <row r="22" spans="1:17" x14ac:dyDescent="0.35">
      <c r="A22" s="378"/>
      <c r="B22" s="8" t="s">
        <v>8</v>
      </c>
      <c r="C22" s="9"/>
      <c r="D22" s="9"/>
      <c r="E22" s="9"/>
      <c r="F22" s="9">
        <f t="shared" ref="F22:J22" si="10">F19-F20-F21</f>
        <v>42195.900000000023</v>
      </c>
      <c r="G22" s="9">
        <f t="shared" si="10"/>
        <v>9528.7200000000303</v>
      </c>
      <c r="H22" s="9">
        <f t="shared" si="10"/>
        <v>55837.440000000002</v>
      </c>
      <c r="I22" s="9">
        <f t="shared" si="10"/>
        <v>15693.549999999988</v>
      </c>
      <c r="J22" s="9">
        <f t="shared" si="10"/>
        <v>25119.179999999964</v>
      </c>
      <c r="K22" s="9"/>
      <c r="L22" s="9">
        <f t="shared" ref="L22:Q22" si="11">L19-L20-L21</f>
        <v>0</v>
      </c>
      <c r="M22" s="9">
        <f t="shared" si="11"/>
        <v>0</v>
      </c>
      <c r="N22" s="9">
        <f t="shared" si="11"/>
        <v>0</v>
      </c>
      <c r="O22" s="9">
        <f t="shared" si="11"/>
        <v>0</v>
      </c>
      <c r="P22" s="9">
        <f t="shared" si="11"/>
        <v>0</v>
      </c>
      <c r="Q22" s="9">
        <f t="shared" si="11"/>
        <v>0</v>
      </c>
    </row>
    <row r="23" spans="1:17" x14ac:dyDescent="0.35">
      <c r="C23" s="2">
        <f t="shared" ref="C23:H23" si="12">C22*80%</f>
        <v>0</v>
      </c>
      <c r="D23" s="2">
        <f t="shared" si="12"/>
        <v>0</v>
      </c>
      <c r="E23" s="2">
        <f t="shared" si="12"/>
        <v>0</v>
      </c>
      <c r="F23" s="2">
        <f t="shared" si="12"/>
        <v>33756.720000000023</v>
      </c>
      <c r="G23" s="2">
        <f t="shared" si="12"/>
        <v>7622.9760000000242</v>
      </c>
      <c r="H23" s="2">
        <f t="shared" si="12"/>
        <v>44669.952000000005</v>
      </c>
      <c r="I23" s="2">
        <f t="shared" ref="I23:J23" si="13">I22*90%</f>
        <v>14124.194999999991</v>
      </c>
      <c r="J23" s="2">
        <f t="shared" si="13"/>
        <v>22607.26199999997</v>
      </c>
      <c r="K23" s="2">
        <f t="shared" ref="K23:Q23" si="14">K22*80%</f>
        <v>0</v>
      </c>
      <c r="L23" s="2">
        <f t="shared" si="14"/>
        <v>0</v>
      </c>
      <c r="M23" s="2">
        <f t="shared" si="14"/>
        <v>0</v>
      </c>
      <c r="N23" s="2">
        <f t="shared" si="14"/>
        <v>0</v>
      </c>
      <c r="O23" s="2">
        <f t="shared" si="14"/>
        <v>0</v>
      </c>
      <c r="P23" s="2">
        <f t="shared" si="14"/>
        <v>0</v>
      </c>
      <c r="Q23" s="2">
        <f t="shared" si="14"/>
        <v>0</v>
      </c>
    </row>
    <row r="24" spans="1:17" x14ac:dyDescent="0.3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5">
      <c r="A25" s="376">
        <v>4</v>
      </c>
      <c r="B25" s="5" t="s">
        <v>14</v>
      </c>
      <c r="C25" s="6"/>
      <c r="D25" s="6"/>
      <c r="E25" s="6"/>
      <c r="F25" s="6">
        <v>46023</v>
      </c>
      <c r="G25" s="6">
        <v>46054</v>
      </c>
      <c r="H25" s="6">
        <v>46082</v>
      </c>
      <c r="I25" s="6">
        <v>46113</v>
      </c>
      <c r="J25" s="6">
        <v>46143</v>
      </c>
      <c r="K25" s="6">
        <v>46174</v>
      </c>
      <c r="L25" s="6">
        <v>46204</v>
      </c>
      <c r="M25" s="6">
        <v>46235</v>
      </c>
      <c r="N25" s="6">
        <v>46266</v>
      </c>
      <c r="O25" s="6">
        <v>46296</v>
      </c>
      <c r="P25" s="6">
        <v>46327</v>
      </c>
      <c r="Q25" s="6">
        <v>46357</v>
      </c>
    </row>
    <row r="26" spans="1:17" x14ac:dyDescent="0.35">
      <c r="A26" s="377"/>
      <c r="B26" s="8" t="s">
        <v>5</v>
      </c>
      <c r="C26" s="9"/>
      <c r="D26" s="9"/>
      <c r="E26" s="9"/>
      <c r="F26" s="9">
        <v>304710.5</v>
      </c>
      <c r="G26" s="9">
        <v>288500</v>
      </c>
      <c r="H26" s="9">
        <v>321537</v>
      </c>
      <c r="I26" s="9">
        <v>291150.5</v>
      </c>
      <c r="J26" s="9">
        <v>327109</v>
      </c>
      <c r="K26" s="9"/>
      <c r="L26" s="9"/>
      <c r="M26" s="9"/>
      <c r="N26" s="9"/>
      <c r="O26" s="9"/>
      <c r="P26" s="9"/>
      <c r="Q26" s="9"/>
    </row>
    <row r="27" spans="1:17" x14ac:dyDescent="0.35">
      <c r="A27" s="377"/>
      <c r="B27" s="8" t="s">
        <v>6</v>
      </c>
      <c r="C27" s="9"/>
      <c r="D27" s="9"/>
      <c r="E27" s="9"/>
      <c r="F27" s="9">
        <v>203245.08</v>
      </c>
      <c r="G27" s="9">
        <v>193568.3</v>
      </c>
      <c r="H27" s="9">
        <v>214530.92</v>
      </c>
      <c r="I27" s="9">
        <v>193281.13</v>
      </c>
      <c r="J27" s="9">
        <v>216121.11</v>
      </c>
      <c r="K27" s="9"/>
      <c r="L27" s="9"/>
      <c r="M27" s="9"/>
      <c r="N27" s="9"/>
      <c r="O27" s="9"/>
      <c r="P27" s="9"/>
      <c r="Q27" s="9"/>
    </row>
    <row r="28" spans="1:17" x14ac:dyDescent="0.35">
      <c r="A28" s="377"/>
      <c r="B28" s="8" t="s">
        <v>7</v>
      </c>
      <c r="C28" s="9"/>
      <c r="D28" s="9"/>
      <c r="E28" s="9"/>
      <c r="F28" s="9">
        <v>93880.29</v>
      </c>
      <c r="G28" s="9">
        <v>99903.41</v>
      </c>
      <c r="H28" s="9">
        <v>89396.54</v>
      </c>
      <c r="I28" s="9">
        <v>94890.81</v>
      </c>
      <c r="J28" s="9">
        <v>102459.73</v>
      </c>
      <c r="K28" s="9"/>
      <c r="L28" s="9"/>
      <c r="M28" s="9"/>
      <c r="N28" s="9"/>
      <c r="O28" s="9"/>
      <c r="P28" s="9"/>
      <c r="Q28" s="9"/>
    </row>
    <row r="29" spans="1:17" x14ac:dyDescent="0.35">
      <c r="A29" s="378"/>
      <c r="B29" s="8" t="s">
        <v>8</v>
      </c>
      <c r="C29" s="9"/>
      <c r="D29" s="9"/>
      <c r="E29" s="9"/>
      <c r="F29" s="9">
        <f t="shared" ref="F29:J29" si="15">F26-F27-F28</f>
        <v>7585.1300000000192</v>
      </c>
      <c r="G29" s="9">
        <f t="shared" si="15"/>
        <v>-4971.7099999999919</v>
      </c>
      <c r="H29" s="9">
        <f t="shared" si="15"/>
        <v>17609.539999999994</v>
      </c>
      <c r="I29" s="9">
        <f t="shared" si="15"/>
        <v>2978.5599999999977</v>
      </c>
      <c r="J29" s="9">
        <f t="shared" si="15"/>
        <v>8528.160000000018</v>
      </c>
      <c r="K29" s="9"/>
      <c r="L29" s="9">
        <f t="shared" ref="L29:Q29" si="16">L26-L27-L28</f>
        <v>0</v>
      </c>
      <c r="M29" s="9">
        <f t="shared" si="16"/>
        <v>0</v>
      </c>
      <c r="N29" s="9">
        <f t="shared" si="16"/>
        <v>0</v>
      </c>
      <c r="O29" s="9">
        <f t="shared" si="16"/>
        <v>0</v>
      </c>
      <c r="P29" s="9">
        <f t="shared" si="16"/>
        <v>0</v>
      </c>
      <c r="Q29" s="9">
        <f t="shared" si="16"/>
        <v>0</v>
      </c>
    </row>
    <row r="30" spans="1:17" x14ac:dyDescent="0.35">
      <c r="C30" s="2">
        <f t="shared" ref="C30:H30" si="17">C29*80%</f>
        <v>0</v>
      </c>
      <c r="D30" s="2">
        <f t="shared" si="17"/>
        <v>0</v>
      </c>
      <c r="E30" s="2">
        <f t="shared" si="17"/>
        <v>0</v>
      </c>
      <c r="F30" s="2">
        <f t="shared" si="17"/>
        <v>6068.1040000000157</v>
      </c>
      <c r="G30" s="2">
        <f t="shared" si="17"/>
        <v>-3977.3679999999936</v>
      </c>
      <c r="H30" s="2">
        <f t="shared" si="17"/>
        <v>14087.631999999996</v>
      </c>
      <c r="I30" s="2">
        <f t="shared" ref="I30:J30" si="18">I29*90%</f>
        <v>2680.7039999999979</v>
      </c>
      <c r="J30" s="2">
        <f t="shared" si="18"/>
        <v>7675.3440000000164</v>
      </c>
      <c r="K30" s="2">
        <f t="shared" ref="K30:Q30" si="19">K29*80%</f>
        <v>0</v>
      </c>
      <c r="L30" s="2">
        <f t="shared" si="19"/>
        <v>0</v>
      </c>
      <c r="M30" s="2">
        <f t="shared" si="19"/>
        <v>0</v>
      </c>
      <c r="N30" s="2">
        <f t="shared" si="19"/>
        <v>0</v>
      </c>
      <c r="O30" s="2">
        <f t="shared" si="19"/>
        <v>0</v>
      </c>
      <c r="P30" s="2">
        <f t="shared" si="19"/>
        <v>0</v>
      </c>
      <c r="Q30" s="2">
        <f t="shared" si="19"/>
        <v>0</v>
      </c>
    </row>
    <row r="31" spans="1:17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5">
      <c r="A32" s="376">
        <v>5</v>
      </c>
      <c r="B32" s="5" t="s">
        <v>14</v>
      </c>
      <c r="C32" s="6"/>
      <c r="D32" s="6"/>
      <c r="E32" s="6"/>
      <c r="F32" s="6">
        <v>46023</v>
      </c>
      <c r="G32" s="6">
        <v>46054</v>
      </c>
      <c r="H32" s="6">
        <v>46082</v>
      </c>
      <c r="I32" s="6">
        <v>46113</v>
      </c>
      <c r="J32" s="6">
        <v>46143</v>
      </c>
      <c r="K32" s="6">
        <v>46174</v>
      </c>
      <c r="L32" s="6">
        <v>46204</v>
      </c>
      <c r="M32" s="6">
        <v>46235</v>
      </c>
      <c r="N32" s="6">
        <v>46266</v>
      </c>
      <c r="O32" s="6">
        <v>46296</v>
      </c>
      <c r="P32" s="6">
        <v>46327</v>
      </c>
      <c r="Q32" s="6">
        <v>46357</v>
      </c>
    </row>
    <row r="33" spans="1:17" x14ac:dyDescent="0.35">
      <c r="A33" s="377"/>
      <c r="B33" s="8" t="s">
        <v>5</v>
      </c>
      <c r="C33" s="9"/>
      <c r="D33" s="9"/>
      <c r="E33" s="9"/>
      <c r="F33" s="9">
        <v>550265</v>
      </c>
      <c r="G33" s="9">
        <v>505422</v>
      </c>
      <c r="H33" s="9">
        <v>569205</v>
      </c>
      <c r="I33" s="285">
        <v>532406.5</v>
      </c>
      <c r="J33" s="9">
        <v>510521</v>
      </c>
      <c r="K33" s="9"/>
      <c r="L33" s="9"/>
      <c r="M33" s="9"/>
      <c r="N33" s="9"/>
      <c r="O33" s="9"/>
      <c r="P33" s="9"/>
      <c r="Q33" s="9"/>
    </row>
    <row r="34" spans="1:17" x14ac:dyDescent="0.35">
      <c r="A34" s="377"/>
      <c r="B34" s="8" t="s">
        <v>6</v>
      </c>
      <c r="C34" s="9"/>
      <c r="D34" s="9"/>
      <c r="E34" s="9"/>
      <c r="F34" s="9">
        <v>369484.17</v>
      </c>
      <c r="G34" s="9">
        <v>338901.17</v>
      </c>
      <c r="H34" s="9">
        <v>382404.08</v>
      </c>
      <c r="I34" s="9">
        <v>358055.33</v>
      </c>
      <c r="J34" s="9">
        <v>339292.08</v>
      </c>
      <c r="K34" s="9"/>
      <c r="L34" s="9"/>
      <c r="M34" s="9"/>
      <c r="N34" s="9"/>
      <c r="O34" s="9"/>
      <c r="P34" s="9"/>
      <c r="Q34" s="9"/>
    </row>
    <row r="35" spans="1:17" x14ac:dyDescent="0.35">
      <c r="A35" s="377"/>
      <c r="B35" s="8" t="s">
        <v>7</v>
      </c>
      <c r="C35" s="9"/>
      <c r="D35" s="9"/>
      <c r="E35" s="9"/>
      <c r="F35" s="9">
        <v>176413.58</v>
      </c>
      <c r="G35" s="9">
        <v>161950.04</v>
      </c>
      <c r="H35" s="9">
        <v>159564.85</v>
      </c>
      <c r="I35" s="9">
        <v>161897.04</v>
      </c>
      <c r="J35" s="9">
        <v>166955.96</v>
      </c>
      <c r="K35" s="9"/>
      <c r="L35" s="9"/>
      <c r="M35" s="9"/>
      <c r="N35" s="9"/>
      <c r="O35" s="9"/>
      <c r="P35" s="9"/>
      <c r="Q35" s="9"/>
    </row>
    <row r="36" spans="1:17" x14ac:dyDescent="0.35">
      <c r="A36" s="378"/>
      <c r="B36" s="8" t="s">
        <v>8</v>
      </c>
      <c r="C36" s="9"/>
      <c r="D36" s="9"/>
      <c r="E36" s="9"/>
      <c r="F36" s="9">
        <f t="shared" ref="F36:J36" si="20">F33-F34-F35</f>
        <v>4367.2500000000291</v>
      </c>
      <c r="G36" s="9">
        <f t="shared" si="20"/>
        <v>4570.7900000000081</v>
      </c>
      <c r="H36" s="9">
        <f t="shared" si="20"/>
        <v>27236.069999999978</v>
      </c>
      <c r="I36" s="9">
        <f t="shared" si="20"/>
        <v>12454.129999999976</v>
      </c>
      <c r="J36" s="9">
        <f t="shared" si="20"/>
        <v>4272.9599999999919</v>
      </c>
      <c r="K36" s="9"/>
      <c r="L36" s="9">
        <f t="shared" ref="L36:Q36" si="21">L33-L34-L35</f>
        <v>0</v>
      </c>
      <c r="M36" s="9">
        <f t="shared" si="21"/>
        <v>0</v>
      </c>
      <c r="N36" s="9">
        <f t="shared" si="21"/>
        <v>0</v>
      </c>
      <c r="O36" s="9">
        <f t="shared" si="21"/>
        <v>0</v>
      </c>
      <c r="P36" s="9">
        <f t="shared" si="21"/>
        <v>0</v>
      </c>
      <c r="Q36" s="9">
        <f t="shared" si="21"/>
        <v>0</v>
      </c>
    </row>
    <row r="37" spans="1:17" x14ac:dyDescent="0.35">
      <c r="C37" s="2">
        <f t="shared" ref="C37:I37" si="22">C36*80%</f>
        <v>0</v>
      </c>
      <c r="D37" s="2">
        <f t="shared" si="22"/>
        <v>0</v>
      </c>
      <c r="E37" s="2">
        <f t="shared" si="22"/>
        <v>0</v>
      </c>
      <c r="F37" s="2">
        <f t="shared" si="22"/>
        <v>3493.8000000000234</v>
      </c>
      <c r="G37" s="2">
        <f t="shared" si="22"/>
        <v>3656.6320000000069</v>
      </c>
      <c r="H37" s="2">
        <f t="shared" si="22"/>
        <v>21788.855999999985</v>
      </c>
      <c r="I37" s="2">
        <f t="shared" si="22"/>
        <v>9963.3039999999819</v>
      </c>
      <c r="J37" s="2">
        <f>J36*90%</f>
        <v>3845.6639999999929</v>
      </c>
      <c r="K37" s="2">
        <f t="shared" ref="K37:Q37" si="23">K36*80%</f>
        <v>0</v>
      </c>
      <c r="L37" s="2">
        <f t="shared" si="23"/>
        <v>0</v>
      </c>
      <c r="M37" s="2">
        <f t="shared" si="23"/>
        <v>0</v>
      </c>
      <c r="N37" s="2">
        <f t="shared" si="23"/>
        <v>0</v>
      </c>
      <c r="O37" s="2">
        <f t="shared" si="23"/>
        <v>0</v>
      </c>
      <c r="P37" s="2">
        <f t="shared" si="23"/>
        <v>0</v>
      </c>
      <c r="Q37" s="2">
        <f t="shared" si="23"/>
        <v>0</v>
      </c>
    </row>
    <row r="38" spans="1:17" x14ac:dyDescent="0.3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5">
      <c r="A39" s="376">
        <v>6</v>
      </c>
      <c r="B39" s="5" t="s">
        <v>20</v>
      </c>
      <c r="C39" s="6"/>
      <c r="D39" s="6"/>
      <c r="E39" s="6"/>
      <c r="F39" s="6">
        <v>46023</v>
      </c>
      <c r="G39" s="6">
        <v>46054</v>
      </c>
      <c r="H39" s="6">
        <v>46082</v>
      </c>
      <c r="I39" s="6">
        <v>46113</v>
      </c>
      <c r="J39" s="6">
        <v>46143</v>
      </c>
      <c r="K39" s="6">
        <v>46174</v>
      </c>
      <c r="L39" s="6">
        <v>46204</v>
      </c>
      <c r="M39" s="6">
        <v>46235</v>
      </c>
      <c r="N39" s="6">
        <v>46266</v>
      </c>
      <c r="O39" s="6">
        <v>46296</v>
      </c>
      <c r="P39" s="6">
        <v>46327</v>
      </c>
      <c r="Q39" s="6">
        <v>46357</v>
      </c>
    </row>
    <row r="40" spans="1:17" x14ac:dyDescent="0.35">
      <c r="A40" s="377"/>
      <c r="B40" s="8" t="s">
        <v>5</v>
      </c>
      <c r="C40" s="9"/>
      <c r="D40" s="9"/>
      <c r="E40" s="9"/>
      <c r="F40" s="9">
        <v>623237</v>
      </c>
      <c r="G40" s="9">
        <v>519687.5</v>
      </c>
      <c r="H40" s="9">
        <v>560768</v>
      </c>
      <c r="I40" s="9">
        <v>516464</v>
      </c>
      <c r="J40" s="9">
        <v>606869</v>
      </c>
      <c r="K40" s="9"/>
      <c r="L40" s="9"/>
      <c r="M40" s="9"/>
      <c r="N40" s="9"/>
      <c r="O40" s="9"/>
      <c r="P40" s="9"/>
      <c r="Q40" s="9"/>
    </row>
    <row r="41" spans="1:17" x14ac:dyDescent="0.35">
      <c r="A41" s="377"/>
      <c r="B41" s="8" t="s">
        <v>6</v>
      </c>
      <c r="C41" s="9"/>
      <c r="D41" s="9"/>
      <c r="E41" s="9"/>
      <c r="F41" s="9">
        <v>419147.42</v>
      </c>
      <c r="G41" s="9">
        <v>349199.05</v>
      </c>
      <c r="H41" s="9">
        <v>376312.23</v>
      </c>
      <c r="I41" s="9">
        <v>347876.01</v>
      </c>
      <c r="J41" s="9">
        <v>402784.38</v>
      </c>
      <c r="K41" s="9"/>
      <c r="L41" s="9"/>
      <c r="M41" s="9"/>
      <c r="N41" s="9"/>
      <c r="O41" s="9"/>
      <c r="P41" s="9"/>
      <c r="Q41" s="9"/>
    </row>
    <row r="42" spans="1:17" x14ac:dyDescent="0.35">
      <c r="A42" s="377"/>
      <c r="B42" s="8" t="s">
        <v>7</v>
      </c>
      <c r="C42" s="9"/>
      <c r="D42" s="9"/>
      <c r="E42" s="9"/>
      <c r="F42" s="9">
        <v>182544.55</v>
      </c>
      <c r="G42" s="9">
        <v>136610.82999999999</v>
      </c>
      <c r="H42" s="9">
        <v>150903.62</v>
      </c>
      <c r="I42" s="9">
        <v>149537.45000000001</v>
      </c>
      <c r="J42" s="9">
        <v>157504.26999999999</v>
      </c>
      <c r="K42" s="9"/>
      <c r="L42" s="9"/>
      <c r="M42" s="9"/>
      <c r="N42" s="9"/>
      <c r="O42" s="9"/>
      <c r="P42" s="9"/>
      <c r="Q42" s="9"/>
    </row>
    <row r="43" spans="1:17" x14ac:dyDescent="0.35">
      <c r="A43" s="378"/>
      <c r="B43" s="8" t="s">
        <v>8</v>
      </c>
      <c r="C43" s="9"/>
      <c r="D43" s="9"/>
      <c r="E43" s="9"/>
      <c r="F43" s="9">
        <f t="shared" ref="F43:J43" si="24">F40-F41-F42</f>
        <v>21545.030000000028</v>
      </c>
      <c r="G43" s="9">
        <f t="shared" si="24"/>
        <v>33877.620000000024</v>
      </c>
      <c r="H43" s="9">
        <f t="shared" si="24"/>
        <v>33552.150000000023</v>
      </c>
      <c r="I43" s="9">
        <f t="shared" si="24"/>
        <v>19050.539999999979</v>
      </c>
      <c r="J43" s="9">
        <f t="shared" si="24"/>
        <v>46580.350000000006</v>
      </c>
      <c r="K43" s="9"/>
      <c r="L43" s="9">
        <f t="shared" ref="L43:Q43" si="25">L40-L41-L42</f>
        <v>0</v>
      </c>
      <c r="M43" s="9">
        <f t="shared" si="25"/>
        <v>0</v>
      </c>
      <c r="N43" s="9">
        <f t="shared" si="25"/>
        <v>0</v>
      </c>
      <c r="O43" s="9">
        <f t="shared" si="25"/>
        <v>0</v>
      </c>
      <c r="P43" s="9">
        <f t="shared" si="25"/>
        <v>0</v>
      </c>
      <c r="Q43" s="9">
        <f t="shared" si="25"/>
        <v>0</v>
      </c>
    </row>
    <row r="44" spans="1:17" x14ac:dyDescent="0.35">
      <c r="C44" s="2">
        <f t="shared" ref="C44:H44" si="26">C43*80%</f>
        <v>0</v>
      </c>
      <c r="D44" s="2">
        <f t="shared" si="26"/>
        <v>0</v>
      </c>
      <c r="E44" s="2">
        <f t="shared" si="26"/>
        <v>0</v>
      </c>
      <c r="F44" s="2">
        <f t="shared" si="26"/>
        <v>17236.024000000023</v>
      </c>
      <c r="G44" s="2">
        <f t="shared" si="26"/>
        <v>27102.09600000002</v>
      </c>
      <c r="H44" s="2">
        <f t="shared" si="26"/>
        <v>26841.720000000019</v>
      </c>
      <c r="I44" s="2">
        <f t="shared" ref="I44:J44" si="27">I43*90%</f>
        <v>17145.485999999983</v>
      </c>
      <c r="J44" s="2">
        <f t="shared" si="27"/>
        <v>41922.31500000001</v>
      </c>
      <c r="K44" s="2">
        <f t="shared" ref="K44:Q44" si="28">K43*80%</f>
        <v>0</v>
      </c>
      <c r="L44" s="2">
        <f t="shared" si="28"/>
        <v>0</v>
      </c>
      <c r="M44" s="2">
        <f t="shared" si="28"/>
        <v>0</v>
      </c>
      <c r="N44" s="2">
        <f t="shared" si="28"/>
        <v>0</v>
      </c>
      <c r="O44" s="2">
        <f t="shared" si="28"/>
        <v>0</v>
      </c>
      <c r="P44" s="2">
        <f t="shared" si="28"/>
        <v>0</v>
      </c>
      <c r="Q44" s="2">
        <f t="shared" si="28"/>
        <v>0</v>
      </c>
    </row>
    <row r="45" spans="1:17" x14ac:dyDescent="0.3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5">
      <c r="A46" s="376">
        <v>7</v>
      </c>
      <c r="B46" s="5" t="s">
        <v>39</v>
      </c>
      <c r="C46" s="6"/>
      <c r="D46" s="6"/>
      <c r="E46" s="6"/>
      <c r="F46" s="6">
        <v>46023</v>
      </c>
      <c r="G46" s="6">
        <v>46054</v>
      </c>
      <c r="H46" s="6">
        <v>46082</v>
      </c>
      <c r="I46" s="6">
        <v>46113</v>
      </c>
      <c r="J46" s="6">
        <v>46143</v>
      </c>
      <c r="K46" s="6">
        <v>46174</v>
      </c>
      <c r="L46" s="6">
        <v>46204</v>
      </c>
      <c r="M46" s="6">
        <v>46235</v>
      </c>
      <c r="N46" s="6">
        <v>46266</v>
      </c>
      <c r="O46" s="6">
        <v>46296</v>
      </c>
      <c r="P46" s="6">
        <v>46327</v>
      </c>
      <c r="Q46" s="6">
        <v>46357</v>
      </c>
    </row>
    <row r="47" spans="1:17" x14ac:dyDescent="0.35">
      <c r="A47" s="377"/>
      <c r="B47" s="8" t="s">
        <v>5</v>
      </c>
      <c r="C47" s="9"/>
      <c r="D47" s="9"/>
      <c r="E47" s="9"/>
      <c r="F47" s="9">
        <v>1092355</v>
      </c>
      <c r="G47" s="9">
        <v>949506.5</v>
      </c>
      <c r="H47" s="9">
        <v>1085109</v>
      </c>
      <c r="I47" s="9">
        <v>933014</v>
      </c>
      <c r="J47" s="9">
        <v>1068265</v>
      </c>
      <c r="K47" s="9"/>
      <c r="L47" s="9"/>
      <c r="M47" s="9"/>
      <c r="N47" s="9"/>
      <c r="O47" s="9"/>
      <c r="P47" s="9"/>
      <c r="Q47" s="9"/>
    </row>
    <row r="48" spans="1:17" x14ac:dyDescent="0.35">
      <c r="A48" s="377"/>
      <c r="B48" s="8" t="s">
        <v>6</v>
      </c>
      <c r="C48" s="9"/>
      <c r="D48" s="9"/>
      <c r="E48" s="9"/>
      <c r="F48" s="9">
        <v>740138.61</v>
      </c>
      <c r="G48" s="9">
        <v>643565.89</v>
      </c>
      <c r="H48" s="9">
        <v>734897.52</v>
      </c>
      <c r="I48" s="9">
        <v>633627.57999999996</v>
      </c>
      <c r="J48" s="9">
        <v>713069.08</v>
      </c>
      <c r="K48" s="9"/>
      <c r="L48" s="9"/>
      <c r="M48" s="9"/>
      <c r="N48" s="9"/>
      <c r="O48" s="9"/>
      <c r="P48" s="9"/>
      <c r="Q48" s="9"/>
    </row>
    <row r="49" spans="1:17" x14ac:dyDescent="0.35">
      <c r="A49" s="377"/>
      <c r="B49" s="8" t="s">
        <v>7</v>
      </c>
      <c r="C49" s="9"/>
      <c r="D49" s="9"/>
      <c r="E49" s="9"/>
      <c r="F49" s="9">
        <v>232540.1</v>
      </c>
      <c r="G49" s="9">
        <v>209121.08</v>
      </c>
      <c r="H49" s="9">
        <v>207575.54</v>
      </c>
      <c r="I49" s="9">
        <v>211533.47</v>
      </c>
      <c r="J49" s="9">
        <v>216734.31</v>
      </c>
      <c r="K49" s="9"/>
      <c r="L49" s="9"/>
      <c r="M49" s="9"/>
      <c r="N49" s="9"/>
      <c r="O49" s="9"/>
      <c r="P49" s="9"/>
      <c r="Q49" s="9"/>
    </row>
    <row r="50" spans="1:17" x14ac:dyDescent="0.35">
      <c r="A50" s="378"/>
      <c r="B50" s="8" t="s">
        <v>8</v>
      </c>
      <c r="C50" s="9"/>
      <c r="D50" s="9"/>
      <c r="E50" s="9"/>
      <c r="F50" s="9">
        <f t="shared" ref="F50:J50" si="29">F47-F48-F49</f>
        <v>119676.29000000001</v>
      </c>
      <c r="G50" s="9">
        <f t="shared" si="29"/>
        <v>96819.53</v>
      </c>
      <c r="H50" s="9">
        <f t="shared" si="29"/>
        <v>142635.93999999997</v>
      </c>
      <c r="I50" s="9">
        <f t="shared" si="29"/>
        <v>87852.950000000041</v>
      </c>
      <c r="J50" s="9">
        <f t="shared" si="29"/>
        <v>138461.61000000004</v>
      </c>
      <c r="K50" s="9"/>
      <c r="L50" s="9">
        <f t="shared" ref="L50:Q50" si="30">L47-L48-L49</f>
        <v>0</v>
      </c>
      <c r="M50" s="9">
        <f t="shared" si="30"/>
        <v>0</v>
      </c>
      <c r="N50" s="9">
        <f t="shared" si="30"/>
        <v>0</v>
      </c>
      <c r="O50" s="9">
        <f t="shared" si="30"/>
        <v>0</v>
      </c>
      <c r="P50" s="9">
        <f t="shared" si="30"/>
        <v>0</v>
      </c>
      <c r="Q50" s="9">
        <f t="shared" si="30"/>
        <v>0</v>
      </c>
    </row>
    <row r="51" spans="1:17" x14ac:dyDescent="0.35">
      <c r="C51" s="2">
        <f t="shared" ref="C51:H51" si="31">C50*80%</f>
        <v>0</v>
      </c>
      <c r="D51" s="2">
        <f t="shared" si="31"/>
        <v>0</v>
      </c>
      <c r="E51" s="2">
        <f t="shared" si="31"/>
        <v>0</v>
      </c>
      <c r="F51" s="2">
        <f t="shared" si="31"/>
        <v>95741.032000000007</v>
      </c>
      <c r="G51" s="2">
        <f t="shared" si="31"/>
        <v>77455.623999999996</v>
      </c>
      <c r="H51" s="2">
        <f t="shared" si="31"/>
        <v>114108.75199999998</v>
      </c>
      <c r="I51" s="2">
        <f t="shared" ref="I51:J51" si="32">I50*90%</f>
        <v>79067.655000000042</v>
      </c>
      <c r="J51" s="2">
        <f t="shared" si="32"/>
        <v>124615.44900000004</v>
      </c>
      <c r="K51" s="2">
        <f t="shared" ref="K51:Q51" si="33">K50*80%</f>
        <v>0</v>
      </c>
      <c r="L51" s="2">
        <f t="shared" si="33"/>
        <v>0</v>
      </c>
      <c r="M51" s="2">
        <f t="shared" si="33"/>
        <v>0</v>
      </c>
      <c r="N51" s="2">
        <f t="shared" si="33"/>
        <v>0</v>
      </c>
      <c r="O51" s="2">
        <f t="shared" si="33"/>
        <v>0</v>
      </c>
      <c r="P51" s="2">
        <f t="shared" si="33"/>
        <v>0</v>
      </c>
      <c r="Q51" s="2">
        <f t="shared" si="33"/>
        <v>0</v>
      </c>
    </row>
    <row r="52" spans="1:17" x14ac:dyDescent="0.3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35">
      <c r="A53" s="376">
        <v>8</v>
      </c>
      <c r="B53" s="5" t="s">
        <v>61</v>
      </c>
      <c r="C53" s="6"/>
      <c r="D53" s="6"/>
      <c r="E53" s="6"/>
      <c r="F53" s="6">
        <v>46023</v>
      </c>
      <c r="G53" s="6">
        <v>46054</v>
      </c>
      <c r="H53" s="6">
        <v>46082</v>
      </c>
      <c r="I53" s="6">
        <v>46113</v>
      </c>
      <c r="J53" s="6">
        <v>46143</v>
      </c>
      <c r="K53" s="6">
        <v>46174</v>
      </c>
      <c r="L53" s="6">
        <v>46204</v>
      </c>
      <c r="M53" s="6">
        <v>46235</v>
      </c>
      <c r="N53" s="6">
        <v>46266</v>
      </c>
      <c r="O53" s="6">
        <v>46296</v>
      </c>
      <c r="P53" s="6">
        <v>46327</v>
      </c>
      <c r="Q53" s="6">
        <v>46357</v>
      </c>
    </row>
    <row r="54" spans="1:17" x14ac:dyDescent="0.35">
      <c r="A54" s="377"/>
      <c r="B54" s="8" t="s">
        <v>5</v>
      </c>
      <c r="C54" s="9"/>
      <c r="D54" s="9"/>
      <c r="E54" s="9"/>
      <c r="F54" s="9">
        <v>468779</v>
      </c>
      <c r="G54" s="9">
        <v>389125.5</v>
      </c>
      <c r="H54" s="9">
        <v>443250</v>
      </c>
      <c r="I54" s="9">
        <v>318510.5</v>
      </c>
      <c r="J54" s="9">
        <v>382376</v>
      </c>
      <c r="K54" s="9"/>
      <c r="L54" s="9"/>
      <c r="M54" s="9"/>
      <c r="N54" s="9"/>
      <c r="O54" s="9"/>
      <c r="P54" s="9"/>
      <c r="Q54" s="9"/>
    </row>
    <row r="55" spans="1:17" x14ac:dyDescent="0.35">
      <c r="A55" s="377"/>
      <c r="B55" s="8" t="s">
        <v>6</v>
      </c>
      <c r="C55" s="9"/>
      <c r="D55" s="9"/>
      <c r="E55" s="9"/>
      <c r="F55" s="9">
        <v>316349.25</v>
      </c>
      <c r="G55" s="9">
        <v>263201.5</v>
      </c>
      <c r="H55" s="9">
        <v>301039.26</v>
      </c>
      <c r="I55" s="9">
        <v>215756.24</v>
      </c>
      <c r="J55" s="9">
        <v>254675.05</v>
      </c>
      <c r="K55" s="9"/>
      <c r="L55" s="9"/>
      <c r="M55" s="9"/>
      <c r="N55" s="9"/>
      <c r="O55" s="9"/>
      <c r="P55" s="9"/>
      <c r="Q55" s="9"/>
    </row>
    <row r="56" spans="1:17" x14ac:dyDescent="0.35">
      <c r="A56" s="377"/>
      <c r="B56" s="8" t="s">
        <v>7</v>
      </c>
      <c r="C56" s="9"/>
      <c r="D56" s="9"/>
      <c r="E56" s="9"/>
      <c r="F56" s="9">
        <v>128365</v>
      </c>
      <c r="G56" s="9">
        <v>116265</v>
      </c>
      <c r="H56" s="9">
        <v>109885.68</v>
      </c>
      <c r="I56" s="9">
        <v>101822.11</v>
      </c>
      <c r="J56" s="9">
        <v>126298.61</v>
      </c>
      <c r="K56" s="9"/>
      <c r="L56" s="9"/>
      <c r="M56" s="9"/>
      <c r="N56" s="9"/>
      <c r="O56" s="9"/>
      <c r="P56" s="9"/>
      <c r="Q56" s="9"/>
    </row>
    <row r="57" spans="1:17" x14ac:dyDescent="0.35">
      <c r="A57" s="378"/>
      <c r="B57" s="8" t="s">
        <v>8</v>
      </c>
      <c r="C57" s="9"/>
      <c r="D57" s="9"/>
      <c r="E57" s="9"/>
      <c r="F57" s="9">
        <f t="shared" ref="F57:J57" si="34">F54-F55-F56</f>
        <v>24064.75</v>
      </c>
      <c r="G57" s="9">
        <f t="shared" si="34"/>
        <v>9659</v>
      </c>
      <c r="H57" s="9">
        <f t="shared" si="34"/>
        <v>32325.059999999998</v>
      </c>
      <c r="I57" s="9">
        <f t="shared" si="34"/>
        <v>932.15000000000873</v>
      </c>
      <c r="J57" s="9">
        <f t="shared" si="34"/>
        <v>1402.3400000000111</v>
      </c>
      <c r="K57" s="9"/>
      <c r="L57" s="9">
        <f t="shared" ref="L57:Q57" si="35">L54-L55-L56</f>
        <v>0</v>
      </c>
      <c r="M57" s="9">
        <f t="shared" si="35"/>
        <v>0</v>
      </c>
      <c r="N57" s="9">
        <f t="shared" si="35"/>
        <v>0</v>
      </c>
      <c r="O57" s="9">
        <f t="shared" si="35"/>
        <v>0</v>
      </c>
      <c r="P57" s="9">
        <f t="shared" si="35"/>
        <v>0</v>
      </c>
      <c r="Q57" s="9">
        <f t="shared" si="35"/>
        <v>0</v>
      </c>
    </row>
    <row r="58" spans="1:17" x14ac:dyDescent="0.35">
      <c r="C58" s="2">
        <f t="shared" ref="C58:H58" si="36">C57*80%</f>
        <v>0</v>
      </c>
      <c r="D58" s="2">
        <f t="shared" si="36"/>
        <v>0</v>
      </c>
      <c r="E58" s="2">
        <f t="shared" si="36"/>
        <v>0</v>
      </c>
      <c r="F58" s="2">
        <f t="shared" si="36"/>
        <v>19251.8</v>
      </c>
      <c r="G58" s="2">
        <f t="shared" si="36"/>
        <v>7727.2000000000007</v>
      </c>
      <c r="H58" s="2">
        <f t="shared" si="36"/>
        <v>25860.047999999999</v>
      </c>
      <c r="I58" s="2">
        <f t="shared" ref="I58:J58" si="37">I57*90%</f>
        <v>838.9350000000079</v>
      </c>
      <c r="J58" s="2">
        <f t="shared" si="37"/>
        <v>1262.10600000001</v>
      </c>
      <c r="K58" s="2">
        <f t="shared" ref="K58:Q58" si="38">K57*80%</f>
        <v>0</v>
      </c>
      <c r="L58" s="2">
        <f t="shared" si="38"/>
        <v>0</v>
      </c>
      <c r="M58" s="2">
        <f t="shared" si="38"/>
        <v>0</v>
      </c>
      <c r="N58" s="2">
        <f t="shared" si="38"/>
        <v>0</v>
      </c>
      <c r="O58" s="2">
        <f t="shared" si="38"/>
        <v>0</v>
      </c>
      <c r="P58" s="2">
        <f t="shared" si="38"/>
        <v>0</v>
      </c>
      <c r="Q58" s="2">
        <f t="shared" si="38"/>
        <v>0</v>
      </c>
    </row>
    <row r="59" spans="1:17" x14ac:dyDescent="0.3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35">
      <c r="A60" s="376">
        <v>9</v>
      </c>
      <c r="B60" s="5" t="s">
        <v>78</v>
      </c>
      <c r="C60" s="6"/>
      <c r="D60" s="6"/>
      <c r="E60" s="6"/>
      <c r="F60" s="6">
        <v>46023</v>
      </c>
      <c r="G60" s="6">
        <v>46054</v>
      </c>
      <c r="H60" s="6">
        <v>46082</v>
      </c>
      <c r="I60" s="6">
        <v>46113</v>
      </c>
      <c r="J60" s="6">
        <v>46143</v>
      </c>
      <c r="K60" s="6">
        <v>46174</v>
      </c>
      <c r="L60" s="6">
        <v>46204</v>
      </c>
      <c r="M60" s="6">
        <v>46235</v>
      </c>
      <c r="N60" s="6">
        <v>46266</v>
      </c>
      <c r="O60" s="6">
        <v>46296</v>
      </c>
      <c r="P60" s="6">
        <v>46327</v>
      </c>
      <c r="Q60" s="6">
        <v>46357</v>
      </c>
    </row>
    <row r="61" spans="1:17" x14ac:dyDescent="0.35">
      <c r="A61" s="377"/>
      <c r="B61" s="8" t="s">
        <v>5</v>
      </c>
      <c r="C61" s="9"/>
      <c r="D61" s="9"/>
      <c r="E61" s="9"/>
      <c r="F61" s="9">
        <v>641725</v>
      </c>
      <c r="G61" s="9">
        <v>417047</v>
      </c>
      <c r="H61" s="9">
        <v>447154</v>
      </c>
      <c r="I61" s="9">
        <v>409185</v>
      </c>
      <c r="J61" s="9">
        <v>484452</v>
      </c>
      <c r="K61" s="9">
        <v>465862</v>
      </c>
      <c r="L61" s="9">
        <v>532773</v>
      </c>
      <c r="M61" s="9"/>
      <c r="N61" s="9"/>
      <c r="O61" s="9"/>
      <c r="P61" s="9"/>
      <c r="Q61" s="9"/>
    </row>
    <row r="62" spans="1:17" x14ac:dyDescent="0.35">
      <c r="A62" s="377"/>
      <c r="B62" s="8" t="s">
        <v>6</v>
      </c>
      <c r="C62" s="9"/>
      <c r="D62" s="9"/>
      <c r="E62" s="9"/>
      <c r="F62" s="9">
        <v>427735.27</v>
      </c>
      <c r="G62" s="9">
        <v>277927.56</v>
      </c>
      <c r="H62" s="9">
        <v>298492.17</v>
      </c>
      <c r="I62" s="9">
        <v>273576.87</v>
      </c>
      <c r="J62" s="9">
        <v>319769.34000000003</v>
      </c>
      <c r="K62" s="9">
        <v>306138.26</v>
      </c>
      <c r="L62" s="9">
        <v>350670.31</v>
      </c>
      <c r="M62" s="9"/>
      <c r="N62" s="9"/>
      <c r="O62" s="9"/>
      <c r="P62" s="9"/>
      <c r="Q62" s="9"/>
    </row>
    <row r="63" spans="1:17" x14ac:dyDescent="0.35">
      <c r="A63" s="377"/>
      <c r="B63" s="8" t="s">
        <v>7</v>
      </c>
      <c r="C63" s="9"/>
      <c r="D63" s="9"/>
      <c r="E63" s="9"/>
      <c r="F63" s="9">
        <v>175930.15</v>
      </c>
      <c r="G63" s="9">
        <v>135523.47</v>
      </c>
      <c r="H63" s="9">
        <v>130760</v>
      </c>
      <c r="I63" s="9">
        <v>145518.12</v>
      </c>
      <c r="J63" s="9">
        <v>137688.74</v>
      </c>
      <c r="K63" s="9">
        <v>118814.89</v>
      </c>
      <c r="L63" s="9">
        <v>149660.57999999999</v>
      </c>
      <c r="M63" s="9"/>
      <c r="N63" s="9"/>
      <c r="O63" s="9"/>
      <c r="P63" s="9"/>
      <c r="Q63" s="9"/>
    </row>
    <row r="64" spans="1:17" x14ac:dyDescent="0.35">
      <c r="A64" s="378"/>
      <c r="B64" s="8" t="s">
        <v>8</v>
      </c>
      <c r="C64" s="9"/>
      <c r="D64" s="9"/>
      <c r="E64" s="9"/>
      <c r="F64" s="9">
        <f t="shared" ref="F64:J64" si="39">F61-F62-F63</f>
        <v>38059.579999999987</v>
      </c>
      <c r="G64" s="9">
        <f t="shared" si="39"/>
        <v>3595.9700000000012</v>
      </c>
      <c r="H64" s="9">
        <f t="shared" si="39"/>
        <v>17901.830000000016</v>
      </c>
      <c r="I64" s="312">
        <f t="shared" si="39"/>
        <v>-9909.9899999999907</v>
      </c>
      <c r="J64" s="9">
        <f t="shared" si="39"/>
        <v>26993.919999999984</v>
      </c>
      <c r="K64" s="9">
        <v>40908</v>
      </c>
      <c r="L64" s="9">
        <f t="shared" ref="L64:Q64" si="40">L61-L62-L63</f>
        <v>32442.110000000015</v>
      </c>
      <c r="M64" s="9">
        <f t="shared" si="40"/>
        <v>0</v>
      </c>
      <c r="N64" s="9">
        <f t="shared" si="40"/>
        <v>0</v>
      </c>
      <c r="O64" s="9">
        <f t="shared" si="40"/>
        <v>0</v>
      </c>
      <c r="P64" s="9">
        <f t="shared" si="40"/>
        <v>0</v>
      </c>
      <c r="Q64" s="9">
        <f t="shared" si="40"/>
        <v>0</v>
      </c>
    </row>
    <row r="65" spans="1:17" x14ac:dyDescent="0.35">
      <c r="C65" s="2">
        <f t="shared" ref="C65:H65" si="41">C64*80%</f>
        <v>0</v>
      </c>
      <c r="D65" s="2">
        <f t="shared" si="41"/>
        <v>0</v>
      </c>
      <c r="E65" s="2">
        <f t="shared" si="41"/>
        <v>0</v>
      </c>
      <c r="F65" s="2">
        <f t="shared" si="41"/>
        <v>30447.66399999999</v>
      </c>
      <c r="G65" s="2">
        <f t="shared" si="41"/>
        <v>2876.7760000000012</v>
      </c>
      <c r="H65" s="2">
        <f t="shared" si="41"/>
        <v>14321.464000000014</v>
      </c>
      <c r="I65" s="315">
        <f t="shared" ref="I65:J65" si="42">I64*90%</f>
        <v>-8918.9909999999927</v>
      </c>
      <c r="J65" s="2">
        <f t="shared" si="42"/>
        <v>24294.527999999988</v>
      </c>
      <c r="K65" s="2">
        <f t="shared" ref="K65:Q65" si="43">K64*80%</f>
        <v>32726.400000000001</v>
      </c>
      <c r="L65" s="2">
        <f t="shared" si="43"/>
        <v>25953.688000000013</v>
      </c>
      <c r="M65" s="2">
        <f t="shared" si="43"/>
        <v>0</v>
      </c>
      <c r="N65" s="2">
        <f t="shared" si="43"/>
        <v>0</v>
      </c>
      <c r="O65" s="2">
        <f t="shared" si="43"/>
        <v>0</v>
      </c>
      <c r="P65" s="2">
        <f t="shared" si="43"/>
        <v>0</v>
      </c>
      <c r="Q65" s="2">
        <f t="shared" si="43"/>
        <v>0</v>
      </c>
    </row>
    <row r="66" spans="1:17" x14ac:dyDescent="0.3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35">
      <c r="A67" s="376">
        <v>10</v>
      </c>
      <c r="B67" s="5" t="s">
        <v>94</v>
      </c>
      <c r="C67" s="6"/>
      <c r="D67" s="6"/>
      <c r="E67" s="6"/>
      <c r="F67" s="6">
        <v>46023</v>
      </c>
      <c r="G67" s="6">
        <v>46054</v>
      </c>
      <c r="H67" s="6">
        <v>46082</v>
      </c>
      <c r="I67" s="6">
        <v>46113</v>
      </c>
      <c r="J67" s="6">
        <v>46143</v>
      </c>
      <c r="K67" s="6">
        <v>46174</v>
      </c>
      <c r="L67" s="6">
        <v>46204</v>
      </c>
      <c r="M67" s="6">
        <v>46235</v>
      </c>
      <c r="N67" s="6">
        <v>46266</v>
      </c>
      <c r="O67" s="6">
        <v>46296</v>
      </c>
      <c r="P67" s="6">
        <v>46327</v>
      </c>
      <c r="Q67" s="6">
        <v>46357</v>
      </c>
    </row>
    <row r="68" spans="1:17" x14ac:dyDescent="0.35">
      <c r="A68" s="377"/>
      <c r="B68" s="8" t="s">
        <v>5</v>
      </c>
      <c r="C68" s="9"/>
      <c r="D68" s="9"/>
      <c r="E68" s="9"/>
      <c r="F68" s="9">
        <v>927633.5</v>
      </c>
      <c r="G68" s="9">
        <v>857516</v>
      </c>
      <c r="H68" s="9">
        <v>880472.5</v>
      </c>
      <c r="I68" s="9">
        <v>820028.5</v>
      </c>
      <c r="J68" s="9">
        <v>869541.5</v>
      </c>
      <c r="K68" s="9"/>
      <c r="L68" s="9"/>
      <c r="M68" s="9"/>
      <c r="N68" s="9"/>
      <c r="O68" s="9"/>
      <c r="P68" s="9"/>
      <c r="Q68" s="9"/>
    </row>
    <row r="69" spans="1:17" x14ac:dyDescent="0.35">
      <c r="A69" s="377"/>
      <c r="B69" s="8" t="s">
        <v>6</v>
      </c>
      <c r="C69" s="9"/>
      <c r="D69" s="9"/>
      <c r="E69" s="9"/>
      <c r="F69" s="9">
        <v>633026.54</v>
      </c>
      <c r="G69" s="9">
        <v>585143.92000000004</v>
      </c>
      <c r="H69" s="9">
        <v>600584.21</v>
      </c>
      <c r="I69" s="9">
        <v>557749.54</v>
      </c>
      <c r="J69" s="9">
        <v>586089.71</v>
      </c>
      <c r="K69" s="9"/>
      <c r="L69" s="9"/>
      <c r="M69" s="9"/>
      <c r="N69" s="9"/>
      <c r="O69" s="9"/>
      <c r="P69" s="9"/>
      <c r="Q69" s="9"/>
    </row>
    <row r="70" spans="1:17" x14ac:dyDescent="0.35">
      <c r="A70" s="377"/>
      <c r="B70" s="8" t="s">
        <v>7</v>
      </c>
      <c r="C70" s="9"/>
      <c r="D70" s="9"/>
      <c r="E70" s="9"/>
      <c r="F70" s="9">
        <v>233539.1</v>
      </c>
      <c r="G70" s="9">
        <v>184402.95</v>
      </c>
      <c r="H70" s="9">
        <v>196438.25</v>
      </c>
      <c r="I70" s="9">
        <v>201390.66</v>
      </c>
      <c r="J70" s="9">
        <v>209834.65</v>
      </c>
      <c r="K70" s="9"/>
      <c r="L70" s="9"/>
      <c r="M70" s="9"/>
      <c r="N70" s="9"/>
      <c r="O70" s="9"/>
      <c r="P70" s="9"/>
      <c r="Q70" s="9"/>
    </row>
    <row r="71" spans="1:17" x14ac:dyDescent="0.35">
      <c r="A71" s="378"/>
      <c r="B71" s="8" t="s">
        <v>8</v>
      </c>
      <c r="C71" s="9"/>
      <c r="D71" s="9"/>
      <c r="E71" s="9"/>
      <c r="F71" s="9">
        <f t="shared" ref="F71:J71" si="44">F68-F69-F70</f>
        <v>61067.859999999957</v>
      </c>
      <c r="G71" s="9">
        <f t="shared" si="44"/>
        <v>87969.129999999946</v>
      </c>
      <c r="H71" s="9">
        <f t="shared" si="44"/>
        <v>83450.040000000037</v>
      </c>
      <c r="I71" s="9">
        <f t="shared" si="44"/>
        <v>60888.299999999959</v>
      </c>
      <c r="J71" s="9">
        <f t="shared" si="44"/>
        <v>73617.140000000043</v>
      </c>
      <c r="K71" s="9"/>
      <c r="L71" s="9">
        <f t="shared" ref="L71:Q71" si="45">L68-L69-L70</f>
        <v>0</v>
      </c>
      <c r="M71" s="9">
        <f t="shared" si="45"/>
        <v>0</v>
      </c>
      <c r="N71" s="9">
        <f t="shared" si="45"/>
        <v>0</v>
      </c>
      <c r="O71" s="9">
        <f t="shared" si="45"/>
        <v>0</v>
      </c>
      <c r="P71" s="9">
        <f t="shared" si="45"/>
        <v>0</v>
      </c>
      <c r="Q71" s="9">
        <f t="shared" si="45"/>
        <v>0</v>
      </c>
    </row>
    <row r="72" spans="1:17" x14ac:dyDescent="0.35">
      <c r="C72" s="2">
        <f t="shared" ref="C72:H72" si="46">C71*80%</f>
        <v>0</v>
      </c>
      <c r="D72" s="2">
        <f t="shared" si="46"/>
        <v>0</v>
      </c>
      <c r="E72" s="2">
        <f t="shared" si="46"/>
        <v>0</v>
      </c>
      <c r="F72" s="2">
        <f t="shared" si="46"/>
        <v>48854.287999999971</v>
      </c>
      <c r="G72" s="2">
        <f t="shared" si="46"/>
        <v>70375.30399999996</v>
      </c>
      <c r="H72" s="2">
        <f t="shared" si="46"/>
        <v>66760.032000000036</v>
      </c>
      <c r="I72" s="2">
        <f t="shared" ref="I72:J72" si="47">I71*90%</f>
        <v>54799.469999999965</v>
      </c>
      <c r="J72" s="2">
        <f t="shared" si="47"/>
        <v>66255.426000000036</v>
      </c>
      <c r="K72" s="2">
        <f t="shared" ref="K72:Q72" si="48">K71*80%</f>
        <v>0</v>
      </c>
      <c r="L72" s="2">
        <f t="shared" si="48"/>
        <v>0</v>
      </c>
      <c r="M72" s="2">
        <f t="shared" si="48"/>
        <v>0</v>
      </c>
      <c r="N72" s="2">
        <f t="shared" si="48"/>
        <v>0</v>
      </c>
      <c r="O72" s="2">
        <f t="shared" si="48"/>
        <v>0</v>
      </c>
      <c r="P72" s="2">
        <f t="shared" si="48"/>
        <v>0</v>
      </c>
      <c r="Q72" s="2">
        <f t="shared" si="48"/>
        <v>0</v>
      </c>
    </row>
    <row r="73" spans="1:17" x14ac:dyDescent="0.3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35">
      <c r="A74" s="376">
        <v>11</v>
      </c>
      <c r="B74" s="5" t="s">
        <v>95</v>
      </c>
      <c r="C74" s="6"/>
      <c r="D74" s="6"/>
      <c r="E74" s="6"/>
      <c r="F74" s="6">
        <v>46023</v>
      </c>
      <c r="G74" s="6">
        <v>46054</v>
      </c>
      <c r="H74" s="6">
        <v>46082</v>
      </c>
      <c r="I74" s="6">
        <v>46113</v>
      </c>
      <c r="J74" s="6">
        <v>46143</v>
      </c>
      <c r="K74" s="6">
        <v>46174</v>
      </c>
      <c r="L74" s="6">
        <v>46204</v>
      </c>
      <c r="M74" s="6">
        <v>46235</v>
      </c>
      <c r="N74" s="6">
        <v>46266</v>
      </c>
      <c r="O74" s="6">
        <v>46296</v>
      </c>
      <c r="P74" s="6">
        <v>46327</v>
      </c>
      <c r="Q74" s="6">
        <v>46357</v>
      </c>
    </row>
    <row r="75" spans="1:17" x14ac:dyDescent="0.35">
      <c r="A75" s="377"/>
      <c r="B75" s="8" t="s">
        <v>5</v>
      </c>
      <c r="C75" s="9"/>
      <c r="D75" s="9"/>
      <c r="E75" s="9"/>
      <c r="F75" s="9">
        <v>635621.5</v>
      </c>
      <c r="G75" s="9">
        <v>518457</v>
      </c>
      <c r="H75" s="9">
        <v>611948</v>
      </c>
      <c r="I75" s="9">
        <v>524216</v>
      </c>
      <c r="J75" s="9">
        <v>657312</v>
      </c>
      <c r="K75" s="9"/>
      <c r="L75" s="9"/>
      <c r="M75" s="9"/>
      <c r="N75" s="9"/>
      <c r="O75" s="9"/>
      <c r="P75" s="9"/>
      <c r="Q75" s="9"/>
    </row>
    <row r="76" spans="1:17" x14ac:dyDescent="0.35">
      <c r="A76" s="377"/>
      <c r="B76" s="8" t="s">
        <v>6</v>
      </c>
      <c r="C76" s="9"/>
      <c r="D76" s="9"/>
      <c r="E76" s="9"/>
      <c r="F76" s="9">
        <v>426238.17</v>
      </c>
      <c r="G76" s="9">
        <v>348023.98</v>
      </c>
      <c r="H76" s="9">
        <v>411984.75</v>
      </c>
      <c r="I76" s="9">
        <v>353911.23</v>
      </c>
      <c r="J76" s="9">
        <v>432214.59</v>
      </c>
      <c r="K76" s="9"/>
      <c r="L76" s="9"/>
      <c r="M76" s="9"/>
      <c r="N76" s="9"/>
      <c r="O76" s="9"/>
      <c r="P76" s="9"/>
      <c r="Q76" s="9"/>
    </row>
    <row r="77" spans="1:17" x14ac:dyDescent="0.35">
      <c r="A77" s="377"/>
      <c r="B77" s="8" t="s">
        <v>7</v>
      </c>
      <c r="C77" s="9"/>
      <c r="D77" s="9"/>
      <c r="E77" s="9"/>
      <c r="F77" s="9">
        <v>199432.38</v>
      </c>
      <c r="G77" s="9">
        <v>146817.63</v>
      </c>
      <c r="H77" s="9">
        <v>179091.17</v>
      </c>
      <c r="I77" s="9">
        <v>169679.38</v>
      </c>
      <c r="J77" s="9">
        <v>188332.62</v>
      </c>
      <c r="K77" s="9"/>
      <c r="L77" s="9"/>
      <c r="M77" s="9"/>
      <c r="N77" s="9"/>
      <c r="O77" s="9"/>
      <c r="P77" s="9"/>
      <c r="Q77" s="9"/>
    </row>
    <row r="78" spans="1:17" x14ac:dyDescent="0.35">
      <c r="A78" s="378"/>
      <c r="B78" s="8" t="s">
        <v>8</v>
      </c>
      <c r="C78" s="9"/>
      <c r="D78" s="9"/>
      <c r="E78" s="9"/>
      <c r="F78" s="9">
        <f t="shared" ref="F78:J78" si="49">F75-F76-F77</f>
        <v>9950.9500000000116</v>
      </c>
      <c r="G78" s="9">
        <f t="shared" si="49"/>
        <v>23615.390000000014</v>
      </c>
      <c r="H78" s="9">
        <f t="shared" si="49"/>
        <v>20872.079999999987</v>
      </c>
      <c r="I78" s="9">
        <f t="shared" si="49"/>
        <v>625.39000000001397</v>
      </c>
      <c r="J78" s="9">
        <f t="shared" si="49"/>
        <v>36764.789999999979</v>
      </c>
      <c r="K78" s="9"/>
      <c r="L78" s="9">
        <f t="shared" ref="L78:Q78" si="50">L75-L76-L77</f>
        <v>0</v>
      </c>
      <c r="M78" s="9">
        <f t="shared" si="50"/>
        <v>0</v>
      </c>
      <c r="N78" s="9">
        <f t="shared" si="50"/>
        <v>0</v>
      </c>
      <c r="O78" s="9">
        <f t="shared" si="50"/>
        <v>0</v>
      </c>
      <c r="P78" s="9">
        <f t="shared" si="50"/>
        <v>0</v>
      </c>
      <c r="Q78" s="9">
        <f t="shared" si="50"/>
        <v>0</v>
      </c>
    </row>
    <row r="79" spans="1:17" x14ac:dyDescent="0.35">
      <c r="C79" s="2">
        <f t="shared" ref="C79:H79" si="51">C78*80%</f>
        <v>0</v>
      </c>
      <c r="D79" s="2">
        <f t="shared" si="51"/>
        <v>0</v>
      </c>
      <c r="E79" s="2">
        <f t="shared" si="51"/>
        <v>0</v>
      </c>
      <c r="F79" s="2">
        <f t="shared" si="51"/>
        <v>7960.7600000000093</v>
      </c>
      <c r="G79" s="2">
        <f t="shared" si="51"/>
        <v>18892.312000000013</v>
      </c>
      <c r="H79" s="2">
        <f t="shared" si="51"/>
        <v>16697.66399999999</v>
      </c>
      <c r="I79" s="2">
        <f t="shared" ref="I79:J79" si="52">I78*90%</f>
        <v>562.85100000001262</v>
      </c>
      <c r="J79" s="2">
        <f t="shared" si="52"/>
        <v>33088.31099999998</v>
      </c>
      <c r="K79" s="2">
        <f t="shared" ref="K79:Q79" si="53">K78*80%</f>
        <v>0</v>
      </c>
      <c r="L79" s="2">
        <f t="shared" si="53"/>
        <v>0</v>
      </c>
      <c r="M79" s="2">
        <f t="shared" si="53"/>
        <v>0</v>
      </c>
      <c r="N79" s="2">
        <f t="shared" si="53"/>
        <v>0</v>
      </c>
      <c r="O79" s="2">
        <f t="shared" si="53"/>
        <v>0</v>
      </c>
      <c r="P79" s="2">
        <f t="shared" si="53"/>
        <v>0</v>
      </c>
      <c r="Q79" s="2">
        <f t="shared" si="53"/>
        <v>0</v>
      </c>
    </row>
    <row r="80" spans="1:17" x14ac:dyDescent="0.3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35">
      <c r="A81" s="376">
        <v>12</v>
      </c>
      <c r="B81" s="5" t="s">
        <v>96</v>
      </c>
      <c r="C81" s="6"/>
      <c r="D81" s="6"/>
      <c r="E81" s="6"/>
      <c r="F81" s="6">
        <v>46023</v>
      </c>
      <c r="G81" s="6">
        <v>46054</v>
      </c>
      <c r="H81" s="6">
        <v>46082</v>
      </c>
      <c r="I81" s="6">
        <v>46113</v>
      </c>
      <c r="J81" s="6">
        <v>46143</v>
      </c>
      <c r="K81" s="6">
        <v>46174</v>
      </c>
      <c r="L81" s="6">
        <v>46204</v>
      </c>
      <c r="M81" s="6">
        <v>46235</v>
      </c>
      <c r="N81" s="6">
        <v>46266</v>
      </c>
      <c r="O81" s="6">
        <v>46296</v>
      </c>
      <c r="P81" s="6">
        <v>46327</v>
      </c>
      <c r="Q81" s="6">
        <v>46357</v>
      </c>
    </row>
    <row r="82" spans="1:17" x14ac:dyDescent="0.35">
      <c r="A82" s="377"/>
      <c r="B82" s="8" t="s">
        <v>5</v>
      </c>
      <c r="C82" s="9"/>
      <c r="D82" s="9"/>
      <c r="E82" s="9"/>
      <c r="F82" s="9">
        <v>655174.5</v>
      </c>
      <c r="G82" s="9">
        <v>441305</v>
      </c>
      <c r="H82" s="9">
        <v>471839.5</v>
      </c>
      <c r="I82" s="9">
        <v>462122.5</v>
      </c>
      <c r="J82" s="9">
        <v>486524.5</v>
      </c>
      <c r="K82" s="9"/>
      <c r="L82" s="9"/>
      <c r="M82" s="9"/>
      <c r="N82" s="9"/>
      <c r="O82" s="9"/>
      <c r="P82" s="9"/>
      <c r="Q82" s="9"/>
    </row>
    <row r="83" spans="1:17" x14ac:dyDescent="0.35">
      <c r="A83" s="377"/>
      <c r="B83" s="8" t="s">
        <v>6</v>
      </c>
      <c r="C83" s="9"/>
      <c r="D83" s="9"/>
      <c r="E83" s="9"/>
      <c r="F83" s="9">
        <v>436893.86</v>
      </c>
      <c r="G83" s="9">
        <v>294338.75</v>
      </c>
      <c r="H83" s="9">
        <v>312389.28999999998</v>
      </c>
      <c r="I83" s="9">
        <v>310352.77</v>
      </c>
      <c r="J83" s="9">
        <v>319741.89</v>
      </c>
      <c r="K83" s="9"/>
      <c r="L83" s="9"/>
      <c r="M83" s="9"/>
      <c r="N83" s="9"/>
      <c r="O83" s="9"/>
      <c r="P83" s="9"/>
      <c r="Q83" s="9"/>
    </row>
    <row r="84" spans="1:17" x14ac:dyDescent="0.35">
      <c r="A84" s="377"/>
      <c r="B84" s="8" t="s">
        <v>7</v>
      </c>
      <c r="C84" s="9"/>
      <c r="D84" s="9"/>
      <c r="E84" s="9"/>
      <c r="F84" s="9">
        <v>153013.24</v>
      </c>
      <c r="G84" s="9">
        <v>127769.13</v>
      </c>
      <c r="H84" s="9">
        <v>130929.22</v>
      </c>
      <c r="I84" s="9">
        <v>120602.9</v>
      </c>
      <c r="J84" s="9">
        <v>126278.15</v>
      </c>
      <c r="K84" s="9"/>
      <c r="L84" s="9"/>
      <c r="M84" s="9"/>
      <c r="N84" s="9"/>
      <c r="O84" s="9"/>
      <c r="P84" s="9"/>
      <c r="Q84" s="9"/>
    </row>
    <row r="85" spans="1:17" x14ac:dyDescent="0.35">
      <c r="A85" s="378"/>
      <c r="B85" s="8" t="s">
        <v>8</v>
      </c>
      <c r="C85" s="9"/>
      <c r="D85" s="9"/>
      <c r="E85" s="9"/>
      <c r="F85" s="9">
        <f t="shared" ref="F85:J85" si="54">F82-F83-F84</f>
        <v>65267.400000000023</v>
      </c>
      <c r="G85" s="9">
        <f t="shared" si="54"/>
        <v>19197.119999999995</v>
      </c>
      <c r="H85" s="9">
        <f t="shared" si="54"/>
        <v>28520.99000000002</v>
      </c>
      <c r="I85" s="9">
        <f t="shared" si="54"/>
        <v>31166.829999999987</v>
      </c>
      <c r="J85" s="9">
        <f t="shared" si="54"/>
        <v>40504.459999999992</v>
      </c>
      <c r="K85" s="9"/>
      <c r="L85" s="9">
        <f t="shared" ref="L85:Q85" si="55">L82-L83-L84</f>
        <v>0</v>
      </c>
      <c r="M85" s="9">
        <f t="shared" si="55"/>
        <v>0</v>
      </c>
      <c r="N85" s="9">
        <f t="shared" si="55"/>
        <v>0</v>
      </c>
      <c r="O85" s="9">
        <f t="shared" si="55"/>
        <v>0</v>
      </c>
      <c r="P85" s="9">
        <f t="shared" si="55"/>
        <v>0</v>
      </c>
      <c r="Q85" s="9">
        <f t="shared" si="55"/>
        <v>0</v>
      </c>
    </row>
    <row r="86" spans="1:17" x14ac:dyDescent="0.35">
      <c r="C86" s="2">
        <f t="shared" ref="C86:H86" si="56">C85*80%</f>
        <v>0</v>
      </c>
      <c r="D86" s="2">
        <f t="shared" si="56"/>
        <v>0</v>
      </c>
      <c r="E86" s="2">
        <f t="shared" si="56"/>
        <v>0</v>
      </c>
      <c r="F86" s="2">
        <f t="shared" si="56"/>
        <v>52213.92000000002</v>
      </c>
      <c r="G86" s="2">
        <f t="shared" si="56"/>
        <v>15357.695999999996</v>
      </c>
      <c r="H86" s="2">
        <f t="shared" si="56"/>
        <v>22816.792000000016</v>
      </c>
      <c r="I86" s="2">
        <f t="shared" ref="I86:J86" si="57">I85*90%</f>
        <v>28050.14699999999</v>
      </c>
      <c r="J86" s="2">
        <f t="shared" si="57"/>
        <v>36454.013999999996</v>
      </c>
      <c r="K86" s="2">
        <f t="shared" ref="K86:Q86" si="58">K85*80%</f>
        <v>0</v>
      </c>
      <c r="L86" s="2">
        <f t="shared" si="58"/>
        <v>0</v>
      </c>
      <c r="M86" s="2">
        <f t="shared" si="58"/>
        <v>0</v>
      </c>
      <c r="N86" s="2">
        <f t="shared" si="58"/>
        <v>0</v>
      </c>
      <c r="O86" s="2">
        <f t="shared" si="58"/>
        <v>0</v>
      </c>
      <c r="P86" s="2">
        <f t="shared" si="58"/>
        <v>0</v>
      </c>
      <c r="Q86" s="2">
        <f t="shared" si="58"/>
        <v>0</v>
      </c>
    </row>
    <row r="87" spans="1:17" x14ac:dyDescent="0.3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35">
      <c r="A88" s="376">
        <v>13</v>
      </c>
      <c r="B88" s="5" t="s">
        <v>97</v>
      </c>
      <c r="C88" s="6"/>
      <c r="D88" s="6"/>
      <c r="E88" s="6"/>
      <c r="F88" s="6">
        <v>46023</v>
      </c>
      <c r="G88" s="6">
        <v>46054</v>
      </c>
      <c r="H88" s="6">
        <v>46082</v>
      </c>
      <c r="I88" s="6">
        <v>46113</v>
      </c>
      <c r="J88" s="6">
        <v>46143</v>
      </c>
      <c r="K88" s="6">
        <v>46174</v>
      </c>
      <c r="L88" s="6">
        <v>46204</v>
      </c>
      <c r="M88" s="6">
        <v>46235</v>
      </c>
      <c r="N88" s="6">
        <v>46266</v>
      </c>
      <c r="O88" s="6">
        <v>46296</v>
      </c>
      <c r="P88" s="6">
        <v>46327</v>
      </c>
      <c r="Q88" s="6">
        <v>46357</v>
      </c>
    </row>
    <row r="89" spans="1:17" x14ac:dyDescent="0.35">
      <c r="A89" s="377"/>
      <c r="B89" s="8" t="s">
        <v>5</v>
      </c>
      <c r="C89" s="9"/>
      <c r="D89" s="9"/>
      <c r="E89" s="9"/>
      <c r="F89" s="9">
        <v>510732</v>
      </c>
      <c r="G89" s="9">
        <v>459714</v>
      </c>
      <c r="H89" s="9">
        <v>476253.5</v>
      </c>
      <c r="I89" s="9">
        <v>445491.5</v>
      </c>
      <c r="J89" s="9">
        <v>525463</v>
      </c>
      <c r="K89" s="9"/>
      <c r="L89" s="9"/>
      <c r="M89" s="9"/>
      <c r="N89" s="9"/>
      <c r="O89" s="9"/>
      <c r="P89" s="9"/>
      <c r="Q89" s="9"/>
    </row>
    <row r="90" spans="1:17" x14ac:dyDescent="0.35">
      <c r="A90" s="377"/>
      <c r="B90" s="8" t="s">
        <v>6</v>
      </c>
      <c r="C90" s="9"/>
      <c r="D90" s="9"/>
      <c r="E90" s="9"/>
      <c r="F90" s="9">
        <v>348854.75</v>
      </c>
      <c r="G90" s="9">
        <v>313454.75</v>
      </c>
      <c r="H90" s="9">
        <v>324943.64</v>
      </c>
      <c r="I90" s="9">
        <v>302841.03999999998</v>
      </c>
      <c r="J90" s="9">
        <v>353492.29</v>
      </c>
      <c r="K90" s="9"/>
      <c r="L90" s="9"/>
      <c r="M90" s="9"/>
      <c r="N90" s="9"/>
      <c r="O90" s="9"/>
      <c r="P90" s="9"/>
      <c r="Q90" s="9"/>
    </row>
    <row r="91" spans="1:17" x14ac:dyDescent="0.35">
      <c r="A91" s="377"/>
      <c r="B91" s="8" t="s">
        <v>7</v>
      </c>
      <c r="C91" s="9"/>
      <c r="D91" s="9"/>
      <c r="E91" s="9"/>
      <c r="F91" s="9">
        <v>160397.10999999999</v>
      </c>
      <c r="G91" s="9">
        <v>151486.71</v>
      </c>
      <c r="H91" s="9">
        <v>139775</v>
      </c>
      <c r="I91" s="9">
        <v>133328.01</v>
      </c>
      <c r="J91" s="9">
        <v>155081.59</v>
      </c>
      <c r="K91" s="9"/>
      <c r="L91" s="9"/>
      <c r="M91" s="9"/>
      <c r="N91" s="9"/>
      <c r="O91" s="9"/>
      <c r="P91" s="9"/>
      <c r="Q91" s="9"/>
    </row>
    <row r="92" spans="1:17" x14ac:dyDescent="0.35">
      <c r="A92" s="378"/>
      <c r="B92" s="8" t="s">
        <v>8</v>
      </c>
      <c r="C92" s="9"/>
      <c r="D92" s="9"/>
      <c r="E92" s="9"/>
      <c r="F92" s="9">
        <f t="shared" ref="F92:J92" si="59">F89-F90-F91</f>
        <v>1480.140000000014</v>
      </c>
      <c r="G92" s="9">
        <f t="shared" si="59"/>
        <v>-5227.4599999999919</v>
      </c>
      <c r="H92" s="9">
        <f t="shared" si="59"/>
        <v>11534.859999999986</v>
      </c>
      <c r="I92" s="9">
        <f t="shared" si="59"/>
        <v>9322.4500000000116</v>
      </c>
      <c r="J92" s="9">
        <f t="shared" si="59"/>
        <v>16889.120000000024</v>
      </c>
      <c r="K92" s="9"/>
      <c r="L92" s="9">
        <f t="shared" ref="L92:Q92" si="60">L89-L90-L91</f>
        <v>0</v>
      </c>
      <c r="M92" s="9">
        <f t="shared" si="60"/>
        <v>0</v>
      </c>
      <c r="N92" s="9">
        <f t="shared" si="60"/>
        <v>0</v>
      </c>
      <c r="O92" s="9">
        <f t="shared" si="60"/>
        <v>0</v>
      </c>
      <c r="P92" s="9">
        <f t="shared" si="60"/>
        <v>0</v>
      </c>
      <c r="Q92" s="9">
        <f t="shared" si="60"/>
        <v>0</v>
      </c>
    </row>
    <row r="93" spans="1:17" x14ac:dyDescent="0.35">
      <c r="C93" s="2">
        <f t="shared" ref="C93:H93" si="61">C92*80%</f>
        <v>0</v>
      </c>
      <c r="D93" s="2">
        <f t="shared" si="61"/>
        <v>0</v>
      </c>
      <c r="E93" s="2">
        <f t="shared" si="61"/>
        <v>0</v>
      </c>
      <c r="F93" s="2">
        <f t="shared" si="61"/>
        <v>1184.1120000000112</v>
      </c>
      <c r="G93" s="2">
        <f t="shared" si="61"/>
        <v>-4181.9679999999935</v>
      </c>
      <c r="H93" s="2">
        <f t="shared" si="61"/>
        <v>9227.8879999999899</v>
      </c>
      <c r="I93" s="2">
        <f t="shared" ref="I93:J93" si="62">I92*90%</f>
        <v>8390.2050000000108</v>
      </c>
      <c r="J93" s="2">
        <f t="shared" si="62"/>
        <v>15200.208000000022</v>
      </c>
      <c r="K93" s="2">
        <f t="shared" ref="K93:Q93" si="63">K92*80%</f>
        <v>0</v>
      </c>
      <c r="L93" s="2">
        <f t="shared" si="63"/>
        <v>0</v>
      </c>
      <c r="M93" s="2">
        <f t="shared" si="63"/>
        <v>0</v>
      </c>
      <c r="N93" s="2">
        <f t="shared" si="63"/>
        <v>0</v>
      </c>
      <c r="O93" s="2">
        <f t="shared" si="63"/>
        <v>0</v>
      </c>
      <c r="P93" s="2">
        <f t="shared" si="63"/>
        <v>0</v>
      </c>
      <c r="Q93" s="2">
        <f t="shared" si="63"/>
        <v>0</v>
      </c>
    </row>
    <row r="94" spans="1:17" x14ac:dyDescent="0.3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35">
      <c r="A95" s="376">
        <v>14</v>
      </c>
      <c r="B95" s="5" t="s">
        <v>99</v>
      </c>
      <c r="C95" s="6"/>
      <c r="D95" s="6"/>
      <c r="E95" s="6"/>
      <c r="F95" s="6">
        <v>46023</v>
      </c>
      <c r="G95" s="6">
        <v>46054</v>
      </c>
      <c r="H95" s="6">
        <v>46082</v>
      </c>
      <c r="I95" s="6">
        <v>46113</v>
      </c>
      <c r="J95" s="6">
        <v>46143</v>
      </c>
      <c r="K95" s="6">
        <v>46174</v>
      </c>
      <c r="L95" s="6">
        <v>46204</v>
      </c>
      <c r="M95" s="6">
        <v>46235</v>
      </c>
      <c r="N95" s="6">
        <v>46266</v>
      </c>
      <c r="O95" s="6">
        <v>46296</v>
      </c>
      <c r="P95" s="6">
        <v>46327</v>
      </c>
      <c r="Q95" s="6">
        <v>46357</v>
      </c>
    </row>
    <row r="96" spans="1:17" x14ac:dyDescent="0.35">
      <c r="A96" s="377"/>
      <c r="B96" s="8" t="s">
        <v>5</v>
      </c>
      <c r="C96" s="9"/>
      <c r="D96" s="9"/>
      <c r="E96" s="9"/>
      <c r="F96" s="9">
        <v>540963</v>
      </c>
      <c r="G96" s="9">
        <v>478890</v>
      </c>
      <c r="H96" s="9">
        <v>495109</v>
      </c>
      <c r="I96" s="9">
        <v>446221.5</v>
      </c>
      <c r="J96" s="9">
        <v>456652.5</v>
      </c>
      <c r="K96" s="9"/>
      <c r="L96" s="9"/>
      <c r="M96" s="9"/>
      <c r="N96" s="9"/>
      <c r="O96" s="9"/>
      <c r="P96" s="9"/>
      <c r="Q96" s="9"/>
    </row>
    <row r="97" spans="1:17" x14ac:dyDescent="0.35">
      <c r="A97" s="377"/>
      <c r="B97" s="8" t="s">
        <v>6</v>
      </c>
      <c r="C97" s="9"/>
      <c r="D97" s="9"/>
      <c r="E97" s="9"/>
      <c r="F97" s="9">
        <v>359062.46</v>
      </c>
      <c r="G97" s="9">
        <v>318786.13</v>
      </c>
      <c r="H97" s="9">
        <v>329923.08</v>
      </c>
      <c r="I97" s="9">
        <v>295731.8</v>
      </c>
      <c r="J97" s="9">
        <v>302095.08</v>
      </c>
      <c r="K97" s="9"/>
      <c r="L97" s="9"/>
      <c r="M97" s="9"/>
      <c r="N97" s="9"/>
      <c r="O97" s="9"/>
      <c r="P97" s="9"/>
      <c r="Q97" s="9"/>
    </row>
    <row r="98" spans="1:17" x14ac:dyDescent="0.35">
      <c r="A98" s="377"/>
      <c r="B98" s="8" t="s">
        <v>7</v>
      </c>
      <c r="C98" s="9"/>
      <c r="D98" s="9"/>
      <c r="E98" s="9"/>
      <c r="F98" s="9">
        <v>184185.17</v>
      </c>
      <c r="G98" s="9">
        <v>154773.91</v>
      </c>
      <c r="H98" s="9">
        <v>150503.47</v>
      </c>
      <c r="I98" s="9">
        <v>151764.23000000001</v>
      </c>
      <c r="J98" s="9">
        <v>160625.34</v>
      </c>
      <c r="K98" s="9"/>
      <c r="L98" s="9"/>
      <c r="M98" s="9"/>
      <c r="N98" s="9"/>
      <c r="O98" s="9"/>
      <c r="P98" s="9"/>
      <c r="Q98" s="9"/>
    </row>
    <row r="99" spans="1:17" x14ac:dyDescent="0.35">
      <c r="A99" s="378"/>
      <c r="B99" s="8" t="s">
        <v>8</v>
      </c>
      <c r="C99" s="9"/>
      <c r="D99" s="9"/>
      <c r="E99" s="9"/>
      <c r="F99" s="9">
        <f t="shared" ref="F99:J99" si="64">F96-F97-F98</f>
        <v>-2284.6300000000338</v>
      </c>
      <c r="G99" s="9">
        <f t="shared" si="64"/>
        <v>5329.9599999999919</v>
      </c>
      <c r="H99" s="9">
        <f t="shared" si="64"/>
        <v>14682.449999999983</v>
      </c>
      <c r="I99" s="312">
        <f t="shared" si="64"/>
        <v>-1274.5299999999988</v>
      </c>
      <c r="J99" s="312">
        <f t="shared" si="64"/>
        <v>-6067.9200000000128</v>
      </c>
      <c r="K99" s="9"/>
      <c r="L99" s="9">
        <f t="shared" ref="L99:Q99" si="65">L96-L97-L98</f>
        <v>0</v>
      </c>
      <c r="M99" s="9">
        <f t="shared" si="65"/>
        <v>0</v>
      </c>
      <c r="N99" s="9">
        <f t="shared" si="65"/>
        <v>0</v>
      </c>
      <c r="O99" s="9">
        <f t="shared" si="65"/>
        <v>0</v>
      </c>
      <c r="P99" s="9">
        <f t="shared" si="65"/>
        <v>0</v>
      </c>
      <c r="Q99" s="9">
        <f t="shared" si="65"/>
        <v>0</v>
      </c>
    </row>
    <row r="100" spans="1:17" x14ac:dyDescent="0.35">
      <c r="C100" s="2">
        <f t="shared" ref="C100:H100" si="66">C99*80%</f>
        <v>0</v>
      </c>
      <c r="D100" s="2">
        <f t="shared" si="66"/>
        <v>0</v>
      </c>
      <c r="E100" s="2">
        <f t="shared" si="66"/>
        <v>0</v>
      </c>
      <c r="F100" s="2">
        <f t="shared" si="66"/>
        <v>-1827.704000000027</v>
      </c>
      <c r="G100" s="2">
        <f t="shared" si="66"/>
        <v>4263.9679999999935</v>
      </c>
      <c r="H100" s="2">
        <f t="shared" si="66"/>
        <v>11745.959999999986</v>
      </c>
      <c r="I100" s="315">
        <f t="shared" ref="I100:J100" si="67">I99*90%</f>
        <v>-1147.0769999999991</v>
      </c>
      <c r="J100" s="315">
        <f t="shared" si="67"/>
        <v>-5461.1280000000115</v>
      </c>
      <c r="K100" s="2">
        <f t="shared" ref="K100:Q100" si="68">K99*80%</f>
        <v>0</v>
      </c>
      <c r="L100" s="2">
        <f t="shared" si="68"/>
        <v>0</v>
      </c>
      <c r="M100" s="2">
        <f t="shared" si="68"/>
        <v>0</v>
      </c>
      <c r="N100" s="2">
        <f t="shared" si="68"/>
        <v>0</v>
      </c>
      <c r="O100" s="2">
        <f t="shared" si="68"/>
        <v>0</v>
      </c>
      <c r="P100" s="2">
        <f t="shared" si="68"/>
        <v>0</v>
      </c>
      <c r="Q100" s="2">
        <f t="shared" si="68"/>
        <v>0</v>
      </c>
    </row>
    <row r="101" spans="1:17" x14ac:dyDescent="0.35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35">
      <c r="A102" s="376">
        <v>15</v>
      </c>
      <c r="B102" s="5" t="s">
        <v>100</v>
      </c>
      <c r="C102" s="6"/>
      <c r="D102" s="6"/>
      <c r="E102" s="6"/>
      <c r="F102" s="6">
        <v>46023</v>
      </c>
      <c r="G102" s="6">
        <v>46054</v>
      </c>
      <c r="H102" s="6">
        <v>46082</v>
      </c>
      <c r="I102" s="6">
        <v>46113</v>
      </c>
      <c r="J102" s="6">
        <v>46143</v>
      </c>
      <c r="K102" s="6">
        <v>46174</v>
      </c>
      <c r="L102" s="6">
        <v>46204</v>
      </c>
      <c r="M102" s="6">
        <v>46235</v>
      </c>
      <c r="N102" s="6">
        <v>46266</v>
      </c>
      <c r="O102" s="6">
        <v>46296</v>
      </c>
      <c r="P102" s="6">
        <v>46327</v>
      </c>
      <c r="Q102" s="6">
        <v>46357</v>
      </c>
    </row>
    <row r="103" spans="1:17" x14ac:dyDescent="0.35">
      <c r="A103" s="377"/>
      <c r="B103" s="8" t="s">
        <v>5</v>
      </c>
      <c r="C103" s="9"/>
      <c r="D103" s="9"/>
      <c r="E103" s="9"/>
      <c r="F103" s="9">
        <v>1716607</v>
      </c>
      <c r="G103" s="9">
        <v>1523258.5</v>
      </c>
      <c r="H103" s="9">
        <v>1752146.5</v>
      </c>
      <c r="I103" s="9">
        <v>1554635</v>
      </c>
      <c r="J103" s="9">
        <v>1864053</v>
      </c>
      <c r="K103" s="9"/>
      <c r="L103" s="9"/>
      <c r="M103" s="9"/>
      <c r="N103" s="9"/>
      <c r="O103" s="9"/>
      <c r="P103" s="9"/>
      <c r="Q103" s="9"/>
    </row>
    <row r="104" spans="1:17" x14ac:dyDescent="0.35">
      <c r="A104" s="377"/>
      <c r="B104" s="8" t="s">
        <v>6</v>
      </c>
      <c r="C104" s="9"/>
      <c r="D104" s="9"/>
      <c r="E104" s="9"/>
      <c r="F104" s="9">
        <v>1158880.18</v>
      </c>
      <c r="G104" s="9">
        <v>1027295.84</v>
      </c>
      <c r="H104" s="9">
        <v>1181854.78</v>
      </c>
      <c r="I104" s="9">
        <v>1047941</v>
      </c>
      <c r="J104" s="9">
        <v>1247850.55</v>
      </c>
      <c r="K104" s="9"/>
      <c r="L104" s="9"/>
      <c r="M104" s="9"/>
      <c r="N104" s="9"/>
      <c r="O104" s="9"/>
      <c r="P104" s="9"/>
      <c r="Q104" s="9"/>
    </row>
    <row r="105" spans="1:17" x14ac:dyDescent="0.35">
      <c r="A105" s="377"/>
      <c r="B105" s="8" t="s">
        <v>7</v>
      </c>
      <c r="C105" s="9"/>
      <c r="D105" s="9"/>
      <c r="E105" s="9"/>
      <c r="F105" s="9">
        <v>439987.32</v>
      </c>
      <c r="G105" s="9">
        <v>331234.45</v>
      </c>
      <c r="H105" s="9">
        <v>431592.44</v>
      </c>
      <c r="I105" s="9">
        <v>407744.98</v>
      </c>
      <c r="J105" s="9">
        <v>406787.17</v>
      </c>
      <c r="K105" s="9"/>
      <c r="L105" s="9"/>
      <c r="M105" s="9"/>
      <c r="N105" s="9"/>
      <c r="O105" s="9"/>
      <c r="P105" s="9"/>
      <c r="Q105" s="9"/>
    </row>
    <row r="106" spans="1:17" x14ac:dyDescent="0.35">
      <c r="A106" s="378"/>
      <c r="B106" s="8" t="s">
        <v>8</v>
      </c>
      <c r="C106" s="9"/>
      <c r="D106" s="9"/>
      <c r="E106" s="9"/>
      <c r="F106" s="9">
        <f t="shared" ref="F106:J106" si="69">F103-F104-F105</f>
        <v>117739.50000000006</v>
      </c>
      <c r="G106" s="9">
        <f t="shared" si="69"/>
        <v>164728.21000000002</v>
      </c>
      <c r="H106" s="9">
        <f t="shared" si="69"/>
        <v>138699.27999999997</v>
      </c>
      <c r="I106" s="9">
        <f t="shared" si="69"/>
        <v>98949.020000000019</v>
      </c>
      <c r="J106" s="9">
        <f t="shared" si="69"/>
        <v>209415.27999999997</v>
      </c>
      <c r="K106" s="9"/>
      <c r="L106" s="9">
        <f t="shared" ref="L106:Q106" si="70">L103-L104-L105</f>
        <v>0</v>
      </c>
      <c r="M106" s="9">
        <f t="shared" si="70"/>
        <v>0</v>
      </c>
      <c r="N106" s="9">
        <f t="shared" si="70"/>
        <v>0</v>
      </c>
      <c r="O106" s="9">
        <f t="shared" si="70"/>
        <v>0</v>
      </c>
      <c r="P106" s="9">
        <f t="shared" si="70"/>
        <v>0</v>
      </c>
      <c r="Q106" s="9">
        <f t="shared" si="70"/>
        <v>0</v>
      </c>
    </row>
    <row r="107" spans="1:17" x14ac:dyDescent="0.35">
      <c r="C107" s="2">
        <f t="shared" ref="C107:H107" si="71">C106*80%</f>
        <v>0</v>
      </c>
      <c r="D107" s="2">
        <f t="shared" si="71"/>
        <v>0</v>
      </c>
      <c r="E107" s="2">
        <f t="shared" si="71"/>
        <v>0</v>
      </c>
      <c r="F107" s="2">
        <f t="shared" si="71"/>
        <v>94191.600000000049</v>
      </c>
      <c r="G107" s="2">
        <f t="shared" si="71"/>
        <v>131782.56800000003</v>
      </c>
      <c r="H107" s="2">
        <f t="shared" si="71"/>
        <v>110959.42399999998</v>
      </c>
      <c r="I107" s="2">
        <f t="shared" ref="I107:J107" si="72">I106*90%</f>
        <v>89054.118000000017</v>
      </c>
      <c r="J107" s="2">
        <f t="shared" si="72"/>
        <v>188473.75199999998</v>
      </c>
      <c r="K107" s="2">
        <f t="shared" ref="K107:Q107" si="73">K106*80%</f>
        <v>0</v>
      </c>
      <c r="L107" s="2">
        <f t="shared" si="73"/>
        <v>0</v>
      </c>
      <c r="M107" s="2">
        <f t="shared" si="73"/>
        <v>0</v>
      </c>
      <c r="N107" s="2">
        <f t="shared" si="73"/>
        <v>0</v>
      </c>
      <c r="O107" s="2">
        <f t="shared" si="73"/>
        <v>0</v>
      </c>
      <c r="P107" s="2">
        <f t="shared" si="73"/>
        <v>0</v>
      </c>
      <c r="Q107" s="2">
        <f t="shared" si="73"/>
        <v>0</v>
      </c>
    </row>
    <row r="108" spans="1:17" x14ac:dyDescent="0.3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35">
      <c r="A109" s="376">
        <v>16</v>
      </c>
      <c r="B109" s="5" t="s">
        <v>101</v>
      </c>
      <c r="C109" s="6"/>
      <c r="D109" s="6"/>
      <c r="E109" s="6"/>
      <c r="F109" s="6">
        <v>46023</v>
      </c>
      <c r="G109" s="6">
        <v>46054</v>
      </c>
      <c r="H109" s="6">
        <v>46082</v>
      </c>
      <c r="I109" s="6">
        <v>46113</v>
      </c>
      <c r="J109" s="6">
        <v>46143</v>
      </c>
      <c r="K109" s="6">
        <v>46174</v>
      </c>
      <c r="L109" s="6">
        <v>46204</v>
      </c>
      <c r="M109" s="6">
        <v>46235</v>
      </c>
      <c r="N109" s="6">
        <v>46266</v>
      </c>
      <c r="O109" s="6">
        <v>46296</v>
      </c>
      <c r="P109" s="6">
        <v>46327</v>
      </c>
      <c r="Q109" s="6">
        <v>46357</v>
      </c>
    </row>
    <row r="110" spans="1:17" x14ac:dyDescent="0.35">
      <c r="A110" s="377"/>
      <c r="B110" s="8" t="s">
        <v>5</v>
      </c>
      <c r="C110" s="9"/>
      <c r="D110" s="9"/>
      <c r="E110" s="9"/>
      <c r="F110" s="9">
        <v>1059917</v>
      </c>
      <c r="G110" s="9">
        <v>865277.5</v>
      </c>
      <c r="H110" s="9">
        <v>922653</v>
      </c>
      <c r="I110" s="9">
        <v>847684.5</v>
      </c>
      <c r="J110" s="9">
        <v>893950</v>
      </c>
      <c r="K110" s="9"/>
      <c r="L110" s="9"/>
      <c r="M110" s="9"/>
      <c r="N110" s="9"/>
      <c r="O110" s="9"/>
      <c r="P110" s="9"/>
      <c r="Q110" s="9"/>
    </row>
    <row r="111" spans="1:17" x14ac:dyDescent="0.35">
      <c r="A111" s="377"/>
      <c r="B111" s="8" t="s">
        <v>6</v>
      </c>
      <c r="C111" s="9"/>
      <c r="D111" s="9"/>
      <c r="E111" s="9"/>
      <c r="F111" s="9">
        <v>710921.03</v>
      </c>
      <c r="G111" s="9">
        <v>576217.25</v>
      </c>
      <c r="H111" s="9">
        <v>614717.25</v>
      </c>
      <c r="I111" s="9">
        <v>565774.87</v>
      </c>
      <c r="J111" s="9">
        <v>599297.47</v>
      </c>
      <c r="K111" s="9"/>
      <c r="L111" s="9"/>
      <c r="M111" s="9"/>
      <c r="N111" s="9"/>
      <c r="O111" s="9"/>
      <c r="P111" s="9"/>
      <c r="Q111" s="9"/>
    </row>
    <row r="112" spans="1:17" x14ac:dyDescent="0.35">
      <c r="A112" s="377"/>
      <c r="B112" s="8" t="s">
        <v>7</v>
      </c>
      <c r="C112" s="9"/>
      <c r="D112" s="9"/>
      <c r="E112" s="9"/>
      <c r="F112" s="9">
        <v>268538.78000000003</v>
      </c>
      <c r="G112" s="9">
        <v>227158.19</v>
      </c>
      <c r="H112" s="9">
        <v>231183.96</v>
      </c>
      <c r="I112" s="9">
        <v>225573.98</v>
      </c>
      <c r="J112" s="9">
        <v>245851.97</v>
      </c>
      <c r="K112" s="9"/>
      <c r="L112" s="9"/>
      <c r="M112" s="9"/>
      <c r="N112" s="9"/>
      <c r="O112" s="9"/>
      <c r="P112" s="9"/>
      <c r="Q112" s="9"/>
    </row>
    <row r="113" spans="1:17" x14ac:dyDescent="0.35">
      <c r="A113" s="378"/>
      <c r="B113" s="8" t="s">
        <v>8</v>
      </c>
      <c r="C113" s="9"/>
      <c r="D113" s="9"/>
      <c r="E113" s="9"/>
      <c r="F113" s="9">
        <f t="shared" ref="F113:J113" si="74">F110-F111-F112</f>
        <v>80457.189999999944</v>
      </c>
      <c r="G113" s="9">
        <f t="shared" si="74"/>
        <v>61902.06</v>
      </c>
      <c r="H113" s="9">
        <f t="shared" si="74"/>
        <v>76751.790000000008</v>
      </c>
      <c r="I113" s="9">
        <f t="shared" si="74"/>
        <v>56335.649999999994</v>
      </c>
      <c r="J113" s="9">
        <f t="shared" si="74"/>
        <v>48800.560000000027</v>
      </c>
      <c r="K113" s="9"/>
      <c r="L113" s="9">
        <f t="shared" ref="L113:Q113" si="75">L110-L111-L112</f>
        <v>0</v>
      </c>
      <c r="M113" s="9">
        <f t="shared" si="75"/>
        <v>0</v>
      </c>
      <c r="N113" s="9">
        <f t="shared" si="75"/>
        <v>0</v>
      </c>
      <c r="O113" s="9">
        <f t="shared" si="75"/>
        <v>0</v>
      </c>
      <c r="P113" s="9">
        <f t="shared" si="75"/>
        <v>0</v>
      </c>
      <c r="Q113" s="9">
        <f t="shared" si="75"/>
        <v>0</v>
      </c>
    </row>
    <row r="114" spans="1:17" x14ac:dyDescent="0.35">
      <c r="C114" s="2">
        <f t="shared" ref="C114:H114" si="76">C113*80%</f>
        <v>0</v>
      </c>
      <c r="D114" s="2">
        <f t="shared" si="76"/>
        <v>0</v>
      </c>
      <c r="E114" s="2">
        <f t="shared" si="76"/>
        <v>0</v>
      </c>
      <c r="F114" s="2">
        <f t="shared" si="76"/>
        <v>64365.751999999957</v>
      </c>
      <c r="G114" s="2">
        <f t="shared" si="76"/>
        <v>49521.648000000001</v>
      </c>
      <c r="H114" s="2">
        <f t="shared" si="76"/>
        <v>61401.432000000008</v>
      </c>
      <c r="I114" s="2">
        <f t="shared" ref="I114:J114" si="77">I113*90%</f>
        <v>50702.084999999999</v>
      </c>
      <c r="J114" s="2">
        <f t="shared" si="77"/>
        <v>43920.504000000023</v>
      </c>
      <c r="K114" s="2">
        <f t="shared" ref="K114:Q114" si="78">K113*80%</f>
        <v>0</v>
      </c>
      <c r="L114" s="2">
        <f t="shared" si="78"/>
        <v>0</v>
      </c>
      <c r="M114" s="2">
        <f t="shared" si="78"/>
        <v>0</v>
      </c>
      <c r="N114" s="2">
        <f t="shared" si="78"/>
        <v>0</v>
      </c>
      <c r="O114" s="2">
        <f t="shared" si="78"/>
        <v>0</v>
      </c>
      <c r="P114" s="2">
        <f t="shared" si="78"/>
        <v>0</v>
      </c>
      <c r="Q114" s="2">
        <f t="shared" si="78"/>
        <v>0</v>
      </c>
    </row>
    <row r="115" spans="1:17" x14ac:dyDescent="0.3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35">
      <c r="A116" s="376">
        <v>17</v>
      </c>
      <c r="B116" s="8" t="s">
        <v>102</v>
      </c>
      <c r="C116" s="6"/>
      <c r="D116" s="6"/>
      <c r="E116" s="6"/>
      <c r="F116" s="6">
        <v>46023</v>
      </c>
      <c r="G116" s="6">
        <v>46054</v>
      </c>
      <c r="H116" s="6">
        <v>46082</v>
      </c>
      <c r="I116" s="6">
        <v>46113</v>
      </c>
      <c r="J116" s="6">
        <v>46143</v>
      </c>
      <c r="K116" s="6">
        <v>46174</v>
      </c>
      <c r="L116" s="6">
        <v>46204</v>
      </c>
      <c r="M116" s="6">
        <v>46235</v>
      </c>
      <c r="N116" s="6">
        <v>46266</v>
      </c>
      <c r="O116" s="6">
        <v>46296</v>
      </c>
      <c r="P116" s="6">
        <v>46327</v>
      </c>
      <c r="Q116" s="6">
        <v>46357</v>
      </c>
    </row>
    <row r="117" spans="1:17" x14ac:dyDescent="0.35">
      <c r="A117" s="377"/>
      <c r="B117" s="8" t="s">
        <v>5</v>
      </c>
      <c r="C117" s="9"/>
      <c r="D117" s="9"/>
      <c r="E117" s="9"/>
      <c r="F117" s="9">
        <f>480962+50000</f>
        <v>530962</v>
      </c>
      <c r="G117" s="9">
        <v>443728.5</v>
      </c>
      <c r="H117" s="9">
        <v>469699</v>
      </c>
      <c r="I117" s="9">
        <v>402853.5</v>
      </c>
      <c r="J117" s="9">
        <v>409342</v>
      </c>
      <c r="K117" s="9"/>
      <c r="L117" s="9"/>
      <c r="M117" s="9"/>
      <c r="N117" s="9"/>
      <c r="O117" s="9"/>
      <c r="P117" s="9"/>
      <c r="Q117" s="9"/>
    </row>
    <row r="118" spans="1:17" x14ac:dyDescent="0.35">
      <c r="A118" s="377"/>
      <c r="B118" s="8" t="s">
        <v>6</v>
      </c>
      <c r="C118" s="9"/>
      <c r="D118" s="9"/>
      <c r="E118" s="9"/>
      <c r="F118" s="9">
        <f>F117*67%</f>
        <v>355744.54000000004</v>
      </c>
      <c r="G118" s="9">
        <v>297820.02</v>
      </c>
      <c r="H118" s="9">
        <v>313364.58</v>
      </c>
      <c r="I118" s="9">
        <v>269692.67</v>
      </c>
      <c r="J118" s="9">
        <v>267995.48</v>
      </c>
      <c r="K118" s="9"/>
      <c r="L118" s="9"/>
      <c r="M118" s="9"/>
      <c r="N118" s="9"/>
      <c r="O118" s="9"/>
      <c r="P118" s="9"/>
      <c r="Q118" s="9"/>
    </row>
    <row r="119" spans="1:17" x14ac:dyDescent="0.35">
      <c r="A119" s="377"/>
      <c r="B119" s="8" t="s">
        <v>7</v>
      </c>
      <c r="C119" s="9"/>
      <c r="D119" s="9"/>
      <c r="E119" s="9"/>
      <c r="F119" s="9">
        <v>161509.54999999999</v>
      </c>
      <c r="G119" s="9">
        <v>132250.26</v>
      </c>
      <c r="H119" s="9">
        <v>134717.95000000001</v>
      </c>
      <c r="I119" s="9">
        <v>132429.26999999999</v>
      </c>
      <c r="J119" s="9">
        <v>136463.48000000001</v>
      </c>
      <c r="K119" s="9"/>
      <c r="L119" s="9"/>
      <c r="M119" s="9"/>
      <c r="N119" s="9"/>
      <c r="O119" s="9"/>
      <c r="P119" s="9"/>
      <c r="Q119" s="9"/>
    </row>
    <row r="120" spans="1:17" x14ac:dyDescent="0.35">
      <c r="A120" s="378"/>
      <c r="B120" s="8" t="s">
        <v>8</v>
      </c>
      <c r="C120" s="9"/>
      <c r="D120" s="9"/>
      <c r="E120" s="9"/>
      <c r="F120" s="9">
        <f t="shared" ref="F120:J120" si="79">F117-F118-F119</f>
        <v>13707.909999999974</v>
      </c>
      <c r="G120" s="9">
        <f t="shared" si="79"/>
        <v>13658.219999999972</v>
      </c>
      <c r="H120" s="9">
        <f t="shared" si="79"/>
        <v>21616.469999999972</v>
      </c>
      <c r="I120" s="9">
        <f t="shared" si="79"/>
        <v>731.56000000002678</v>
      </c>
      <c r="J120" s="9">
        <f t="shared" si="79"/>
        <v>4883.0400000000081</v>
      </c>
      <c r="K120" s="9"/>
      <c r="L120" s="9">
        <f t="shared" ref="L120:Q120" si="80">L117-L118-L119</f>
        <v>0</v>
      </c>
      <c r="M120" s="9">
        <f t="shared" si="80"/>
        <v>0</v>
      </c>
      <c r="N120" s="9">
        <f t="shared" si="80"/>
        <v>0</v>
      </c>
      <c r="O120" s="9">
        <f t="shared" si="80"/>
        <v>0</v>
      </c>
      <c r="P120" s="9">
        <f t="shared" si="80"/>
        <v>0</v>
      </c>
      <c r="Q120" s="9">
        <f t="shared" si="80"/>
        <v>0</v>
      </c>
    </row>
    <row r="121" spans="1:17" x14ac:dyDescent="0.35">
      <c r="B121" s="328">
        <v>0.2</v>
      </c>
      <c r="C121" s="2">
        <f t="shared" ref="C121:H121" si="81">C120*80%</f>
        <v>0</v>
      </c>
      <c r="D121" s="2">
        <f t="shared" si="81"/>
        <v>0</v>
      </c>
      <c r="E121" s="2">
        <f t="shared" si="81"/>
        <v>0</v>
      </c>
      <c r="F121" s="2">
        <f t="shared" si="81"/>
        <v>10966.32799999998</v>
      </c>
      <c r="G121" s="2">
        <f t="shared" si="81"/>
        <v>10926.575999999979</v>
      </c>
      <c r="H121" s="2">
        <f t="shared" si="81"/>
        <v>17293.175999999978</v>
      </c>
      <c r="I121" s="2">
        <f t="shared" ref="I121:J121" si="82">I120*90%</f>
        <v>658.4040000000241</v>
      </c>
      <c r="J121" s="2">
        <f t="shared" si="82"/>
        <v>4394.7360000000072</v>
      </c>
      <c r="K121" s="2">
        <f t="shared" ref="K121:Q121" si="83">K120*80%</f>
        <v>0</v>
      </c>
      <c r="L121" s="2">
        <f t="shared" si="83"/>
        <v>0</v>
      </c>
      <c r="M121" s="2">
        <f t="shared" si="83"/>
        <v>0</v>
      </c>
      <c r="N121" s="2">
        <f t="shared" si="83"/>
        <v>0</v>
      </c>
      <c r="O121" s="2">
        <f t="shared" si="83"/>
        <v>0</v>
      </c>
      <c r="P121" s="2">
        <f t="shared" si="83"/>
        <v>0</v>
      </c>
      <c r="Q121" s="2">
        <f t="shared" si="83"/>
        <v>0</v>
      </c>
    </row>
    <row r="122" spans="1:17" x14ac:dyDescent="0.35">
      <c r="B122" s="328">
        <v>0.8</v>
      </c>
      <c r="C122" s="2"/>
      <c r="D122" s="2"/>
      <c r="E122" s="2"/>
      <c r="F122" s="2">
        <f t="shared" ref="F122:H122" si="84">F120*80%</f>
        <v>10966.32799999998</v>
      </c>
      <c r="G122" s="2">
        <f t="shared" si="84"/>
        <v>10926.575999999979</v>
      </c>
      <c r="H122" s="2">
        <f t="shared" si="84"/>
        <v>17293.175999999978</v>
      </c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35">
      <c r="A123" s="376">
        <v>18</v>
      </c>
      <c r="B123" s="266" t="s">
        <v>255</v>
      </c>
      <c r="C123" s="6"/>
      <c r="D123" s="6"/>
      <c r="E123" s="6"/>
      <c r="F123" s="6">
        <v>46023</v>
      </c>
      <c r="G123" s="6">
        <v>46054</v>
      </c>
      <c r="H123" s="6">
        <v>46082</v>
      </c>
      <c r="I123" s="6">
        <v>46113</v>
      </c>
      <c r="J123" s="6">
        <v>46143</v>
      </c>
      <c r="K123" s="6">
        <v>46174</v>
      </c>
      <c r="L123" s="6">
        <v>46204</v>
      </c>
      <c r="M123" s="6">
        <v>46235</v>
      </c>
      <c r="N123" s="6">
        <v>46266</v>
      </c>
      <c r="O123" s="6">
        <v>46296</v>
      </c>
      <c r="P123" s="6">
        <v>46327</v>
      </c>
      <c r="Q123" s="6">
        <v>46357</v>
      </c>
    </row>
    <row r="124" spans="1:17" x14ac:dyDescent="0.35">
      <c r="A124" s="377"/>
      <c r="B124" s="267" t="s">
        <v>5</v>
      </c>
      <c r="C124" s="9"/>
      <c r="D124" s="9"/>
      <c r="E124" s="9"/>
      <c r="F124" s="9">
        <v>1123129</v>
      </c>
      <c r="G124" s="9">
        <v>949112</v>
      </c>
      <c r="H124" s="9">
        <v>1063329.5</v>
      </c>
      <c r="I124" s="9">
        <v>927368</v>
      </c>
      <c r="J124" s="9">
        <v>1053064.5</v>
      </c>
      <c r="K124" s="9"/>
      <c r="L124" s="9"/>
      <c r="M124" s="9"/>
      <c r="N124" s="9"/>
      <c r="O124" s="9"/>
      <c r="P124" s="9"/>
      <c r="Q124" s="9"/>
    </row>
    <row r="125" spans="1:17" x14ac:dyDescent="0.35">
      <c r="A125" s="377"/>
      <c r="B125" s="267" t="s">
        <v>6</v>
      </c>
      <c r="C125" s="9"/>
      <c r="D125" s="9"/>
      <c r="E125" s="9"/>
      <c r="F125" s="9">
        <v>770926.53</v>
      </c>
      <c r="G125" s="9">
        <v>651073.29</v>
      </c>
      <c r="H125" s="9">
        <v>727550.14</v>
      </c>
      <c r="I125" s="9">
        <v>634167.31000000006</v>
      </c>
      <c r="J125" s="9">
        <v>714191.93</v>
      </c>
      <c r="K125" s="9"/>
      <c r="L125" s="9"/>
      <c r="M125" s="9"/>
      <c r="N125" s="9"/>
      <c r="O125" s="9"/>
      <c r="P125" s="9"/>
      <c r="Q125" s="9"/>
    </row>
    <row r="126" spans="1:17" x14ac:dyDescent="0.35">
      <c r="A126" s="377"/>
      <c r="B126" s="267" t="s">
        <v>7</v>
      </c>
      <c r="C126" s="9"/>
      <c r="D126" s="9"/>
      <c r="E126" s="9"/>
      <c r="F126" s="9">
        <v>228689.01</v>
      </c>
      <c r="G126" s="9">
        <v>189659.32</v>
      </c>
      <c r="H126" s="9">
        <v>211499.67</v>
      </c>
      <c r="I126" s="9">
        <v>228667.33</v>
      </c>
      <c r="J126" s="9">
        <v>233657.96</v>
      </c>
      <c r="K126" s="9"/>
      <c r="L126" s="9"/>
      <c r="M126" s="9"/>
      <c r="N126" s="9"/>
      <c r="O126" s="9"/>
      <c r="P126" s="9"/>
      <c r="Q126" s="9"/>
    </row>
    <row r="127" spans="1:17" x14ac:dyDescent="0.35">
      <c r="A127" s="378"/>
      <c r="B127" s="267" t="s">
        <v>8</v>
      </c>
      <c r="C127" s="9"/>
      <c r="D127" s="9"/>
      <c r="E127" s="9"/>
      <c r="F127" s="9">
        <f t="shared" ref="F127:J127" si="85">F124-F125-F126</f>
        <v>123513.45999999996</v>
      </c>
      <c r="G127" s="9">
        <f t="shared" si="85"/>
        <v>108379.38999999996</v>
      </c>
      <c r="H127" s="9">
        <f t="shared" si="85"/>
        <v>124279.68999999997</v>
      </c>
      <c r="I127" s="9">
        <f t="shared" si="85"/>
        <v>64533.359999999957</v>
      </c>
      <c r="J127" s="9">
        <f t="shared" si="85"/>
        <v>105214.60999999996</v>
      </c>
      <c r="K127" s="9"/>
      <c r="L127" s="9">
        <f t="shared" ref="L127:Q127" si="86">L124-L125-L126</f>
        <v>0</v>
      </c>
      <c r="M127" s="9">
        <f t="shared" si="86"/>
        <v>0</v>
      </c>
      <c r="N127" s="9">
        <f t="shared" si="86"/>
        <v>0</v>
      </c>
      <c r="O127" s="9">
        <f t="shared" si="86"/>
        <v>0</v>
      </c>
      <c r="P127" s="9">
        <f t="shared" si="86"/>
        <v>0</v>
      </c>
      <c r="Q127" s="9">
        <f t="shared" si="86"/>
        <v>0</v>
      </c>
    </row>
    <row r="128" spans="1:17" x14ac:dyDescent="0.35">
      <c r="B128" s="329"/>
      <c r="C128" s="2">
        <f t="shared" ref="C128:I128" si="87">C127*80%</f>
        <v>0</v>
      </c>
      <c r="D128" s="2">
        <f t="shared" si="87"/>
        <v>0</v>
      </c>
      <c r="E128" s="2">
        <f t="shared" si="87"/>
        <v>0</v>
      </c>
      <c r="F128" s="2">
        <f t="shared" si="87"/>
        <v>98810.767999999982</v>
      </c>
      <c r="G128" s="2">
        <f t="shared" si="87"/>
        <v>86703.511999999973</v>
      </c>
      <c r="H128" s="2">
        <f t="shared" si="87"/>
        <v>99423.751999999979</v>
      </c>
      <c r="I128" s="2">
        <f t="shared" si="87"/>
        <v>51626.687999999966</v>
      </c>
      <c r="J128" s="2">
        <f>J127*90%</f>
        <v>94693.148999999961</v>
      </c>
      <c r="K128" s="2">
        <f t="shared" ref="K128:Q128" si="88">K127*80%</f>
        <v>0</v>
      </c>
      <c r="L128" s="2">
        <f t="shared" si="88"/>
        <v>0</v>
      </c>
      <c r="M128" s="2">
        <f t="shared" si="88"/>
        <v>0</v>
      </c>
      <c r="N128" s="2">
        <f t="shared" si="88"/>
        <v>0</v>
      </c>
      <c r="O128" s="2">
        <f t="shared" si="88"/>
        <v>0</v>
      </c>
      <c r="P128" s="2">
        <f t="shared" si="88"/>
        <v>0</v>
      </c>
      <c r="Q128" s="2">
        <f t="shared" si="88"/>
        <v>0</v>
      </c>
    </row>
    <row r="129" spans="1:17" x14ac:dyDescent="0.35">
      <c r="B129" s="32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35">
      <c r="A130" s="376">
        <v>19</v>
      </c>
      <c r="B130" s="266" t="s">
        <v>104</v>
      </c>
      <c r="C130" s="6"/>
      <c r="D130" s="6"/>
      <c r="E130" s="6"/>
      <c r="F130" s="6">
        <v>46023</v>
      </c>
      <c r="G130" s="6">
        <v>46054</v>
      </c>
      <c r="H130" s="6">
        <v>46082</v>
      </c>
      <c r="I130" s="6">
        <v>46113</v>
      </c>
      <c r="J130" s="6">
        <v>46143</v>
      </c>
      <c r="K130" s="6">
        <v>46174</v>
      </c>
      <c r="L130" s="6">
        <v>46204</v>
      </c>
      <c r="M130" s="6">
        <v>46235</v>
      </c>
      <c r="N130" s="6">
        <v>46266</v>
      </c>
      <c r="O130" s="6">
        <v>46296</v>
      </c>
      <c r="P130" s="6">
        <v>46327</v>
      </c>
      <c r="Q130" s="6">
        <v>46357</v>
      </c>
    </row>
    <row r="131" spans="1:17" x14ac:dyDescent="0.35">
      <c r="A131" s="377"/>
      <c r="B131" s="267" t="s">
        <v>5</v>
      </c>
      <c r="C131" s="9"/>
      <c r="D131" s="9"/>
      <c r="E131" s="9"/>
      <c r="F131" s="9">
        <v>1571502.5</v>
      </c>
      <c r="G131" s="9">
        <v>1435576.5</v>
      </c>
      <c r="H131" s="9">
        <v>1607727.5</v>
      </c>
      <c r="I131" s="2">
        <v>1553324</v>
      </c>
      <c r="J131" s="9">
        <v>1765291</v>
      </c>
      <c r="K131" s="9"/>
      <c r="L131" s="9"/>
      <c r="M131" s="9"/>
      <c r="N131" s="9"/>
      <c r="O131" s="9"/>
      <c r="P131" s="9"/>
      <c r="Q131" s="9"/>
    </row>
    <row r="132" spans="1:17" x14ac:dyDescent="0.35">
      <c r="A132" s="377"/>
      <c r="B132" s="267" t="s">
        <v>6</v>
      </c>
      <c r="C132" s="9"/>
      <c r="D132" s="9"/>
      <c r="E132" s="9"/>
      <c r="F132" s="9">
        <v>1067451.74</v>
      </c>
      <c r="G132" s="9">
        <v>974732.29</v>
      </c>
      <c r="H132" s="9">
        <v>1093163.06</v>
      </c>
      <c r="I132" s="9">
        <v>1051941.8799999999</v>
      </c>
      <c r="J132" s="9">
        <v>1184741.48</v>
      </c>
      <c r="K132" s="9"/>
      <c r="L132" s="9"/>
      <c r="M132" s="9"/>
      <c r="N132" s="9"/>
      <c r="O132" s="9"/>
      <c r="P132" s="9"/>
      <c r="Q132" s="9"/>
    </row>
    <row r="133" spans="1:17" x14ac:dyDescent="0.35">
      <c r="A133" s="377"/>
      <c r="B133" s="267" t="s">
        <v>7</v>
      </c>
      <c r="C133" s="9"/>
      <c r="D133" s="9"/>
      <c r="E133" s="9"/>
      <c r="F133" s="9">
        <v>337715.26</v>
      </c>
      <c r="G133" s="9">
        <v>289071.24</v>
      </c>
      <c r="H133" s="9">
        <v>296042.46000000002</v>
      </c>
      <c r="I133" s="9">
        <v>320485.77</v>
      </c>
      <c r="J133" s="9">
        <v>356869.93</v>
      </c>
      <c r="K133" s="9"/>
      <c r="L133" s="9"/>
      <c r="M133" s="9"/>
      <c r="N133" s="9"/>
      <c r="O133" s="9"/>
      <c r="P133" s="9"/>
      <c r="Q133" s="9"/>
    </row>
    <row r="134" spans="1:17" x14ac:dyDescent="0.35">
      <c r="A134" s="378"/>
      <c r="B134" s="267" t="s">
        <v>8</v>
      </c>
      <c r="C134" s="9"/>
      <c r="D134" s="9"/>
      <c r="E134" s="9"/>
      <c r="F134" s="9">
        <f t="shared" ref="F134:J134" si="89">F131-F132-F133</f>
        <v>166335.5</v>
      </c>
      <c r="G134" s="9">
        <f t="shared" si="89"/>
        <v>171772.96999999997</v>
      </c>
      <c r="H134" s="9">
        <f t="shared" si="89"/>
        <v>218521.97999999992</v>
      </c>
      <c r="I134" s="9">
        <f t="shared" si="89"/>
        <v>180896.35000000009</v>
      </c>
      <c r="J134" s="9">
        <f t="shared" si="89"/>
        <v>223679.59000000003</v>
      </c>
      <c r="K134" s="9"/>
      <c r="L134" s="9">
        <f t="shared" ref="L134:Q134" si="90">L131-L132-L133</f>
        <v>0</v>
      </c>
      <c r="M134" s="9">
        <f t="shared" si="90"/>
        <v>0</v>
      </c>
      <c r="N134" s="9">
        <f t="shared" si="90"/>
        <v>0</v>
      </c>
      <c r="O134" s="9">
        <f t="shared" si="90"/>
        <v>0</v>
      </c>
      <c r="P134" s="9">
        <f t="shared" si="90"/>
        <v>0</v>
      </c>
      <c r="Q134" s="9">
        <f t="shared" si="90"/>
        <v>0</v>
      </c>
    </row>
    <row r="135" spans="1:17" x14ac:dyDescent="0.35">
      <c r="B135" s="329"/>
      <c r="C135" s="2">
        <f t="shared" ref="C135:H135" si="91">C134*80%</f>
        <v>0</v>
      </c>
      <c r="D135" s="2">
        <f t="shared" si="91"/>
        <v>0</v>
      </c>
      <c r="E135" s="2">
        <f t="shared" si="91"/>
        <v>0</v>
      </c>
      <c r="F135" s="2">
        <f t="shared" si="91"/>
        <v>133068.4</v>
      </c>
      <c r="G135" s="2">
        <f t="shared" si="91"/>
        <v>137418.37599999999</v>
      </c>
      <c r="H135" s="2">
        <f t="shared" si="91"/>
        <v>174817.58399999994</v>
      </c>
      <c r="I135" s="2">
        <f t="shared" ref="I135:J135" si="92">I134*90%</f>
        <v>162806.71500000008</v>
      </c>
      <c r="J135" s="2">
        <f t="shared" si="92"/>
        <v>201311.63100000002</v>
      </c>
      <c r="K135" s="2">
        <f t="shared" ref="K135:Q135" si="93">K134*80%</f>
        <v>0</v>
      </c>
      <c r="L135" s="2">
        <f t="shared" si="93"/>
        <v>0</v>
      </c>
      <c r="M135" s="2">
        <f t="shared" si="93"/>
        <v>0</v>
      </c>
      <c r="N135" s="2">
        <f t="shared" si="93"/>
        <v>0</v>
      </c>
      <c r="O135" s="2">
        <f t="shared" si="93"/>
        <v>0</v>
      </c>
      <c r="P135" s="2">
        <f t="shared" si="93"/>
        <v>0</v>
      </c>
      <c r="Q135" s="2">
        <f t="shared" si="93"/>
        <v>0</v>
      </c>
    </row>
    <row r="136" spans="1:17" x14ac:dyDescent="0.35">
      <c r="B136" s="32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35">
      <c r="A137" s="376">
        <v>20</v>
      </c>
      <c r="B137" s="266" t="s">
        <v>307</v>
      </c>
      <c r="C137" s="6"/>
      <c r="D137" s="6"/>
      <c r="E137" s="6"/>
      <c r="F137" s="6">
        <v>46023</v>
      </c>
      <c r="G137" s="6">
        <v>46054</v>
      </c>
      <c r="H137" s="6">
        <v>46082</v>
      </c>
      <c r="I137" s="6">
        <v>46113</v>
      </c>
      <c r="J137" s="6">
        <v>46143</v>
      </c>
      <c r="K137" s="6">
        <v>46174</v>
      </c>
      <c r="L137" s="6">
        <v>46204</v>
      </c>
      <c r="M137" s="6">
        <v>46235</v>
      </c>
      <c r="N137" s="6">
        <v>46266</v>
      </c>
      <c r="O137" s="6">
        <v>46296</v>
      </c>
      <c r="P137" s="6">
        <v>46327</v>
      </c>
      <c r="Q137" s="6">
        <v>46357</v>
      </c>
    </row>
    <row r="138" spans="1:17" x14ac:dyDescent="0.35">
      <c r="A138" s="377"/>
      <c r="B138" s="267" t="s">
        <v>5</v>
      </c>
      <c r="C138" s="9"/>
      <c r="D138" s="9"/>
      <c r="E138" s="9"/>
      <c r="F138" s="9">
        <v>677210</v>
      </c>
      <c r="G138" s="9">
        <v>673856</v>
      </c>
      <c r="H138" s="9">
        <v>766539</v>
      </c>
      <c r="I138" s="9">
        <v>671776</v>
      </c>
      <c r="J138" s="9">
        <v>767842</v>
      </c>
      <c r="K138" s="9"/>
      <c r="L138" s="9"/>
      <c r="M138" s="9"/>
      <c r="N138" s="9"/>
      <c r="O138" s="9"/>
      <c r="P138" s="9"/>
      <c r="Q138" s="9"/>
    </row>
    <row r="139" spans="1:17" x14ac:dyDescent="0.35">
      <c r="A139" s="377"/>
      <c r="B139" s="267" t="s">
        <v>6</v>
      </c>
      <c r="C139" s="9"/>
      <c r="D139" s="9"/>
      <c r="E139" s="9"/>
      <c r="F139" s="9">
        <v>454569.8</v>
      </c>
      <c r="G139" s="9">
        <v>452949.99</v>
      </c>
      <c r="H139" s="9">
        <v>512978.52</v>
      </c>
      <c r="I139" s="9">
        <v>450399.7</v>
      </c>
      <c r="J139" s="9">
        <v>504688.36</v>
      </c>
      <c r="K139" s="9"/>
      <c r="L139" s="9"/>
      <c r="M139" s="9"/>
      <c r="N139" s="9"/>
      <c r="O139" s="9"/>
      <c r="P139" s="9"/>
      <c r="Q139" s="9"/>
    </row>
    <row r="140" spans="1:17" x14ac:dyDescent="0.35">
      <c r="A140" s="377"/>
      <c r="B140" s="267" t="s">
        <v>7</v>
      </c>
      <c r="C140" s="9"/>
      <c r="D140" s="9"/>
      <c r="E140" s="9"/>
      <c r="F140" s="9">
        <v>192897.58</v>
      </c>
      <c r="G140" s="9">
        <v>157020.25</v>
      </c>
      <c r="H140" s="9">
        <v>206891.48</v>
      </c>
      <c r="I140" s="9">
        <v>175097.15</v>
      </c>
      <c r="J140" s="9">
        <v>182119.22</v>
      </c>
      <c r="K140" s="9"/>
      <c r="L140" s="9"/>
      <c r="M140" s="9"/>
      <c r="N140" s="9"/>
      <c r="O140" s="9"/>
      <c r="P140" s="9"/>
      <c r="Q140" s="9"/>
    </row>
    <row r="141" spans="1:17" x14ac:dyDescent="0.35">
      <c r="A141" s="378"/>
      <c r="B141" s="267" t="s">
        <v>8</v>
      </c>
      <c r="C141" s="9"/>
      <c r="D141" s="9"/>
      <c r="E141" s="9"/>
      <c r="F141" s="9">
        <f t="shared" ref="F141:J141" si="94">F138-F139-F140</f>
        <v>29742.620000000024</v>
      </c>
      <c r="G141" s="9">
        <f t="shared" si="94"/>
        <v>63885.760000000009</v>
      </c>
      <c r="H141" s="9">
        <f t="shared" si="94"/>
        <v>46668.999999999971</v>
      </c>
      <c r="I141" s="9">
        <f t="shared" si="94"/>
        <v>46279.149999999994</v>
      </c>
      <c r="J141" s="9">
        <f t="shared" si="94"/>
        <v>81034.420000000013</v>
      </c>
      <c r="K141" s="9"/>
      <c r="L141" s="9">
        <f t="shared" ref="L141:Q141" si="95">L138-L139-L140</f>
        <v>0</v>
      </c>
      <c r="M141" s="9">
        <f t="shared" si="95"/>
        <v>0</v>
      </c>
      <c r="N141" s="9">
        <f t="shared" si="95"/>
        <v>0</v>
      </c>
      <c r="O141" s="9">
        <f t="shared" si="95"/>
        <v>0</v>
      </c>
      <c r="P141" s="9">
        <f t="shared" si="95"/>
        <v>0</v>
      </c>
      <c r="Q141" s="9">
        <f t="shared" si="95"/>
        <v>0</v>
      </c>
    </row>
    <row r="142" spans="1:17" x14ac:dyDescent="0.35">
      <c r="B142" s="329"/>
      <c r="C142" s="2">
        <f t="shared" ref="C142:H142" si="96">C141*80%</f>
        <v>0</v>
      </c>
      <c r="D142" s="2">
        <f t="shared" si="96"/>
        <v>0</v>
      </c>
      <c r="E142" s="2">
        <f t="shared" si="96"/>
        <v>0</v>
      </c>
      <c r="F142" s="2">
        <f t="shared" si="96"/>
        <v>23794.09600000002</v>
      </c>
      <c r="G142" s="2">
        <f t="shared" si="96"/>
        <v>51108.608000000007</v>
      </c>
      <c r="H142" s="2">
        <f t="shared" si="96"/>
        <v>37335.199999999975</v>
      </c>
      <c r="I142" s="2">
        <f t="shared" ref="I142:J142" si="97">I141*90%</f>
        <v>41651.234999999993</v>
      </c>
      <c r="J142" s="2">
        <f t="shared" si="97"/>
        <v>72930.978000000017</v>
      </c>
      <c r="K142" s="2">
        <f t="shared" ref="K142:Q142" si="98">K141*80%</f>
        <v>0</v>
      </c>
      <c r="L142" s="2">
        <f t="shared" si="98"/>
        <v>0</v>
      </c>
      <c r="M142" s="2">
        <f t="shared" si="98"/>
        <v>0</v>
      </c>
      <c r="N142" s="2">
        <f t="shared" si="98"/>
        <v>0</v>
      </c>
      <c r="O142" s="2">
        <f t="shared" si="98"/>
        <v>0</v>
      </c>
      <c r="P142" s="2">
        <f t="shared" si="98"/>
        <v>0</v>
      </c>
      <c r="Q142" s="2">
        <f t="shared" si="98"/>
        <v>0</v>
      </c>
    </row>
    <row r="143" spans="1:17" x14ac:dyDescent="0.35">
      <c r="B143" s="32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35">
      <c r="A144" s="376">
        <v>21</v>
      </c>
      <c r="B144" s="266" t="s">
        <v>256</v>
      </c>
      <c r="C144" s="6"/>
      <c r="D144" s="6"/>
      <c r="E144" s="6"/>
      <c r="F144" s="6">
        <v>46023</v>
      </c>
      <c r="G144" s="6">
        <v>46054</v>
      </c>
      <c r="H144" s="6">
        <v>46082</v>
      </c>
      <c r="I144" s="6">
        <v>46113</v>
      </c>
      <c r="J144" s="6">
        <v>46143</v>
      </c>
      <c r="K144" s="6">
        <v>46174</v>
      </c>
      <c r="L144" s="6">
        <v>46204</v>
      </c>
      <c r="M144" s="6">
        <v>46235</v>
      </c>
      <c r="N144" s="6">
        <v>46266</v>
      </c>
      <c r="O144" s="6">
        <v>46296</v>
      </c>
      <c r="P144" s="6">
        <v>46327</v>
      </c>
      <c r="Q144" s="6">
        <v>46357</v>
      </c>
    </row>
    <row r="145" spans="1:17" x14ac:dyDescent="0.35">
      <c r="A145" s="377"/>
      <c r="B145" s="267" t="s">
        <v>5</v>
      </c>
      <c r="C145" s="9"/>
      <c r="D145" s="9"/>
      <c r="E145" s="9"/>
      <c r="F145" s="9">
        <v>641258</v>
      </c>
      <c r="G145" s="9">
        <v>572889</v>
      </c>
      <c r="H145" s="9">
        <v>581045</v>
      </c>
      <c r="I145" s="9">
        <v>484776.5</v>
      </c>
      <c r="J145" s="9">
        <v>571928.5</v>
      </c>
      <c r="K145" s="9">
        <v>522741</v>
      </c>
      <c r="L145" s="9">
        <v>519732</v>
      </c>
      <c r="M145" s="9"/>
      <c r="N145" s="9"/>
      <c r="O145" s="9"/>
      <c r="P145" s="9"/>
      <c r="Q145" s="9"/>
    </row>
    <row r="146" spans="1:17" x14ac:dyDescent="0.35">
      <c r="A146" s="377"/>
      <c r="B146" s="267" t="s">
        <v>6</v>
      </c>
      <c r="C146" s="9"/>
      <c r="D146" s="9"/>
      <c r="E146" s="9"/>
      <c r="F146" s="9">
        <v>426800.29</v>
      </c>
      <c r="G146" s="9">
        <v>382958.92</v>
      </c>
      <c r="H146" s="9">
        <v>387794.17</v>
      </c>
      <c r="I146" s="9">
        <v>325049.37</v>
      </c>
      <c r="J146" s="9">
        <v>374845.81</v>
      </c>
      <c r="K146" s="9">
        <v>337301.98</v>
      </c>
      <c r="L146" s="9">
        <v>336127.57</v>
      </c>
      <c r="M146" s="9"/>
      <c r="N146" s="9"/>
      <c r="O146" s="9"/>
      <c r="P146" s="9"/>
      <c r="Q146" s="9"/>
    </row>
    <row r="147" spans="1:17" x14ac:dyDescent="0.35">
      <c r="A147" s="377"/>
      <c r="B147" s="267" t="s">
        <v>7</v>
      </c>
      <c r="C147" s="9"/>
      <c r="D147" s="9"/>
      <c r="E147" s="9"/>
      <c r="F147" s="9">
        <v>150888.34</v>
      </c>
      <c r="G147" s="9">
        <v>124844.57</v>
      </c>
      <c r="H147" s="9">
        <v>137737.32999999999</v>
      </c>
      <c r="I147" s="9">
        <v>151771.63</v>
      </c>
      <c r="J147" s="9">
        <v>179772.17</v>
      </c>
      <c r="K147" s="9">
        <v>144147.10999999999</v>
      </c>
      <c r="L147" s="9">
        <v>134150.16</v>
      </c>
      <c r="M147" s="9"/>
      <c r="N147" s="9"/>
      <c r="O147" s="9"/>
      <c r="P147" s="9"/>
      <c r="Q147" s="9"/>
    </row>
    <row r="148" spans="1:17" x14ac:dyDescent="0.35">
      <c r="A148" s="378"/>
      <c r="B148" s="267" t="s">
        <v>8</v>
      </c>
      <c r="C148" s="9"/>
      <c r="D148" s="9"/>
      <c r="E148" s="9"/>
      <c r="F148" s="9">
        <f t="shared" ref="F148:Q148" si="99">F145-F146-F147</f>
        <v>63569.370000000024</v>
      </c>
      <c r="G148" s="9">
        <f t="shared" si="99"/>
        <v>65085.510000000009</v>
      </c>
      <c r="H148" s="9">
        <f t="shared" si="99"/>
        <v>55513.500000000029</v>
      </c>
      <c r="I148" s="9">
        <f t="shared" si="99"/>
        <v>7955.5</v>
      </c>
      <c r="J148" s="9">
        <f t="shared" si="99"/>
        <v>17310.51999999999</v>
      </c>
      <c r="K148" s="9">
        <f t="shared" si="99"/>
        <v>41291.910000000033</v>
      </c>
      <c r="L148" s="9">
        <f t="shared" si="99"/>
        <v>49454.26999999999</v>
      </c>
      <c r="M148" s="9">
        <f t="shared" si="99"/>
        <v>0</v>
      </c>
      <c r="N148" s="9">
        <f t="shared" si="99"/>
        <v>0</v>
      </c>
      <c r="O148" s="9">
        <f t="shared" si="99"/>
        <v>0</v>
      </c>
      <c r="P148" s="9">
        <f t="shared" si="99"/>
        <v>0</v>
      </c>
      <c r="Q148" s="9">
        <f t="shared" si="99"/>
        <v>0</v>
      </c>
    </row>
    <row r="149" spans="1:17" x14ac:dyDescent="0.35">
      <c r="B149" s="329"/>
      <c r="C149" s="2">
        <f t="shared" ref="C149:H149" si="100">C148*80%</f>
        <v>0</v>
      </c>
      <c r="D149" s="2">
        <f t="shared" si="100"/>
        <v>0</v>
      </c>
      <c r="E149" s="2">
        <f t="shared" si="100"/>
        <v>0</v>
      </c>
      <c r="F149" s="2">
        <f t="shared" si="100"/>
        <v>50855.496000000021</v>
      </c>
      <c r="G149" s="2">
        <f t="shared" si="100"/>
        <v>52068.40800000001</v>
      </c>
      <c r="H149" s="2">
        <f t="shared" si="100"/>
        <v>44410.800000000025</v>
      </c>
      <c r="I149" s="2">
        <f>I148*90%</f>
        <v>7159.95</v>
      </c>
      <c r="J149" s="2">
        <f t="shared" ref="J149:Q149" si="101">J148*80%</f>
        <v>13848.415999999992</v>
      </c>
      <c r="K149" s="2">
        <f t="shared" si="101"/>
        <v>33033.528000000028</v>
      </c>
      <c r="L149" s="2">
        <f t="shared" si="101"/>
        <v>39563.415999999997</v>
      </c>
      <c r="M149" s="2">
        <f t="shared" si="101"/>
        <v>0</v>
      </c>
      <c r="N149" s="2">
        <f t="shared" si="101"/>
        <v>0</v>
      </c>
      <c r="O149" s="2">
        <f t="shared" si="101"/>
        <v>0</v>
      </c>
      <c r="P149" s="2">
        <f t="shared" si="101"/>
        <v>0</v>
      </c>
      <c r="Q149" s="2">
        <f t="shared" si="101"/>
        <v>0</v>
      </c>
    </row>
    <row r="150" spans="1:17" x14ac:dyDescent="0.35">
      <c r="B150" s="32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35">
      <c r="A151" s="376">
        <v>22</v>
      </c>
      <c r="B151" s="266" t="s">
        <v>257</v>
      </c>
      <c r="C151" s="6"/>
      <c r="D151" s="6"/>
      <c r="E151" s="6"/>
      <c r="F151" s="6">
        <v>46023</v>
      </c>
      <c r="G151" s="6">
        <v>46054</v>
      </c>
      <c r="H151" s="6">
        <v>46082</v>
      </c>
      <c r="I151" s="8" t="s">
        <v>324</v>
      </c>
      <c r="J151" s="6">
        <v>46143</v>
      </c>
      <c r="K151" s="6">
        <v>46174</v>
      </c>
      <c r="L151" s="6">
        <v>46204</v>
      </c>
      <c r="M151" s="6">
        <v>46235</v>
      </c>
      <c r="N151" s="6">
        <v>46266</v>
      </c>
      <c r="O151" s="6">
        <v>46296</v>
      </c>
      <c r="P151" s="6">
        <v>46327</v>
      </c>
      <c r="Q151" s="6">
        <v>46357</v>
      </c>
    </row>
    <row r="152" spans="1:17" x14ac:dyDescent="0.35">
      <c r="A152" s="377"/>
      <c r="B152" s="267" t="s">
        <v>5</v>
      </c>
      <c r="C152" s="9"/>
      <c r="D152" s="9"/>
      <c r="E152" s="9"/>
      <c r="F152" s="9">
        <v>1534824.5</v>
      </c>
      <c r="G152" s="9">
        <v>1392269.5</v>
      </c>
      <c r="H152" s="9">
        <v>1697110.5</v>
      </c>
      <c r="I152" s="9">
        <v>1516419.5</v>
      </c>
      <c r="J152" s="337">
        <v>1585747</v>
      </c>
      <c r="K152" s="9">
        <v>1447407</v>
      </c>
      <c r="L152" s="9">
        <v>1344920</v>
      </c>
      <c r="M152" s="9"/>
      <c r="N152" s="9"/>
      <c r="O152" s="9"/>
      <c r="P152" s="9"/>
      <c r="Q152" s="9"/>
    </row>
    <row r="153" spans="1:17" x14ac:dyDescent="0.35">
      <c r="A153" s="377"/>
      <c r="B153" s="267" t="s">
        <v>6</v>
      </c>
      <c r="C153" s="9"/>
      <c r="D153" s="9"/>
      <c r="E153" s="9"/>
      <c r="F153" s="9">
        <v>1031408.11</v>
      </c>
      <c r="G153" s="9">
        <v>935146.07</v>
      </c>
      <c r="H153" s="9">
        <v>1138762.52</v>
      </c>
      <c r="I153" s="9">
        <v>1024197.55</v>
      </c>
      <c r="J153" s="337">
        <v>1055267.5</v>
      </c>
      <c r="K153" s="9">
        <v>952812.43</v>
      </c>
      <c r="L153" s="9">
        <v>885019.08</v>
      </c>
      <c r="M153" s="9"/>
      <c r="N153" s="9"/>
      <c r="O153" s="9"/>
      <c r="P153" s="9"/>
      <c r="Q153" s="9"/>
    </row>
    <row r="154" spans="1:17" x14ac:dyDescent="0.35">
      <c r="A154" s="377"/>
      <c r="B154" s="267" t="s">
        <v>7</v>
      </c>
      <c r="C154" s="9"/>
      <c r="D154" s="9"/>
      <c r="E154" s="9"/>
      <c r="F154" s="9">
        <v>334932.84000000003</v>
      </c>
      <c r="G154" s="9">
        <v>269683.28000000003</v>
      </c>
      <c r="H154" s="9">
        <v>331643.55</v>
      </c>
      <c r="I154" s="9">
        <v>337918.48</v>
      </c>
      <c r="J154" s="337">
        <v>348315.42</v>
      </c>
      <c r="K154" s="9">
        <v>321561.69</v>
      </c>
      <c r="L154" s="9">
        <v>296654.44</v>
      </c>
      <c r="M154" s="9"/>
      <c r="N154" s="9"/>
      <c r="O154" s="9"/>
      <c r="P154" s="9"/>
      <c r="Q154" s="9"/>
    </row>
    <row r="155" spans="1:17" x14ac:dyDescent="0.35">
      <c r="A155" s="378"/>
      <c r="B155" s="267" t="s">
        <v>8</v>
      </c>
      <c r="C155" s="9"/>
      <c r="D155" s="9"/>
      <c r="E155" s="9"/>
      <c r="F155" s="9">
        <f t="shared" ref="F155:J155" si="102">F152-F153-F154</f>
        <v>168483.55</v>
      </c>
      <c r="G155" s="9">
        <f t="shared" si="102"/>
        <v>187440.15000000002</v>
      </c>
      <c r="H155" s="9">
        <f t="shared" si="102"/>
        <v>226704.43</v>
      </c>
      <c r="I155" s="9">
        <f t="shared" si="102"/>
        <v>154303.46999999997</v>
      </c>
      <c r="J155" s="9">
        <f t="shared" si="102"/>
        <v>182164.08000000002</v>
      </c>
      <c r="K155" s="9">
        <v>173032.98</v>
      </c>
      <c r="L155" s="9">
        <f t="shared" ref="L155:Q155" si="103">L152-L153-L154</f>
        <v>163246.48000000004</v>
      </c>
      <c r="M155" s="9">
        <f t="shared" si="103"/>
        <v>0</v>
      </c>
      <c r="N155" s="9">
        <f t="shared" si="103"/>
        <v>0</v>
      </c>
      <c r="O155" s="9">
        <f t="shared" si="103"/>
        <v>0</v>
      </c>
      <c r="P155" s="9">
        <f t="shared" si="103"/>
        <v>0</v>
      </c>
      <c r="Q155" s="9">
        <f t="shared" si="103"/>
        <v>0</v>
      </c>
    </row>
    <row r="156" spans="1:17" x14ac:dyDescent="0.35">
      <c r="B156" s="329"/>
      <c r="C156" s="2">
        <f t="shared" ref="C156:H156" si="104">C155*80%</f>
        <v>0</v>
      </c>
      <c r="D156" s="2">
        <f t="shared" si="104"/>
        <v>0</v>
      </c>
      <c r="E156" s="2">
        <f t="shared" si="104"/>
        <v>0</v>
      </c>
      <c r="F156" s="2">
        <f t="shared" si="104"/>
        <v>134786.84</v>
      </c>
      <c r="G156" s="2">
        <f t="shared" si="104"/>
        <v>149952.12000000002</v>
      </c>
      <c r="H156" s="2">
        <f t="shared" si="104"/>
        <v>181363.54399999999</v>
      </c>
      <c r="I156" s="2">
        <f>I155*90%</f>
        <v>138873.12299999999</v>
      </c>
      <c r="J156" s="2">
        <f>J155*80%</f>
        <v>145731.26400000002</v>
      </c>
      <c r="K156" s="2"/>
      <c r="L156" s="2">
        <f t="shared" ref="L156:Q156" si="105">L155*80%</f>
        <v>130597.18400000004</v>
      </c>
      <c r="M156" s="2">
        <f t="shared" si="105"/>
        <v>0</v>
      </c>
      <c r="N156" s="2">
        <f t="shared" si="105"/>
        <v>0</v>
      </c>
      <c r="O156" s="2">
        <f t="shared" si="105"/>
        <v>0</v>
      </c>
      <c r="P156" s="2">
        <f t="shared" si="105"/>
        <v>0</v>
      </c>
      <c r="Q156" s="2">
        <f t="shared" si="105"/>
        <v>0</v>
      </c>
    </row>
    <row r="157" spans="1:17" x14ac:dyDescent="0.35">
      <c r="B157" s="32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35">
      <c r="A158" s="376">
        <v>23</v>
      </c>
      <c r="B158" s="266" t="s">
        <v>258</v>
      </c>
      <c r="C158" s="6"/>
      <c r="D158" s="6"/>
      <c r="E158" s="6"/>
      <c r="F158" s="6">
        <v>46023</v>
      </c>
      <c r="G158" s="6">
        <v>46054</v>
      </c>
      <c r="H158" s="6">
        <v>46082</v>
      </c>
      <c r="I158" s="6">
        <v>46113</v>
      </c>
      <c r="J158" s="6">
        <v>46143</v>
      </c>
      <c r="K158" s="6">
        <v>46174</v>
      </c>
      <c r="L158" s="6">
        <v>46204</v>
      </c>
      <c r="M158" s="6">
        <v>46235</v>
      </c>
      <c r="N158" s="6">
        <v>46266</v>
      </c>
      <c r="O158" s="6">
        <v>46296</v>
      </c>
      <c r="P158" s="6">
        <v>46327</v>
      </c>
      <c r="Q158" s="6">
        <v>46357</v>
      </c>
    </row>
    <row r="159" spans="1:17" x14ac:dyDescent="0.35">
      <c r="A159" s="377"/>
      <c r="B159" s="267" t="s">
        <v>5</v>
      </c>
      <c r="C159" s="9"/>
      <c r="D159" s="9"/>
      <c r="E159" s="9"/>
      <c r="F159" s="9">
        <v>453453.5</v>
      </c>
      <c r="G159" s="9">
        <v>368695.5</v>
      </c>
      <c r="H159" s="9">
        <v>412933.5</v>
      </c>
      <c r="I159" s="9">
        <v>419809.5</v>
      </c>
      <c r="J159" s="337">
        <v>443733</v>
      </c>
      <c r="K159" s="9">
        <v>405507</v>
      </c>
      <c r="L159" s="9">
        <v>404408</v>
      </c>
      <c r="M159" s="9"/>
      <c r="N159" s="9"/>
      <c r="O159" s="9"/>
      <c r="P159" s="9"/>
      <c r="Q159" s="9"/>
    </row>
    <row r="160" spans="1:17" x14ac:dyDescent="0.35">
      <c r="A160" s="377"/>
      <c r="B160" s="267" t="s">
        <v>6</v>
      </c>
      <c r="C160" s="9"/>
      <c r="D160" s="9"/>
      <c r="E160" s="9"/>
      <c r="F160" s="9">
        <v>302381.15000000002</v>
      </c>
      <c r="G160" s="9">
        <v>245318.33</v>
      </c>
      <c r="H160" s="9">
        <v>274169.96999999997</v>
      </c>
      <c r="I160" s="9">
        <v>278503.40000000002</v>
      </c>
      <c r="J160" s="337">
        <v>289830.53000000003</v>
      </c>
      <c r="K160" s="9">
        <v>262224.27</v>
      </c>
      <c r="L160" s="9">
        <v>260348.19</v>
      </c>
      <c r="M160" s="9"/>
      <c r="N160" s="9"/>
      <c r="O160" s="9"/>
      <c r="P160" s="9"/>
      <c r="Q160" s="9"/>
    </row>
    <row r="161" spans="1:17" x14ac:dyDescent="0.35">
      <c r="A161" s="377"/>
      <c r="B161" s="267" t="s">
        <v>7</v>
      </c>
      <c r="C161" s="9"/>
      <c r="D161" s="9"/>
      <c r="E161" s="9"/>
      <c r="F161" s="9">
        <v>146638.35999999999</v>
      </c>
      <c r="G161" s="9">
        <v>108362.49</v>
      </c>
      <c r="H161" s="9">
        <v>118891.76</v>
      </c>
      <c r="I161" s="9">
        <v>140762.35</v>
      </c>
      <c r="J161" s="9">
        <v>132234.29999999999</v>
      </c>
      <c r="K161" s="9">
        <v>125964.86</v>
      </c>
      <c r="L161" s="9">
        <v>125157.04</v>
      </c>
      <c r="M161" s="9"/>
      <c r="N161" s="9"/>
      <c r="O161" s="9"/>
      <c r="P161" s="9"/>
      <c r="Q161" s="9"/>
    </row>
    <row r="162" spans="1:17" x14ac:dyDescent="0.35">
      <c r="A162" s="378"/>
      <c r="B162" s="267" t="s">
        <v>8</v>
      </c>
      <c r="C162" s="9"/>
      <c r="D162" s="9"/>
      <c r="E162" s="9"/>
      <c r="F162" s="9">
        <f t="shared" ref="F162:J162" si="106">F159-F160-F161</f>
        <v>4433.9899999999907</v>
      </c>
      <c r="G162" s="9">
        <f t="shared" si="106"/>
        <v>15014.680000000008</v>
      </c>
      <c r="H162" s="9">
        <f t="shared" si="106"/>
        <v>19871.770000000033</v>
      </c>
      <c r="I162" s="9">
        <f t="shared" si="106"/>
        <v>543.7499999999709</v>
      </c>
      <c r="J162" s="9">
        <f t="shared" si="106"/>
        <v>21668.169999999984</v>
      </c>
      <c r="K162" s="9">
        <v>17317.87</v>
      </c>
      <c r="L162" s="9">
        <f t="shared" ref="L162:Q162" si="107">L159-L160-L161</f>
        <v>18902.770000000004</v>
      </c>
      <c r="M162" s="9">
        <f t="shared" si="107"/>
        <v>0</v>
      </c>
      <c r="N162" s="9">
        <f t="shared" si="107"/>
        <v>0</v>
      </c>
      <c r="O162" s="9">
        <f t="shared" si="107"/>
        <v>0</v>
      </c>
      <c r="P162" s="9">
        <f t="shared" si="107"/>
        <v>0</v>
      </c>
      <c r="Q162" s="9">
        <f t="shared" si="107"/>
        <v>0</v>
      </c>
    </row>
    <row r="163" spans="1:17" x14ac:dyDescent="0.35">
      <c r="B163" s="329"/>
      <c r="C163" s="2">
        <f t="shared" ref="C163:H163" si="108">C162*80%</f>
        <v>0</v>
      </c>
      <c r="D163" s="2">
        <f t="shared" si="108"/>
        <v>0</v>
      </c>
      <c r="E163" s="2">
        <f t="shared" si="108"/>
        <v>0</v>
      </c>
      <c r="F163" s="2">
        <f t="shared" si="108"/>
        <v>3547.1919999999927</v>
      </c>
      <c r="G163" s="2">
        <f t="shared" si="108"/>
        <v>12011.744000000006</v>
      </c>
      <c r="H163" s="2">
        <f t="shared" si="108"/>
        <v>15897.416000000027</v>
      </c>
      <c r="I163" s="2">
        <f>I162*90%</f>
        <v>489.3749999999738</v>
      </c>
      <c r="J163" s="2">
        <f t="shared" ref="J163:Q163" si="109">J162*80%</f>
        <v>17334.535999999989</v>
      </c>
      <c r="K163" s="2">
        <f t="shared" si="109"/>
        <v>13854.296</v>
      </c>
      <c r="L163" s="2">
        <f t="shared" si="109"/>
        <v>15122.216000000004</v>
      </c>
      <c r="M163" s="2">
        <f t="shared" si="109"/>
        <v>0</v>
      </c>
      <c r="N163" s="2">
        <f t="shared" si="109"/>
        <v>0</v>
      </c>
      <c r="O163" s="2">
        <f t="shared" si="109"/>
        <v>0</v>
      </c>
      <c r="P163" s="2">
        <f t="shared" si="109"/>
        <v>0</v>
      </c>
      <c r="Q163" s="2">
        <f t="shared" si="109"/>
        <v>0</v>
      </c>
    </row>
    <row r="164" spans="1:17" x14ac:dyDescent="0.35">
      <c r="B164" s="329"/>
      <c r="C164" s="2"/>
      <c r="D164" s="2"/>
      <c r="E164" s="2"/>
      <c r="F164" s="2"/>
      <c r="G164" s="2"/>
      <c r="H164" s="2"/>
      <c r="I164" s="340"/>
      <c r="J164" s="2"/>
      <c r="K164" s="2"/>
      <c r="L164" s="2"/>
      <c r="M164" s="2"/>
      <c r="N164" s="2"/>
      <c r="O164" s="2"/>
      <c r="P164" s="2"/>
      <c r="Q164" s="2"/>
    </row>
    <row r="165" spans="1:17" x14ac:dyDescent="0.35">
      <c r="A165" s="376">
        <v>24</v>
      </c>
      <c r="B165" s="266" t="s">
        <v>259</v>
      </c>
      <c r="C165" s="6"/>
      <c r="D165" s="6"/>
      <c r="E165" s="6"/>
      <c r="F165" s="6">
        <v>46023</v>
      </c>
      <c r="G165" s="6">
        <v>46054</v>
      </c>
      <c r="H165" s="6">
        <v>46082</v>
      </c>
      <c r="I165" s="6">
        <v>46113</v>
      </c>
      <c r="J165" s="6">
        <v>46143</v>
      </c>
      <c r="K165" s="6">
        <v>46174</v>
      </c>
      <c r="L165" s="6">
        <v>46204</v>
      </c>
      <c r="M165" s="6">
        <v>46235</v>
      </c>
      <c r="N165" s="6">
        <v>46266</v>
      </c>
      <c r="O165" s="6">
        <v>46296</v>
      </c>
      <c r="P165" s="6">
        <v>46327</v>
      </c>
      <c r="Q165" s="6">
        <v>46357</v>
      </c>
    </row>
    <row r="166" spans="1:17" x14ac:dyDescent="0.35">
      <c r="A166" s="377"/>
      <c r="B166" s="267" t="s">
        <v>5</v>
      </c>
      <c r="C166" s="9"/>
      <c r="D166" s="9"/>
      <c r="E166" s="9"/>
      <c r="F166" s="9">
        <v>716363</v>
      </c>
      <c r="G166" s="9">
        <v>563654</v>
      </c>
      <c r="H166" s="9">
        <v>654873</v>
      </c>
      <c r="I166" s="9">
        <v>579899.5</v>
      </c>
      <c r="J166" s="9">
        <v>631978</v>
      </c>
      <c r="K166" s="9">
        <v>620871</v>
      </c>
      <c r="L166" s="9">
        <v>582266</v>
      </c>
      <c r="M166" s="9"/>
      <c r="N166" s="9"/>
      <c r="O166" s="9"/>
      <c r="P166" s="9"/>
      <c r="Q166" s="9"/>
    </row>
    <row r="167" spans="1:17" x14ac:dyDescent="0.35">
      <c r="A167" s="377"/>
      <c r="B167" s="267" t="s">
        <v>6</v>
      </c>
      <c r="C167" s="9"/>
      <c r="D167" s="9"/>
      <c r="E167" s="9"/>
      <c r="F167" s="9">
        <v>477019.61</v>
      </c>
      <c r="G167" s="9">
        <v>376468.59</v>
      </c>
      <c r="H167" s="9">
        <v>436782.76</v>
      </c>
      <c r="I167" s="9">
        <v>388437.33</v>
      </c>
      <c r="J167" s="9">
        <v>413935.99</v>
      </c>
      <c r="K167" s="9">
        <v>400742.45</v>
      </c>
      <c r="L167" s="9">
        <v>377695.82</v>
      </c>
      <c r="M167" s="9"/>
      <c r="N167" s="9"/>
      <c r="O167" s="9"/>
      <c r="P167" s="9"/>
      <c r="Q167" s="9"/>
    </row>
    <row r="168" spans="1:17" x14ac:dyDescent="0.35">
      <c r="A168" s="377"/>
      <c r="B168" s="267" t="s">
        <v>7</v>
      </c>
      <c r="C168" s="9"/>
      <c r="D168" s="9"/>
      <c r="E168" s="9"/>
      <c r="F168" s="9">
        <v>187824.41</v>
      </c>
      <c r="G168" s="9">
        <v>146972.95000000001</v>
      </c>
      <c r="H168" s="9">
        <v>179102.98</v>
      </c>
      <c r="I168" s="9">
        <v>191405.03</v>
      </c>
      <c r="J168" s="9">
        <v>197949.86</v>
      </c>
      <c r="K168" s="9">
        <v>201252.53</v>
      </c>
      <c r="L168" s="9">
        <v>175486.96</v>
      </c>
      <c r="M168" s="9"/>
      <c r="N168" s="9"/>
      <c r="O168" s="9"/>
      <c r="P168" s="9"/>
      <c r="Q168" s="9"/>
    </row>
    <row r="169" spans="1:17" x14ac:dyDescent="0.35">
      <c r="A169" s="378"/>
      <c r="B169" s="267" t="s">
        <v>8</v>
      </c>
      <c r="C169" s="9"/>
      <c r="D169" s="9"/>
      <c r="E169" s="9"/>
      <c r="F169" s="9">
        <f t="shared" ref="F169:J169" si="110">F166-F167-F168</f>
        <v>51518.98000000001</v>
      </c>
      <c r="G169" s="9">
        <f t="shared" si="110"/>
        <v>40212.459999999963</v>
      </c>
      <c r="H169" s="9">
        <f t="shared" si="110"/>
        <v>38987.25999999998</v>
      </c>
      <c r="I169" s="9">
        <f t="shared" si="110"/>
        <v>57.139999999984866</v>
      </c>
      <c r="J169" s="9">
        <f t="shared" si="110"/>
        <v>20092.150000000023</v>
      </c>
      <c r="K169" s="9">
        <v>18876.02</v>
      </c>
      <c r="L169" s="9">
        <f t="shared" ref="L169:Q169" si="111">L166-L167-L168</f>
        <v>29083.22</v>
      </c>
      <c r="M169" s="9">
        <f t="shared" si="111"/>
        <v>0</v>
      </c>
      <c r="N169" s="9">
        <f t="shared" si="111"/>
        <v>0</v>
      </c>
      <c r="O169" s="9">
        <f t="shared" si="111"/>
        <v>0</v>
      </c>
      <c r="P169" s="9">
        <f t="shared" si="111"/>
        <v>0</v>
      </c>
      <c r="Q169" s="9">
        <f t="shared" si="111"/>
        <v>0</v>
      </c>
    </row>
    <row r="170" spans="1:17" x14ac:dyDescent="0.35">
      <c r="B170" s="329"/>
      <c r="C170" s="2">
        <f t="shared" ref="C170:H170" si="112">C169*80%</f>
        <v>0</v>
      </c>
      <c r="D170" s="2">
        <f t="shared" si="112"/>
        <v>0</v>
      </c>
      <c r="E170" s="2">
        <f t="shared" si="112"/>
        <v>0</v>
      </c>
      <c r="F170" s="2">
        <f t="shared" si="112"/>
        <v>41215.184000000008</v>
      </c>
      <c r="G170" s="2">
        <f t="shared" si="112"/>
        <v>32169.967999999972</v>
      </c>
      <c r="H170" s="2">
        <f t="shared" si="112"/>
        <v>31189.807999999986</v>
      </c>
      <c r="I170" s="2">
        <f>I169*90%</f>
        <v>51.425999999986381</v>
      </c>
      <c r="J170" s="2">
        <f t="shared" ref="J170:Q170" si="113">J169*80%</f>
        <v>16073.720000000019</v>
      </c>
      <c r="K170" s="2">
        <f t="shared" si="113"/>
        <v>15100.816000000001</v>
      </c>
      <c r="L170" s="2">
        <f t="shared" si="113"/>
        <v>23266.576000000001</v>
      </c>
      <c r="M170" s="2">
        <f t="shared" si="113"/>
        <v>0</v>
      </c>
      <c r="N170" s="2">
        <f t="shared" si="113"/>
        <v>0</v>
      </c>
      <c r="O170" s="2">
        <f t="shared" si="113"/>
        <v>0</v>
      </c>
      <c r="P170" s="2">
        <f t="shared" si="113"/>
        <v>0</v>
      </c>
      <c r="Q170" s="2">
        <f t="shared" si="113"/>
        <v>0</v>
      </c>
    </row>
    <row r="171" spans="1:17" x14ac:dyDescent="0.35">
      <c r="B171" s="32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35">
      <c r="A172" s="376">
        <v>25</v>
      </c>
      <c r="B172" s="266" t="s">
        <v>260</v>
      </c>
      <c r="C172" s="6"/>
      <c r="D172" s="6"/>
      <c r="E172" s="6"/>
      <c r="F172" s="6">
        <v>46023</v>
      </c>
      <c r="G172" s="6">
        <v>46054</v>
      </c>
      <c r="H172" s="6">
        <v>46082</v>
      </c>
      <c r="I172" s="6">
        <v>46113</v>
      </c>
      <c r="J172" s="6">
        <v>46143</v>
      </c>
      <c r="K172" s="6">
        <v>46174</v>
      </c>
      <c r="L172" s="6">
        <v>46204</v>
      </c>
      <c r="M172" s="6">
        <v>46235</v>
      </c>
      <c r="N172" s="6">
        <v>46266</v>
      </c>
      <c r="O172" s="6">
        <v>46296</v>
      </c>
      <c r="P172" s="6">
        <v>46327</v>
      </c>
      <c r="Q172" s="6">
        <v>46357</v>
      </c>
    </row>
    <row r="173" spans="1:17" x14ac:dyDescent="0.35">
      <c r="A173" s="377"/>
      <c r="B173" s="267" t="s">
        <v>5</v>
      </c>
      <c r="C173" s="9"/>
      <c r="D173" s="9"/>
      <c r="E173" s="9"/>
      <c r="F173" s="9">
        <v>900413.5</v>
      </c>
      <c r="G173" s="9">
        <v>677837.5</v>
      </c>
      <c r="H173" s="9">
        <v>732728.5</v>
      </c>
      <c r="I173" s="9">
        <v>709058.5</v>
      </c>
      <c r="J173" s="9">
        <v>809692.16000000003</v>
      </c>
      <c r="K173" s="9">
        <v>715413</v>
      </c>
      <c r="L173" s="9">
        <v>702813</v>
      </c>
      <c r="M173" s="9"/>
      <c r="N173" s="9"/>
      <c r="O173" s="9"/>
      <c r="P173" s="9"/>
      <c r="Q173" s="9"/>
    </row>
    <row r="174" spans="1:17" x14ac:dyDescent="0.35">
      <c r="A174" s="377"/>
      <c r="B174" s="267" t="s">
        <v>6</v>
      </c>
      <c r="C174" s="9"/>
      <c r="D174" s="9"/>
      <c r="E174" s="9"/>
      <c r="F174" s="9">
        <v>593503.62</v>
      </c>
      <c r="G174" s="9">
        <v>446638.85</v>
      </c>
      <c r="H174" s="9">
        <v>483983.74</v>
      </c>
      <c r="I174" s="9">
        <v>469216.94</v>
      </c>
      <c r="J174" s="9">
        <v>523613.16</v>
      </c>
      <c r="K174" s="9">
        <v>451901.43</v>
      </c>
      <c r="L174" s="9">
        <v>449448.5</v>
      </c>
      <c r="M174" s="9"/>
      <c r="N174" s="9"/>
      <c r="O174" s="9"/>
      <c r="P174" s="9"/>
      <c r="Q174" s="9"/>
    </row>
    <row r="175" spans="1:17" x14ac:dyDescent="0.35">
      <c r="A175" s="377"/>
      <c r="B175" s="267" t="s">
        <v>7</v>
      </c>
      <c r="C175" s="9"/>
      <c r="D175" s="9"/>
      <c r="E175" s="9"/>
      <c r="F175" s="9">
        <v>242740.91</v>
      </c>
      <c r="G175" s="9">
        <v>168707.24</v>
      </c>
      <c r="H175" s="9">
        <v>185919.71</v>
      </c>
      <c r="I175" s="9">
        <v>210305.5</v>
      </c>
      <c r="J175" s="9">
        <v>209639.69</v>
      </c>
      <c r="K175" s="9">
        <v>202429.35</v>
      </c>
      <c r="L175" s="9">
        <v>196556.82</v>
      </c>
      <c r="M175" s="9"/>
      <c r="N175" s="9"/>
      <c r="O175" s="9"/>
      <c r="P175" s="9"/>
      <c r="Q175" s="9"/>
    </row>
    <row r="176" spans="1:17" x14ac:dyDescent="0.35">
      <c r="A176" s="378"/>
      <c r="B176" s="267" t="s">
        <v>8</v>
      </c>
      <c r="C176" s="9"/>
      <c r="D176" s="9"/>
      <c r="E176" s="9"/>
      <c r="F176" s="9">
        <f t="shared" ref="F176:J176" si="114">F173-F174-F175</f>
        <v>64168.97</v>
      </c>
      <c r="G176" s="9">
        <f t="shared" si="114"/>
        <v>62491.410000000033</v>
      </c>
      <c r="H176" s="9">
        <f t="shared" si="114"/>
        <v>62825.050000000017</v>
      </c>
      <c r="I176" s="9">
        <f t="shared" si="114"/>
        <v>29536.059999999998</v>
      </c>
      <c r="J176" s="9">
        <f t="shared" si="114"/>
        <v>76439.310000000056</v>
      </c>
      <c r="K176" s="9">
        <v>61082.22</v>
      </c>
      <c r="L176" s="9">
        <f t="shared" ref="L176:Q176" si="115">L173-L174-L175</f>
        <v>56807.679999999993</v>
      </c>
      <c r="M176" s="9">
        <f t="shared" si="115"/>
        <v>0</v>
      </c>
      <c r="N176" s="9">
        <f t="shared" si="115"/>
        <v>0</v>
      </c>
      <c r="O176" s="9">
        <f t="shared" si="115"/>
        <v>0</v>
      </c>
      <c r="P176" s="9">
        <f t="shared" si="115"/>
        <v>0</v>
      </c>
      <c r="Q176" s="9">
        <f t="shared" si="115"/>
        <v>0</v>
      </c>
    </row>
    <row r="177" spans="1:17" x14ac:dyDescent="0.35">
      <c r="B177" s="329"/>
      <c r="C177" s="2">
        <f t="shared" ref="C177:H177" si="116">C176*80%</f>
        <v>0</v>
      </c>
      <c r="D177" s="2">
        <f t="shared" si="116"/>
        <v>0</v>
      </c>
      <c r="E177" s="2">
        <f t="shared" si="116"/>
        <v>0</v>
      </c>
      <c r="F177" s="2">
        <f t="shared" si="116"/>
        <v>51335.176000000007</v>
      </c>
      <c r="G177" s="2">
        <f t="shared" si="116"/>
        <v>49993.128000000026</v>
      </c>
      <c r="H177" s="2">
        <f t="shared" si="116"/>
        <v>50260.040000000015</v>
      </c>
      <c r="I177" s="2">
        <f>I176*90%</f>
        <v>26582.453999999998</v>
      </c>
      <c r="J177" s="2">
        <f t="shared" ref="J177:Q177" si="117">J176*80%</f>
        <v>61151.448000000048</v>
      </c>
      <c r="K177" s="2">
        <f t="shared" si="117"/>
        <v>48865.776000000005</v>
      </c>
      <c r="L177" s="2">
        <f t="shared" si="117"/>
        <v>45446.144</v>
      </c>
      <c r="M177" s="2">
        <f t="shared" si="117"/>
        <v>0</v>
      </c>
      <c r="N177" s="2">
        <f t="shared" si="117"/>
        <v>0</v>
      </c>
      <c r="O177" s="2">
        <f t="shared" si="117"/>
        <v>0</v>
      </c>
      <c r="P177" s="2">
        <f t="shared" si="117"/>
        <v>0</v>
      </c>
      <c r="Q177" s="2">
        <f t="shared" si="117"/>
        <v>0</v>
      </c>
    </row>
    <row r="178" spans="1:17" x14ac:dyDescent="0.35">
      <c r="B178" s="32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35">
      <c r="A179" s="376">
        <v>26</v>
      </c>
      <c r="B179" s="266" t="s">
        <v>261</v>
      </c>
      <c r="C179" s="6"/>
      <c r="D179" s="6"/>
      <c r="E179" s="6"/>
      <c r="F179" s="6">
        <v>46023</v>
      </c>
      <c r="G179" s="6">
        <v>46054</v>
      </c>
      <c r="H179" s="6">
        <v>46082</v>
      </c>
      <c r="I179" s="6">
        <v>46113</v>
      </c>
      <c r="J179" s="6">
        <v>46143</v>
      </c>
      <c r="K179" s="6">
        <v>46174</v>
      </c>
      <c r="L179" s="6">
        <v>46204</v>
      </c>
      <c r="M179" s="6">
        <v>46235</v>
      </c>
      <c r="N179" s="6">
        <v>46266</v>
      </c>
      <c r="O179" s="6">
        <v>46296</v>
      </c>
      <c r="P179" s="6">
        <v>46327</v>
      </c>
      <c r="Q179" s="6">
        <v>46357</v>
      </c>
    </row>
    <row r="180" spans="1:17" x14ac:dyDescent="0.35">
      <c r="A180" s="377"/>
      <c r="B180" s="267" t="s">
        <v>5</v>
      </c>
      <c r="C180" s="9"/>
      <c r="D180" s="9"/>
      <c r="E180" s="9"/>
      <c r="F180" s="9">
        <v>647507</v>
      </c>
      <c r="G180" s="9">
        <v>550572</v>
      </c>
      <c r="H180" s="9">
        <v>580461.5</v>
      </c>
      <c r="I180" s="9">
        <v>550893</v>
      </c>
      <c r="J180" s="9">
        <v>589608</v>
      </c>
      <c r="K180" s="9">
        <v>570657</v>
      </c>
      <c r="L180" s="9">
        <v>548522</v>
      </c>
      <c r="M180" s="9"/>
      <c r="N180" s="9"/>
      <c r="O180" s="9"/>
      <c r="P180" s="9"/>
      <c r="Q180" s="9"/>
    </row>
    <row r="181" spans="1:17" x14ac:dyDescent="0.35">
      <c r="A181" s="377"/>
      <c r="B181" s="267" t="s">
        <v>6</v>
      </c>
      <c r="C181" s="9"/>
      <c r="D181" s="9"/>
      <c r="E181" s="9"/>
      <c r="F181" s="9">
        <v>433072.03</v>
      </c>
      <c r="G181" s="9">
        <v>370404.38</v>
      </c>
      <c r="H181" s="9">
        <v>389908.14</v>
      </c>
      <c r="I181" s="9">
        <v>373138.57</v>
      </c>
      <c r="J181" s="9">
        <v>390543.46</v>
      </c>
      <c r="K181" s="9">
        <v>373467.52</v>
      </c>
      <c r="L181" s="9">
        <v>360200.9</v>
      </c>
      <c r="M181" s="9"/>
      <c r="N181" s="9"/>
      <c r="O181" s="9"/>
      <c r="P181" s="9"/>
      <c r="Q181" s="9"/>
    </row>
    <row r="182" spans="1:17" x14ac:dyDescent="0.35">
      <c r="A182" s="377"/>
      <c r="B182" s="267" t="s">
        <v>7</v>
      </c>
      <c r="C182" s="9"/>
      <c r="D182" s="9"/>
      <c r="E182" s="9"/>
      <c r="F182" s="9">
        <v>179667.01</v>
      </c>
      <c r="G182" s="9">
        <v>152577.47</v>
      </c>
      <c r="H182" s="9">
        <v>160207.64000000001</v>
      </c>
      <c r="I182" s="9">
        <v>174499.24</v>
      </c>
      <c r="J182" s="9">
        <v>164960.14000000001</v>
      </c>
      <c r="K182" s="9">
        <v>176133.93</v>
      </c>
      <c r="L182" s="9">
        <v>180494</v>
      </c>
      <c r="M182" s="9"/>
      <c r="N182" s="9"/>
      <c r="O182" s="9"/>
      <c r="P182" s="9"/>
      <c r="Q182" s="9"/>
    </row>
    <row r="183" spans="1:17" x14ac:dyDescent="0.35">
      <c r="A183" s="378"/>
      <c r="B183" s="267" t="s">
        <v>8</v>
      </c>
      <c r="C183" s="9"/>
      <c r="D183" s="9"/>
      <c r="E183" s="9"/>
      <c r="F183" s="9">
        <f t="shared" ref="F183:J183" si="118">F180-F181-F182</f>
        <v>34767.959999999963</v>
      </c>
      <c r="G183" s="9">
        <f t="shared" si="118"/>
        <v>27590.149999999994</v>
      </c>
      <c r="H183" s="9">
        <f t="shared" si="118"/>
        <v>30345.719999999972</v>
      </c>
      <c r="I183" s="9">
        <f t="shared" si="118"/>
        <v>3255.1900000000023</v>
      </c>
      <c r="J183" s="9">
        <f t="shared" si="118"/>
        <v>34104.399999999965</v>
      </c>
      <c r="K183" s="9">
        <v>21055.55</v>
      </c>
      <c r="L183" s="9">
        <f t="shared" ref="L183:Q183" si="119">L180-L181-L182</f>
        <v>7827.0999999999767</v>
      </c>
      <c r="M183" s="9">
        <f t="shared" si="119"/>
        <v>0</v>
      </c>
      <c r="N183" s="9">
        <f t="shared" si="119"/>
        <v>0</v>
      </c>
      <c r="O183" s="9">
        <f t="shared" si="119"/>
        <v>0</v>
      </c>
      <c r="P183" s="9">
        <f t="shared" si="119"/>
        <v>0</v>
      </c>
      <c r="Q183" s="9">
        <f t="shared" si="119"/>
        <v>0</v>
      </c>
    </row>
    <row r="184" spans="1:17" x14ac:dyDescent="0.35">
      <c r="B184" s="329"/>
      <c r="C184" s="2">
        <f t="shared" ref="C184:H184" si="120">C183*80%</f>
        <v>0</v>
      </c>
      <c r="D184" s="2">
        <f t="shared" si="120"/>
        <v>0</v>
      </c>
      <c r="E184" s="2">
        <f t="shared" si="120"/>
        <v>0</v>
      </c>
      <c r="F184" s="2">
        <f t="shared" si="120"/>
        <v>27814.367999999973</v>
      </c>
      <c r="G184" s="2">
        <f t="shared" si="120"/>
        <v>22072.119999999995</v>
      </c>
      <c r="H184" s="2">
        <f t="shared" si="120"/>
        <v>24276.575999999979</v>
      </c>
      <c r="I184" s="2">
        <f>I183*90%</f>
        <v>2929.6710000000021</v>
      </c>
      <c r="J184" s="2">
        <f t="shared" ref="J184:Q184" si="121">J183*80%</f>
        <v>27283.519999999975</v>
      </c>
      <c r="K184" s="2">
        <f t="shared" si="121"/>
        <v>16844.439999999999</v>
      </c>
      <c r="L184" s="2">
        <f t="shared" si="121"/>
        <v>6261.6799999999821</v>
      </c>
      <c r="M184" s="2">
        <f t="shared" si="121"/>
        <v>0</v>
      </c>
      <c r="N184" s="2">
        <f t="shared" si="121"/>
        <v>0</v>
      </c>
      <c r="O184" s="2">
        <f t="shared" si="121"/>
        <v>0</v>
      </c>
      <c r="P184" s="2">
        <f t="shared" si="121"/>
        <v>0</v>
      </c>
      <c r="Q184" s="2">
        <f t="shared" si="121"/>
        <v>0</v>
      </c>
    </row>
    <row r="185" spans="1:17" x14ac:dyDescent="0.35">
      <c r="B185" s="32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x14ac:dyDescent="0.35">
      <c r="A186" s="376">
        <v>27</v>
      </c>
      <c r="B186" s="266" t="s">
        <v>262</v>
      </c>
      <c r="C186" s="6"/>
      <c r="D186" s="6"/>
      <c r="E186" s="6"/>
      <c r="F186" s="6">
        <v>46023</v>
      </c>
      <c r="G186" s="6">
        <v>46054</v>
      </c>
      <c r="H186" s="6">
        <v>46082</v>
      </c>
      <c r="I186" s="6">
        <v>46113</v>
      </c>
      <c r="J186" s="6">
        <v>46143</v>
      </c>
      <c r="K186" s="6">
        <v>46174</v>
      </c>
      <c r="L186" s="6">
        <v>46204</v>
      </c>
      <c r="M186" s="6">
        <v>46235</v>
      </c>
      <c r="N186" s="6">
        <v>46266</v>
      </c>
      <c r="O186" s="6">
        <v>46296</v>
      </c>
      <c r="P186" s="6">
        <v>46327</v>
      </c>
      <c r="Q186" s="6">
        <v>46357</v>
      </c>
    </row>
    <row r="187" spans="1:17" x14ac:dyDescent="0.35">
      <c r="A187" s="377"/>
      <c r="B187" s="267" t="s">
        <v>5</v>
      </c>
      <c r="C187" s="9"/>
      <c r="D187" s="9"/>
      <c r="E187" s="9"/>
      <c r="F187" s="9">
        <v>670061</v>
      </c>
      <c r="G187" s="9">
        <v>568715</v>
      </c>
      <c r="H187" s="9">
        <v>584447.5</v>
      </c>
      <c r="I187" s="9">
        <v>532586</v>
      </c>
      <c r="J187" s="9">
        <v>604315</v>
      </c>
      <c r="K187" s="9">
        <v>550770</v>
      </c>
      <c r="L187" s="9">
        <v>588401</v>
      </c>
      <c r="M187" s="9"/>
      <c r="N187" s="9"/>
      <c r="O187" s="9"/>
      <c r="P187" s="9"/>
      <c r="Q187" s="9"/>
    </row>
    <row r="188" spans="1:17" x14ac:dyDescent="0.35">
      <c r="A188" s="377"/>
      <c r="B188" s="267" t="s">
        <v>6</v>
      </c>
      <c r="C188" s="9"/>
      <c r="D188" s="9"/>
      <c r="E188" s="9"/>
      <c r="F188" s="9">
        <v>443869.26</v>
      </c>
      <c r="G188" s="9">
        <v>378633.21</v>
      </c>
      <c r="H188" s="9">
        <v>389286.66</v>
      </c>
      <c r="I188" s="9">
        <v>357316.99</v>
      </c>
      <c r="J188" s="9">
        <v>398039.26</v>
      </c>
      <c r="K188" s="9">
        <v>358311</v>
      </c>
      <c r="L188" s="9">
        <v>376197.81</v>
      </c>
      <c r="M188" s="9"/>
      <c r="N188" s="9"/>
      <c r="O188" s="9"/>
      <c r="P188" s="9"/>
      <c r="Q188" s="9"/>
    </row>
    <row r="189" spans="1:17" x14ac:dyDescent="0.35">
      <c r="A189" s="377"/>
      <c r="B189" s="267" t="s">
        <v>7</v>
      </c>
      <c r="C189" s="9"/>
      <c r="D189" s="9"/>
      <c r="E189" s="9"/>
      <c r="F189" s="9">
        <v>184479.64</v>
      </c>
      <c r="G189" s="9">
        <v>130780.3</v>
      </c>
      <c r="H189" s="9">
        <v>146582.72</v>
      </c>
      <c r="I189" s="9">
        <v>174621.63</v>
      </c>
      <c r="J189" s="9">
        <v>181710.81</v>
      </c>
      <c r="K189" s="9">
        <v>172945</v>
      </c>
      <c r="L189" s="9">
        <v>150167.07999999999</v>
      </c>
      <c r="M189" s="9"/>
      <c r="N189" s="9"/>
      <c r="O189" s="9"/>
      <c r="P189" s="9"/>
      <c r="Q189" s="9"/>
    </row>
    <row r="190" spans="1:17" x14ac:dyDescent="0.35">
      <c r="A190" s="378"/>
      <c r="B190" s="267" t="s">
        <v>8</v>
      </c>
      <c r="C190" s="9"/>
      <c r="D190" s="9"/>
      <c r="E190" s="9"/>
      <c r="F190" s="9">
        <f t="shared" ref="F190:J190" si="122">F187-F188-F189</f>
        <v>41712.099999999977</v>
      </c>
      <c r="G190" s="9">
        <f t="shared" si="122"/>
        <v>59301.489999999976</v>
      </c>
      <c r="H190" s="9">
        <f t="shared" si="122"/>
        <v>48578.120000000024</v>
      </c>
      <c r="I190" s="9">
        <f t="shared" si="122"/>
        <v>647.38000000000466</v>
      </c>
      <c r="J190" s="9">
        <f t="shared" si="122"/>
        <v>24564.929999999993</v>
      </c>
      <c r="K190" s="9">
        <v>19512.810000000001</v>
      </c>
      <c r="L190" s="9">
        <f t="shared" ref="L190:Q190" si="123">L187-L188-L189</f>
        <v>62036.110000000015</v>
      </c>
      <c r="M190" s="9">
        <f t="shared" si="123"/>
        <v>0</v>
      </c>
      <c r="N190" s="9">
        <f t="shared" si="123"/>
        <v>0</v>
      </c>
      <c r="O190" s="9">
        <f t="shared" si="123"/>
        <v>0</v>
      </c>
      <c r="P190" s="9">
        <f t="shared" si="123"/>
        <v>0</v>
      </c>
      <c r="Q190" s="9">
        <f t="shared" si="123"/>
        <v>0</v>
      </c>
    </row>
    <row r="191" spans="1:17" x14ac:dyDescent="0.35">
      <c r="B191" s="329"/>
      <c r="C191" s="2">
        <f t="shared" ref="C191:H191" si="124">C190*80%</f>
        <v>0</v>
      </c>
      <c r="D191" s="2">
        <f t="shared" si="124"/>
        <v>0</v>
      </c>
      <c r="E191" s="2">
        <f t="shared" si="124"/>
        <v>0</v>
      </c>
      <c r="F191" s="2">
        <f t="shared" si="124"/>
        <v>33369.679999999986</v>
      </c>
      <c r="G191" s="2">
        <f t="shared" si="124"/>
        <v>47441.191999999981</v>
      </c>
      <c r="H191" s="2">
        <f t="shared" si="124"/>
        <v>38862.496000000021</v>
      </c>
      <c r="I191" s="2">
        <f>I190*90%</f>
        <v>582.64200000000426</v>
      </c>
      <c r="J191" s="2">
        <f t="shared" ref="J191:Q191" si="125">J190*80%</f>
        <v>19651.943999999996</v>
      </c>
      <c r="K191" s="2">
        <f t="shared" si="125"/>
        <v>15610.248000000001</v>
      </c>
      <c r="L191" s="2">
        <f t="shared" si="125"/>
        <v>49628.888000000014</v>
      </c>
      <c r="M191" s="2">
        <f t="shared" si="125"/>
        <v>0</v>
      </c>
      <c r="N191" s="2">
        <f t="shared" si="125"/>
        <v>0</v>
      </c>
      <c r="O191" s="2">
        <f t="shared" si="125"/>
        <v>0</v>
      </c>
      <c r="P191" s="2">
        <f t="shared" si="125"/>
        <v>0</v>
      </c>
      <c r="Q191" s="2">
        <f t="shared" si="125"/>
        <v>0</v>
      </c>
    </row>
    <row r="192" spans="1:17" x14ac:dyDescent="0.35">
      <c r="B192" s="32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35">
      <c r="A193" s="376">
        <v>28</v>
      </c>
      <c r="B193" s="266" t="s">
        <v>332</v>
      </c>
      <c r="C193" s="6"/>
      <c r="D193" s="6"/>
      <c r="E193" s="6"/>
      <c r="F193" s="6">
        <v>46023</v>
      </c>
      <c r="G193" s="6">
        <v>46054</v>
      </c>
      <c r="H193" s="6">
        <v>46082</v>
      </c>
      <c r="I193" s="6">
        <v>46113</v>
      </c>
      <c r="J193" s="6">
        <v>46143</v>
      </c>
      <c r="K193" s="6">
        <v>46174</v>
      </c>
      <c r="L193" s="6">
        <v>46204</v>
      </c>
      <c r="M193" s="6">
        <v>46235</v>
      </c>
      <c r="N193" s="6">
        <v>46266</v>
      </c>
      <c r="O193" s="6">
        <v>46296</v>
      </c>
      <c r="P193" s="6">
        <v>46327</v>
      </c>
      <c r="Q193" s="6">
        <v>46357</v>
      </c>
    </row>
    <row r="194" spans="1:17" x14ac:dyDescent="0.35">
      <c r="A194" s="377"/>
      <c r="B194" s="267" t="s">
        <v>5</v>
      </c>
      <c r="C194" s="9"/>
      <c r="D194" s="9"/>
      <c r="E194" s="9"/>
      <c r="F194" s="9">
        <v>273920.5</v>
      </c>
      <c r="G194" s="9">
        <v>252221</v>
      </c>
      <c r="H194" s="9">
        <v>295853</v>
      </c>
      <c r="I194" s="9">
        <v>262201.5</v>
      </c>
      <c r="J194" s="9">
        <v>272860.5</v>
      </c>
      <c r="K194" s="9"/>
      <c r="L194" s="9"/>
      <c r="M194" s="9"/>
      <c r="N194" s="9"/>
      <c r="O194" s="9"/>
      <c r="P194" s="9"/>
      <c r="Q194" s="9"/>
    </row>
    <row r="195" spans="1:17" x14ac:dyDescent="0.35">
      <c r="A195" s="377"/>
      <c r="B195" s="267" t="s">
        <v>6</v>
      </c>
      <c r="C195" s="9"/>
      <c r="D195" s="9"/>
      <c r="E195" s="9"/>
      <c r="F195" s="9">
        <v>182620.65</v>
      </c>
      <c r="G195" s="9">
        <v>167198.12</v>
      </c>
      <c r="H195" s="9">
        <v>197582.87</v>
      </c>
      <c r="I195" s="9">
        <v>174435.52</v>
      </c>
      <c r="J195" s="9">
        <v>178315.26</v>
      </c>
      <c r="K195" s="9"/>
      <c r="L195" s="9"/>
      <c r="M195" s="9"/>
      <c r="N195" s="9"/>
      <c r="O195" s="9"/>
      <c r="P195" s="9"/>
      <c r="Q195" s="9"/>
    </row>
    <row r="196" spans="1:17" x14ac:dyDescent="0.35">
      <c r="A196" s="377"/>
      <c r="B196" s="267" t="s">
        <v>7</v>
      </c>
      <c r="C196" s="9"/>
      <c r="D196" s="9"/>
      <c r="E196" s="9"/>
      <c r="F196" s="9">
        <v>89568.85</v>
      </c>
      <c r="G196" s="9">
        <v>74255.62</v>
      </c>
      <c r="H196" s="9">
        <v>77644.490000000005</v>
      </c>
      <c r="I196" s="9">
        <v>87886.04</v>
      </c>
      <c r="J196" s="9">
        <v>94172.2</v>
      </c>
      <c r="K196" s="9"/>
      <c r="L196" s="9"/>
      <c r="M196" s="9"/>
      <c r="N196" s="9"/>
      <c r="O196" s="9"/>
      <c r="P196" s="9"/>
      <c r="Q196" s="9"/>
    </row>
    <row r="197" spans="1:17" x14ac:dyDescent="0.35">
      <c r="A197" s="378"/>
      <c r="B197" s="267" t="s">
        <v>8</v>
      </c>
      <c r="C197" s="9"/>
      <c r="D197" s="9"/>
      <c r="E197" s="9"/>
      <c r="F197" s="9">
        <f t="shared" ref="F197:J197" si="126">F194-F195-F196</f>
        <v>1731</v>
      </c>
      <c r="G197" s="9">
        <f t="shared" si="126"/>
        <v>10767.260000000009</v>
      </c>
      <c r="H197" s="9">
        <f t="shared" si="126"/>
        <v>20625.64</v>
      </c>
      <c r="I197" s="312">
        <f t="shared" si="126"/>
        <v>-120.05999999998312</v>
      </c>
      <c r="J197" s="9">
        <f t="shared" si="126"/>
        <v>373.0399999999936</v>
      </c>
      <c r="K197" s="9"/>
      <c r="L197" s="9">
        <f t="shared" ref="L197:Q197" si="127">L194-L195-L196</f>
        <v>0</v>
      </c>
      <c r="M197" s="9">
        <f t="shared" si="127"/>
        <v>0</v>
      </c>
      <c r="N197" s="9">
        <f t="shared" si="127"/>
        <v>0</v>
      </c>
      <c r="O197" s="9">
        <f t="shared" si="127"/>
        <v>0</v>
      </c>
      <c r="P197" s="9">
        <f t="shared" si="127"/>
        <v>0</v>
      </c>
      <c r="Q197" s="9">
        <f t="shared" si="127"/>
        <v>0</v>
      </c>
    </row>
    <row r="198" spans="1:17" x14ac:dyDescent="0.35">
      <c r="B198" s="329"/>
      <c r="C198" s="2">
        <f t="shared" ref="C198:H198" si="128">C197*80%</f>
        <v>0</v>
      </c>
      <c r="D198" s="2">
        <f t="shared" si="128"/>
        <v>0</v>
      </c>
      <c r="E198" s="2">
        <f t="shared" si="128"/>
        <v>0</v>
      </c>
      <c r="F198" s="2">
        <f t="shared" si="128"/>
        <v>1384.8000000000002</v>
      </c>
      <c r="G198" s="2">
        <f t="shared" si="128"/>
        <v>8613.8080000000082</v>
      </c>
      <c r="H198" s="2">
        <f t="shared" si="128"/>
        <v>16500.511999999999</v>
      </c>
      <c r="I198" s="315">
        <f t="shared" ref="I198:J198" si="129">I197*90%</f>
        <v>-108.05399999998481</v>
      </c>
      <c r="J198" s="2">
        <f t="shared" si="129"/>
        <v>335.73599999999425</v>
      </c>
      <c r="K198" s="2">
        <f t="shared" ref="K198:Q198" si="130">K197*80%</f>
        <v>0</v>
      </c>
      <c r="L198" s="2">
        <f t="shared" si="130"/>
        <v>0</v>
      </c>
      <c r="M198" s="2">
        <f t="shared" si="130"/>
        <v>0</v>
      </c>
      <c r="N198" s="2">
        <f t="shared" si="130"/>
        <v>0</v>
      </c>
      <c r="O198" s="2">
        <f t="shared" si="130"/>
        <v>0</v>
      </c>
      <c r="P198" s="2">
        <f t="shared" si="130"/>
        <v>0</v>
      </c>
      <c r="Q198" s="2">
        <f t="shared" si="130"/>
        <v>0</v>
      </c>
    </row>
    <row r="199" spans="1:17" x14ac:dyDescent="0.35">
      <c r="B199" s="32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x14ac:dyDescent="0.35">
      <c r="A200" s="376">
        <v>29</v>
      </c>
      <c r="B200" s="266" t="s">
        <v>308</v>
      </c>
      <c r="C200" s="6"/>
      <c r="D200" s="6"/>
      <c r="E200" s="6"/>
      <c r="F200" s="6">
        <v>46023</v>
      </c>
      <c r="G200" s="6">
        <v>46054</v>
      </c>
      <c r="H200" s="6">
        <v>46082</v>
      </c>
      <c r="I200" s="6">
        <v>46113</v>
      </c>
      <c r="J200" s="6">
        <v>46143</v>
      </c>
      <c r="K200" s="6">
        <v>46174</v>
      </c>
      <c r="L200" s="6">
        <v>46204</v>
      </c>
      <c r="M200" s="6">
        <v>46235</v>
      </c>
      <c r="N200" s="6">
        <v>46266</v>
      </c>
      <c r="O200" s="6">
        <v>46296</v>
      </c>
      <c r="P200" s="6">
        <v>46327</v>
      </c>
      <c r="Q200" s="6">
        <v>46357</v>
      </c>
    </row>
    <row r="201" spans="1:17" x14ac:dyDescent="0.35">
      <c r="A201" s="377"/>
      <c r="B201" s="267" t="s">
        <v>5</v>
      </c>
      <c r="C201" s="9"/>
      <c r="D201" s="9"/>
      <c r="E201" s="9"/>
      <c r="F201" s="9">
        <v>309718</v>
      </c>
      <c r="G201" s="9">
        <v>287898</v>
      </c>
      <c r="H201" s="9">
        <v>331220</v>
      </c>
      <c r="I201" s="9">
        <v>240772</v>
      </c>
      <c r="J201" s="9">
        <v>299651</v>
      </c>
      <c r="K201" s="9"/>
      <c r="L201" s="9"/>
      <c r="M201" s="9"/>
      <c r="N201" s="9"/>
      <c r="O201" s="9"/>
      <c r="P201" s="9"/>
      <c r="Q201" s="9"/>
    </row>
    <row r="202" spans="1:17" x14ac:dyDescent="0.35">
      <c r="A202" s="377"/>
      <c r="B202" s="267" t="s">
        <v>6</v>
      </c>
      <c r="C202" s="9"/>
      <c r="D202" s="9"/>
      <c r="E202" s="9"/>
      <c r="F202" s="9">
        <v>204263.09</v>
      </c>
      <c r="G202" s="9">
        <v>190176.33</v>
      </c>
      <c r="H202" s="9">
        <v>218625.46</v>
      </c>
      <c r="I202" s="9">
        <v>160593.28</v>
      </c>
      <c r="J202" s="9">
        <v>196121.73</v>
      </c>
      <c r="K202" s="9"/>
      <c r="L202" s="9"/>
      <c r="M202" s="9"/>
      <c r="N202" s="9"/>
      <c r="O202" s="9"/>
      <c r="P202" s="9"/>
      <c r="Q202" s="9"/>
    </row>
    <row r="203" spans="1:17" x14ac:dyDescent="0.35">
      <c r="A203" s="377"/>
      <c r="B203" s="267" t="s">
        <v>7</v>
      </c>
      <c r="C203" s="9"/>
      <c r="D203" s="9"/>
      <c r="E203" s="9"/>
      <c r="F203" s="9">
        <v>86472.54</v>
      </c>
      <c r="G203" s="9">
        <v>71727.42</v>
      </c>
      <c r="H203" s="9">
        <v>99174.59</v>
      </c>
      <c r="I203" s="9">
        <v>84819.35</v>
      </c>
      <c r="J203" s="9">
        <v>81081.83</v>
      </c>
      <c r="K203" s="9"/>
      <c r="L203" s="9"/>
      <c r="M203" s="9"/>
      <c r="N203" s="9"/>
      <c r="O203" s="9"/>
      <c r="P203" s="9"/>
      <c r="Q203" s="9"/>
    </row>
    <row r="204" spans="1:17" x14ac:dyDescent="0.35">
      <c r="A204" s="378"/>
      <c r="B204" s="267" t="s">
        <v>8</v>
      </c>
      <c r="C204" s="9"/>
      <c r="D204" s="9"/>
      <c r="E204" s="9"/>
      <c r="F204" s="9">
        <f t="shared" ref="F204:J204" si="131">F201-F202-F203</f>
        <v>18982.37000000001</v>
      </c>
      <c r="G204" s="9">
        <f t="shared" si="131"/>
        <v>25994.250000000015</v>
      </c>
      <c r="H204" s="9">
        <f t="shared" si="131"/>
        <v>13419.950000000012</v>
      </c>
      <c r="I204" s="312">
        <f t="shared" si="131"/>
        <v>-4640.6300000000047</v>
      </c>
      <c r="J204" s="9">
        <f t="shared" si="131"/>
        <v>22447.439999999988</v>
      </c>
      <c r="K204" s="9"/>
      <c r="L204" s="9">
        <f t="shared" ref="L204:Q204" si="132">L201-L202-L203</f>
        <v>0</v>
      </c>
      <c r="M204" s="9">
        <f t="shared" si="132"/>
        <v>0</v>
      </c>
      <c r="N204" s="9">
        <f t="shared" si="132"/>
        <v>0</v>
      </c>
      <c r="O204" s="9">
        <f t="shared" si="132"/>
        <v>0</v>
      </c>
      <c r="P204" s="9">
        <f t="shared" si="132"/>
        <v>0</v>
      </c>
      <c r="Q204" s="9">
        <f t="shared" si="132"/>
        <v>0</v>
      </c>
    </row>
    <row r="205" spans="1:17" x14ac:dyDescent="0.35">
      <c r="B205" s="329"/>
      <c r="C205" s="2">
        <f t="shared" ref="C205:H205" si="133">C204*80%</f>
        <v>0</v>
      </c>
      <c r="D205" s="2">
        <f t="shared" si="133"/>
        <v>0</v>
      </c>
      <c r="E205" s="2">
        <f t="shared" si="133"/>
        <v>0</v>
      </c>
      <c r="F205" s="2">
        <f t="shared" si="133"/>
        <v>15185.896000000008</v>
      </c>
      <c r="G205" s="2">
        <f t="shared" si="133"/>
        <v>20795.400000000012</v>
      </c>
      <c r="H205" s="2">
        <f t="shared" si="133"/>
        <v>10735.96000000001</v>
      </c>
      <c r="I205" s="315">
        <f t="shared" ref="I205:J205" si="134">I204*90%</f>
        <v>-4176.5670000000046</v>
      </c>
      <c r="J205" s="2">
        <f t="shared" si="134"/>
        <v>20202.695999999989</v>
      </c>
      <c r="K205" s="2">
        <f t="shared" ref="K205:Q205" si="135">K204*80%</f>
        <v>0</v>
      </c>
      <c r="L205" s="2">
        <f t="shared" si="135"/>
        <v>0</v>
      </c>
      <c r="M205" s="2">
        <f t="shared" si="135"/>
        <v>0</v>
      </c>
      <c r="N205" s="2">
        <f t="shared" si="135"/>
        <v>0</v>
      </c>
      <c r="O205" s="2">
        <f t="shared" si="135"/>
        <v>0</v>
      </c>
      <c r="P205" s="2">
        <f t="shared" si="135"/>
        <v>0</v>
      </c>
      <c r="Q205" s="2">
        <f t="shared" si="135"/>
        <v>0</v>
      </c>
    </row>
    <row r="206" spans="1:17" x14ac:dyDescent="0.35">
      <c r="B206" s="32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x14ac:dyDescent="0.35">
      <c r="A207" s="376">
        <v>30</v>
      </c>
      <c r="B207" s="266" t="s">
        <v>302</v>
      </c>
      <c r="C207" s="6"/>
      <c r="D207" s="6"/>
      <c r="E207" s="6"/>
      <c r="F207" s="6">
        <v>46023</v>
      </c>
      <c r="G207" s="6">
        <v>46054</v>
      </c>
      <c r="H207" s="6">
        <v>46082</v>
      </c>
      <c r="I207" s="6">
        <v>46113</v>
      </c>
      <c r="J207" s="6">
        <v>46143</v>
      </c>
      <c r="K207" s="6">
        <v>46174</v>
      </c>
      <c r="L207" s="6">
        <v>46204</v>
      </c>
      <c r="M207" s="6">
        <v>46235</v>
      </c>
      <c r="N207" s="6">
        <v>46266</v>
      </c>
      <c r="O207" s="6">
        <v>46296</v>
      </c>
      <c r="P207" s="6">
        <v>46327</v>
      </c>
      <c r="Q207" s="6">
        <v>46357</v>
      </c>
    </row>
    <row r="208" spans="1:17" x14ac:dyDescent="0.35">
      <c r="A208" s="377"/>
      <c r="B208" s="267" t="s">
        <v>5</v>
      </c>
      <c r="C208" s="9"/>
      <c r="D208" s="9"/>
      <c r="E208" s="9"/>
      <c r="F208" s="9">
        <v>736294</v>
      </c>
      <c r="G208" s="9">
        <v>668798</v>
      </c>
      <c r="H208" s="9">
        <v>739938</v>
      </c>
      <c r="I208" s="9">
        <v>685176</v>
      </c>
      <c r="J208" s="9">
        <v>788920</v>
      </c>
      <c r="K208" s="9"/>
      <c r="L208" s="9"/>
      <c r="M208" s="9"/>
      <c r="N208" s="9"/>
      <c r="O208" s="9"/>
      <c r="P208" s="9"/>
      <c r="Q208" s="9"/>
    </row>
    <row r="209" spans="1:17" x14ac:dyDescent="0.35">
      <c r="A209" s="377"/>
      <c r="B209" s="267" t="s">
        <v>6</v>
      </c>
      <c r="C209" s="9"/>
      <c r="D209" s="9"/>
      <c r="E209" s="9"/>
      <c r="F209" s="9">
        <v>487405.33</v>
      </c>
      <c r="G209" s="9">
        <v>441940.75</v>
      </c>
      <c r="H209" s="9">
        <v>489888.38</v>
      </c>
      <c r="I209" s="9">
        <v>452367.92</v>
      </c>
      <c r="J209" s="9">
        <v>517977.13</v>
      </c>
      <c r="K209" s="9"/>
      <c r="L209" s="9"/>
      <c r="M209" s="9"/>
      <c r="N209" s="9"/>
      <c r="O209" s="9"/>
      <c r="P209" s="9"/>
      <c r="Q209" s="9"/>
    </row>
    <row r="210" spans="1:17" x14ac:dyDescent="0.35">
      <c r="A210" s="377"/>
      <c r="B210" s="267" t="s">
        <v>7</v>
      </c>
      <c r="C210" s="9"/>
      <c r="D210" s="9"/>
      <c r="E210" s="9"/>
      <c r="F210" s="9">
        <v>224321.81</v>
      </c>
      <c r="G210" s="9">
        <v>180270.86</v>
      </c>
      <c r="H210" s="9">
        <v>200454.65</v>
      </c>
      <c r="I210" s="9">
        <v>217873.27</v>
      </c>
      <c r="J210" s="9">
        <v>219516.17</v>
      </c>
      <c r="K210" s="9"/>
      <c r="L210" s="9"/>
      <c r="M210" s="9"/>
      <c r="N210" s="9"/>
      <c r="O210" s="9"/>
      <c r="P210" s="9"/>
      <c r="Q210" s="9"/>
    </row>
    <row r="211" spans="1:17" x14ac:dyDescent="0.35">
      <c r="A211" s="378"/>
      <c r="B211" s="267" t="s">
        <v>8</v>
      </c>
      <c r="C211" s="9"/>
      <c r="D211" s="9"/>
      <c r="E211" s="9"/>
      <c r="F211" s="9">
        <f t="shared" ref="F211:J211" si="136">F208-F209-F210</f>
        <v>24566.859999999986</v>
      </c>
      <c r="G211" s="9">
        <f t="shared" si="136"/>
        <v>46586.390000000014</v>
      </c>
      <c r="H211" s="9">
        <f t="shared" si="136"/>
        <v>49594.97</v>
      </c>
      <c r="I211" s="9">
        <f t="shared" si="136"/>
        <v>14934.810000000027</v>
      </c>
      <c r="J211" s="9">
        <f t="shared" si="136"/>
        <v>51426.699999999983</v>
      </c>
      <c r="K211" s="9"/>
      <c r="L211" s="9">
        <f t="shared" ref="L211:Q211" si="137">L208-L209-L210</f>
        <v>0</v>
      </c>
      <c r="M211" s="9">
        <f t="shared" si="137"/>
        <v>0</v>
      </c>
      <c r="N211" s="9">
        <f t="shared" si="137"/>
        <v>0</v>
      </c>
      <c r="O211" s="9">
        <f t="shared" si="137"/>
        <v>0</v>
      </c>
      <c r="P211" s="9">
        <f t="shared" si="137"/>
        <v>0</v>
      </c>
      <c r="Q211" s="9">
        <f t="shared" si="137"/>
        <v>0</v>
      </c>
    </row>
    <row r="212" spans="1:17" x14ac:dyDescent="0.35">
      <c r="B212" s="329"/>
      <c r="C212" s="2">
        <f t="shared" ref="C212:H212" si="138">C211*80%</f>
        <v>0</v>
      </c>
      <c r="D212" s="2">
        <f t="shared" si="138"/>
        <v>0</v>
      </c>
      <c r="E212" s="2">
        <f t="shared" si="138"/>
        <v>0</v>
      </c>
      <c r="F212" s="2">
        <f t="shared" si="138"/>
        <v>19653.48799999999</v>
      </c>
      <c r="G212" s="2">
        <f t="shared" si="138"/>
        <v>37269.112000000016</v>
      </c>
      <c r="H212" s="2">
        <f t="shared" si="138"/>
        <v>39675.976000000002</v>
      </c>
      <c r="I212" s="2">
        <f t="shared" ref="I212:J212" si="139">I211*90%</f>
        <v>13441.329000000025</v>
      </c>
      <c r="J212" s="2">
        <f t="shared" si="139"/>
        <v>46284.029999999984</v>
      </c>
      <c r="K212" s="2">
        <f t="shared" ref="K212:Q212" si="140">K211*80%</f>
        <v>0</v>
      </c>
      <c r="L212" s="2">
        <f t="shared" si="140"/>
        <v>0</v>
      </c>
      <c r="M212" s="2">
        <f t="shared" si="140"/>
        <v>0</v>
      </c>
      <c r="N212" s="2">
        <f t="shared" si="140"/>
        <v>0</v>
      </c>
      <c r="O212" s="2">
        <f t="shared" si="140"/>
        <v>0</v>
      </c>
      <c r="P212" s="2">
        <f t="shared" si="140"/>
        <v>0</v>
      </c>
      <c r="Q212" s="2">
        <f t="shared" si="140"/>
        <v>0</v>
      </c>
    </row>
    <row r="213" spans="1:17" x14ac:dyDescent="0.35">
      <c r="B213" s="32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x14ac:dyDescent="0.35">
      <c r="A214" s="376">
        <v>31</v>
      </c>
      <c r="B214" s="266" t="s">
        <v>309</v>
      </c>
      <c r="C214" s="6"/>
      <c r="D214" s="6"/>
      <c r="E214" s="6"/>
      <c r="F214" s="6">
        <v>46023</v>
      </c>
      <c r="G214" s="6">
        <v>46054</v>
      </c>
      <c r="H214" s="6">
        <v>46082</v>
      </c>
      <c r="I214" s="6">
        <v>46113</v>
      </c>
      <c r="J214" s="6">
        <v>46143</v>
      </c>
      <c r="K214" s="6">
        <v>46174</v>
      </c>
      <c r="L214" s="6">
        <v>46204</v>
      </c>
      <c r="M214" s="6">
        <v>46235</v>
      </c>
      <c r="N214" s="6">
        <v>46266</v>
      </c>
      <c r="O214" s="6">
        <v>46296</v>
      </c>
      <c r="P214" s="6">
        <v>46327</v>
      </c>
      <c r="Q214" s="6">
        <v>46357</v>
      </c>
    </row>
    <row r="215" spans="1:17" x14ac:dyDescent="0.35">
      <c r="A215" s="377"/>
      <c r="B215" s="267" t="s">
        <v>5</v>
      </c>
      <c r="C215" s="9"/>
      <c r="D215" s="9"/>
      <c r="E215" s="9"/>
      <c r="F215" s="9">
        <v>1499043.5</v>
      </c>
      <c r="G215" s="9">
        <v>1370820.5</v>
      </c>
      <c r="H215" s="9">
        <v>1437574.5</v>
      </c>
      <c r="I215" s="9">
        <v>1374123</v>
      </c>
      <c r="J215" s="9">
        <v>1515532.5</v>
      </c>
      <c r="K215" s="9"/>
      <c r="L215" s="9"/>
      <c r="M215" s="9"/>
      <c r="N215" s="9"/>
      <c r="O215" s="9"/>
      <c r="P215" s="9"/>
      <c r="Q215" s="9"/>
    </row>
    <row r="216" spans="1:17" x14ac:dyDescent="0.35">
      <c r="A216" s="377"/>
      <c r="B216" s="267" t="s">
        <v>6</v>
      </c>
      <c r="C216" s="9"/>
      <c r="D216" s="9"/>
      <c r="E216" s="9"/>
      <c r="F216" s="9">
        <v>1025984.25</v>
      </c>
      <c r="G216" s="9">
        <v>938743.63</v>
      </c>
      <c r="H216" s="9">
        <v>983971.04</v>
      </c>
      <c r="I216" s="9">
        <v>939992.75</v>
      </c>
      <c r="J216" s="9">
        <v>1030453.42</v>
      </c>
      <c r="K216" s="9"/>
      <c r="L216" s="9"/>
      <c r="M216" s="9"/>
      <c r="N216" s="9"/>
      <c r="O216" s="9"/>
      <c r="P216" s="9"/>
      <c r="Q216" s="9"/>
    </row>
    <row r="217" spans="1:17" x14ac:dyDescent="0.35">
      <c r="A217" s="377"/>
      <c r="B217" s="267" t="s">
        <v>7</v>
      </c>
      <c r="C217" s="9"/>
      <c r="D217" s="9"/>
      <c r="E217" s="9"/>
      <c r="F217" s="9">
        <v>342681.91</v>
      </c>
      <c r="G217" s="9">
        <v>311915.28999999998</v>
      </c>
      <c r="H217" s="9">
        <v>290941.94</v>
      </c>
      <c r="I217" s="9">
        <v>348439.43</v>
      </c>
      <c r="J217" s="9">
        <v>354641.21</v>
      </c>
      <c r="K217" s="9"/>
      <c r="L217" s="9"/>
      <c r="M217" s="9"/>
      <c r="N217" s="9"/>
      <c r="O217" s="9"/>
      <c r="P217" s="9"/>
      <c r="Q217" s="9"/>
    </row>
    <row r="218" spans="1:17" x14ac:dyDescent="0.35">
      <c r="A218" s="378"/>
      <c r="B218" s="267" t="s">
        <v>8</v>
      </c>
      <c r="C218" s="9"/>
      <c r="D218" s="9"/>
      <c r="E218" s="9"/>
      <c r="F218" s="9">
        <f t="shared" ref="F218:J218" si="141">F215-F216-F217</f>
        <v>130377.34000000003</v>
      </c>
      <c r="G218" s="9">
        <f t="shared" si="141"/>
        <v>120161.58000000002</v>
      </c>
      <c r="H218" s="9">
        <f t="shared" si="141"/>
        <v>162661.51999999996</v>
      </c>
      <c r="I218" s="9">
        <f t="shared" si="141"/>
        <v>85690.82</v>
      </c>
      <c r="J218" s="9">
        <f t="shared" si="141"/>
        <v>130437.86999999994</v>
      </c>
      <c r="K218" s="9"/>
      <c r="L218" s="9">
        <f t="shared" ref="L218:Q218" si="142">L215-L216-L217</f>
        <v>0</v>
      </c>
      <c r="M218" s="9">
        <f t="shared" si="142"/>
        <v>0</v>
      </c>
      <c r="N218" s="9">
        <f t="shared" si="142"/>
        <v>0</v>
      </c>
      <c r="O218" s="9">
        <f t="shared" si="142"/>
        <v>0</v>
      </c>
      <c r="P218" s="9">
        <f t="shared" si="142"/>
        <v>0</v>
      </c>
      <c r="Q218" s="9">
        <f t="shared" si="142"/>
        <v>0</v>
      </c>
    </row>
    <row r="219" spans="1:17" x14ac:dyDescent="0.35">
      <c r="B219" s="329"/>
      <c r="C219" s="2">
        <f t="shared" ref="C219:H219" si="143">C218*80%</f>
        <v>0</v>
      </c>
      <c r="D219" s="2">
        <f t="shared" si="143"/>
        <v>0</v>
      </c>
      <c r="E219" s="2">
        <f t="shared" si="143"/>
        <v>0</v>
      </c>
      <c r="F219" s="2">
        <f t="shared" si="143"/>
        <v>104301.87200000003</v>
      </c>
      <c r="G219" s="2">
        <f t="shared" si="143"/>
        <v>96129.264000000025</v>
      </c>
      <c r="H219" s="2">
        <f t="shared" si="143"/>
        <v>130129.21599999997</v>
      </c>
      <c r="I219" s="2">
        <f t="shared" ref="I219:J219" si="144">I218*90%</f>
        <v>77121.738000000012</v>
      </c>
      <c r="J219" s="2">
        <f t="shared" si="144"/>
        <v>117394.08299999994</v>
      </c>
      <c r="K219" s="2">
        <f t="shared" ref="K219:Q219" si="145">K218*80%</f>
        <v>0</v>
      </c>
      <c r="L219" s="2">
        <f t="shared" si="145"/>
        <v>0</v>
      </c>
      <c r="M219" s="2">
        <f t="shared" si="145"/>
        <v>0</v>
      </c>
      <c r="N219" s="2">
        <f t="shared" si="145"/>
        <v>0</v>
      </c>
      <c r="O219" s="2">
        <f t="shared" si="145"/>
        <v>0</v>
      </c>
      <c r="P219" s="2">
        <f t="shared" si="145"/>
        <v>0</v>
      </c>
      <c r="Q219" s="2">
        <f t="shared" si="145"/>
        <v>0</v>
      </c>
    </row>
    <row r="220" spans="1:17" x14ac:dyDescent="0.35">
      <c r="B220" s="32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x14ac:dyDescent="0.35">
      <c r="A221" s="376">
        <v>32</v>
      </c>
      <c r="B221" s="266" t="s">
        <v>310</v>
      </c>
      <c r="C221" s="6"/>
      <c r="D221" s="6"/>
      <c r="E221" s="6"/>
      <c r="F221" s="6">
        <v>46023</v>
      </c>
      <c r="G221" s="6">
        <v>46054</v>
      </c>
      <c r="H221" s="6">
        <v>46082</v>
      </c>
      <c r="I221" s="6">
        <v>46113</v>
      </c>
      <c r="J221" s="6">
        <v>46143</v>
      </c>
      <c r="K221" s="6">
        <v>46174</v>
      </c>
      <c r="L221" s="6">
        <v>46204</v>
      </c>
      <c r="M221" s="6">
        <v>46235</v>
      </c>
      <c r="N221" s="6">
        <v>46266</v>
      </c>
      <c r="O221" s="6">
        <v>46296</v>
      </c>
      <c r="P221" s="6">
        <v>46327</v>
      </c>
      <c r="Q221" s="6">
        <v>46357</v>
      </c>
    </row>
    <row r="222" spans="1:17" x14ac:dyDescent="0.35">
      <c r="A222" s="377"/>
      <c r="B222" s="267" t="s">
        <v>5</v>
      </c>
      <c r="C222" s="9"/>
      <c r="D222" s="9"/>
      <c r="E222" s="9"/>
      <c r="F222" s="9">
        <v>252658</v>
      </c>
      <c r="G222" s="9">
        <v>236012</v>
      </c>
      <c r="H222" s="9">
        <v>259048</v>
      </c>
      <c r="I222" s="9">
        <v>247171</v>
      </c>
      <c r="J222" s="9">
        <v>248760</v>
      </c>
      <c r="K222" s="9"/>
      <c r="L222" s="9"/>
      <c r="M222" s="9"/>
      <c r="N222" s="9"/>
      <c r="O222" s="9"/>
      <c r="P222" s="9"/>
      <c r="Q222" s="9"/>
    </row>
    <row r="223" spans="1:17" x14ac:dyDescent="0.35">
      <c r="A223" s="377"/>
      <c r="B223" s="267" t="s">
        <v>6</v>
      </c>
      <c r="C223" s="9"/>
      <c r="D223" s="9"/>
      <c r="E223" s="9"/>
      <c r="F223" s="9">
        <v>171210.75</v>
      </c>
      <c r="G223" s="9">
        <v>159304.67000000001</v>
      </c>
      <c r="H223" s="9">
        <v>175837.79</v>
      </c>
      <c r="I223" s="9">
        <v>167871.04</v>
      </c>
      <c r="J223" s="9">
        <v>167254.63</v>
      </c>
      <c r="K223" s="9"/>
      <c r="L223" s="9"/>
      <c r="M223" s="9"/>
      <c r="N223" s="9"/>
      <c r="O223" s="9"/>
      <c r="P223" s="9"/>
      <c r="Q223" s="9"/>
    </row>
    <row r="224" spans="1:17" x14ac:dyDescent="0.35">
      <c r="A224" s="377"/>
      <c r="B224" s="267" t="s">
        <v>7</v>
      </c>
      <c r="C224" s="9"/>
      <c r="D224" s="9"/>
      <c r="E224" s="9"/>
      <c r="F224" s="9">
        <v>81801.87</v>
      </c>
      <c r="G224" s="9">
        <v>83525.710000000006</v>
      </c>
      <c r="H224" s="9">
        <v>81425.33</v>
      </c>
      <c r="I224" s="9">
        <v>90574.92</v>
      </c>
      <c r="J224" s="9">
        <v>95647.15</v>
      </c>
      <c r="K224" s="9"/>
      <c r="L224" s="9"/>
      <c r="M224" s="9"/>
      <c r="N224" s="9"/>
      <c r="O224" s="9"/>
      <c r="P224" s="9"/>
      <c r="Q224" s="9"/>
    </row>
    <row r="225" spans="1:17" x14ac:dyDescent="0.35">
      <c r="A225" s="378"/>
      <c r="B225" s="267" t="s">
        <v>8</v>
      </c>
      <c r="C225" s="9"/>
      <c r="D225" s="9"/>
      <c r="E225" s="9"/>
      <c r="F225" s="9">
        <f t="shared" ref="F225:J225" si="146">F222-F223-F224</f>
        <v>-354.61999999999534</v>
      </c>
      <c r="G225" s="9">
        <f t="shared" si="146"/>
        <v>-6818.3800000000192</v>
      </c>
      <c r="H225" s="9">
        <f t="shared" si="146"/>
        <v>1784.8799999999901</v>
      </c>
      <c r="I225" s="312">
        <f t="shared" si="146"/>
        <v>-11274.960000000006</v>
      </c>
      <c r="J225" s="312">
        <f t="shared" si="146"/>
        <v>-14141.779999999999</v>
      </c>
      <c r="K225" s="9"/>
      <c r="L225" s="9">
        <f t="shared" ref="L225:Q225" si="147">L222-L223-L224</f>
        <v>0</v>
      </c>
      <c r="M225" s="9">
        <f t="shared" si="147"/>
        <v>0</v>
      </c>
      <c r="N225" s="9">
        <f t="shared" si="147"/>
        <v>0</v>
      </c>
      <c r="O225" s="9">
        <f t="shared" si="147"/>
        <v>0</v>
      </c>
      <c r="P225" s="9">
        <f t="shared" si="147"/>
        <v>0</v>
      </c>
      <c r="Q225" s="9">
        <f t="shared" si="147"/>
        <v>0</v>
      </c>
    </row>
    <row r="226" spans="1:17" x14ac:dyDescent="0.35">
      <c r="B226" s="329"/>
      <c r="C226" s="2">
        <f t="shared" ref="C226:H226" si="148">C225*80%</f>
        <v>0</v>
      </c>
      <c r="D226" s="2">
        <f t="shared" si="148"/>
        <v>0</v>
      </c>
      <c r="E226" s="2">
        <f t="shared" si="148"/>
        <v>0</v>
      </c>
      <c r="F226" s="2">
        <f t="shared" si="148"/>
        <v>-283.69599999999627</v>
      </c>
      <c r="G226" s="2">
        <f t="shared" si="148"/>
        <v>-5454.7040000000161</v>
      </c>
      <c r="H226" s="2">
        <f t="shared" si="148"/>
        <v>1427.9039999999923</v>
      </c>
      <c r="I226" s="315">
        <f t="shared" ref="I226:J226" si="149">I225*90%</f>
        <v>-10147.464000000005</v>
      </c>
      <c r="J226" s="315">
        <f t="shared" si="149"/>
        <v>-12727.601999999999</v>
      </c>
      <c r="K226" s="2">
        <f t="shared" ref="K226:Q226" si="150">K225*80%</f>
        <v>0</v>
      </c>
      <c r="L226" s="2">
        <f t="shared" si="150"/>
        <v>0</v>
      </c>
      <c r="M226" s="2">
        <f t="shared" si="150"/>
        <v>0</v>
      </c>
      <c r="N226" s="2">
        <f t="shared" si="150"/>
        <v>0</v>
      </c>
      <c r="O226" s="2">
        <f t="shared" si="150"/>
        <v>0</v>
      </c>
      <c r="P226" s="2">
        <f t="shared" si="150"/>
        <v>0</v>
      </c>
      <c r="Q226" s="2">
        <f t="shared" si="150"/>
        <v>0</v>
      </c>
    </row>
    <row r="227" spans="1:17" x14ac:dyDescent="0.35">
      <c r="B227" s="32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x14ac:dyDescent="0.35">
      <c r="A228" s="376">
        <v>33</v>
      </c>
      <c r="B228" s="266" t="s">
        <v>254</v>
      </c>
      <c r="C228" s="6"/>
      <c r="D228" s="6"/>
      <c r="E228" s="6"/>
      <c r="F228" s="6">
        <v>46023</v>
      </c>
      <c r="G228" s="6">
        <v>46054</v>
      </c>
      <c r="H228" s="6">
        <v>46082</v>
      </c>
      <c r="I228" s="6">
        <v>46113</v>
      </c>
      <c r="J228" s="6">
        <v>46143</v>
      </c>
      <c r="K228" s="6">
        <v>46174</v>
      </c>
      <c r="L228" s="6">
        <v>46204</v>
      </c>
      <c r="M228" s="6">
        <v>46235</v>
      </c>
      <c r="N228" s="6">
        <v>46266</v>
      </c>
      <c r="O228" s="6">
        <v>46296</v>
      </c>
      <c r="P228" s="6">
        <v>46327</v>
      </c>
      <c r="Q228" s="6">
        <v>46357</v>
      </c>
    </row>
    <row r="229" spans="1:17" x14ac:dyDescent="0.35">
      <c r="A229" s="377"/>
      <c r="B229" s="267" t="s">
        <v>5</v>
      </c>
      <c r="C229" s="9"/>
      <c r="D229" s="9"/>
      <c r="E229" s="9"/>
      <c r="F229" s="9">
        <v>666770</v>
      </c>
      <c r="G229" s="9">
        <v>569147</v>
      </c>
      <c r="H229" s="9">
        <v>622892</v>
      </c>
      <c r="I229" s="9">
        <v>606080</v>
      </c>
      <c r="J229" s="9">
        <v>738174</v>
      </c>
      <c r="K229" s="9"/>
      <c r="L229" s="9"/>
      <c r="M229" s="9"/>
      <c r="N229" s="9"/>
      <c r="O229" s="9"/>
      <c r="P229" s="9"/>
      <c r="Q229" s="9"/>
    </row>
    <row r="230" spans="1:17" x14ac:dyDescent="0.35">
      <c r="A230" s="377"/>
      <c r="B230" s="267" t="s">
        <v>6</v>
      </c>
      <c r="C230" s="9"/>
      <c r="D230" s="9"/>
      <c r="E230" s="9"/>
      <c r="F230" s="9">
        <v>447277.69</v>
      </c>
      <c r="G230" s="9">
        <v>380511.7</v>
      </c>
      <c r="H230" s="9">
        <v>416735.97</v>
      </c>
      <c r="I230" s="9">
        <v>407934.33</v>
      </c>
      <c r="J230" s="9">
        <v>488357.53</v>
      </c>
      <c r="K230" s="9"/>
      <c r="L230" s="9"/>
      <c r="M230" s="9"/>
      <c r="N230" s="9"/>
      <c r="O230" s="9"/>
      <c r="P230" s="9"/>
      <c r="Q230" s="9"/>
    </row>
    <row r="231" spans="1:17" x14ac:dyDescent="0.35">
      <c r="A231" s="377"/>
      <c r="B231" s="267" t="s">
        <v>7</v>
      </c>
      <c r="C231" s="9"/>
      <c r="D231" s="9"/>
      <c r="E231" s="9"/>
      <c r="F231" s="9">
        <v>154100.51999999999</v>
      </c>
      <c r="G231" s="9">
        <v>133759.29</v>
      </c>
      <c r="H231" s="9">
        <v>127599.61</v>
      </c>
      <c r="I231" s="9">
        <v>143070.85999999999</v>
      </c>
      <c r="J231" s="9">
        <v>161623.07999999999</v>
      </c>
      <c r="K231" s="9"/>
      <c r="L231" s="9"/>
      <c r="M231" s="9"/>
      <c r="N231" s="9"/>
      <c r="O231" s="9"/>
      <c r="P231" s="9"/>
      <c r="Q231" s="9"/>
    </row>
    <row r="232" spans="1:17" x14ac:dyDescent="0.35">
      <c r="A232" s="378"/>
      <c r="B232" s="267" t="s">
        <v>8</v>
      </c>
      <c r="C232" s="9"/>
      <c r="D232" s="9"/>
      <c r="E232" s="9"/>
      <c r="F232" s="9">
        <f t="shared" ref="F232:J232" si="151">F229-F230-F231</f>
        <v>65391.790000000008</v>
      </c>
      <c r="G232" s="9">
        <f t="shared" si="151"/>
        <v>54876.00999999998</v>
      </c>
      <c r="H232" s="9">
        <f t="shared" si="151"/>
        <v>78556.420000000027</v>
      </c>
      <c r="I232" s="9">
        <f t="shared" si="151"/>
        <v>55074.81</v>
      </c>
      <c r="J232" s="9">
        <f t="shared" si="151"/>
        <v>88193.389999999985</v>
      </c>
      <c r="K232" s="9"/>
      <c r="L232" s="9">
        <f t="shared" ref="L232:Q232" si="152">L229-L230-L231</f>
        <v>0</v>
      </c>
      <c r="M232" s="9">
        <f t="shared" si="152"/>
        <v>0</v>
      </c>
      <c r="N232" s="9">
        <f t="shared" si="152"/>
        <v>0</v>
      </c>
      <c r="O232" s="9">
        <f t="shared" si="152"/>
        <v>0</v>
      </c>
      <c r="P232" s="9">
        <f t="shared" si="152"/>
        <v>0</v>
      </c>
      <c r="Q232" s="9">
        <f t="shared" si="152"/>
        <v>0</v>
      </c>
    </row>
    <row r="233" spans="1:17" x14ac:dyDescent="0.35">
      <c r="B233" s="329"/>
      <c r="C233" s="2">
        <f t="shared" ref="C233:H233" si="153">C232*80%</f>
        <v>0</v>
      </c>
      <c r="D233" s="2">
        <f t="shared" si="153"/>
        <v>0</v>
      </c>
      <c r="E233" s="2">
        <f t="shared" si="153"/>
        <v>0</v>
      </c>
      <c r="F233" s="2">
        <f t="shared" si="153"/>
        <v>52313.432000000008</v>
      </c>
      <c r="G233" s="2">
        <f t="shared" si="153"/>
        <v>43900.80799999999</v>
      </c>
      <c r="H233" s="2">
        <f t="shared" si="153"/>
        <v>62845.136000000028</v>
      </c>
      <c r="I233" s="2">
        <f t="shared" ref="I233:J233" si="154">I232*90%</f>
        <v>49567.328999999998</v>
      </c>
      <c r="J233" s="2">
        <f t="shared" si="154"/>
        <v>79374.050999999992</v>
      </c>
      <c r="K233" s="2">
        <f t="shared" ref="K233:Q233" si="155">K232*80%</f>
        <v>0</v>
      </c>
      <c r="L233" s="2">
        <f t="shared" si="155"/>
        <v>0</v>
      </c>
      <c r="M233" s="2">
        <f t="shared" si="155"/>
        <v>0</v>
      </c>
      <c r="N233" s="2">
        <f t="shared" si="155"/>
        <v>0</v>
      </c>
      <c r="O233" s="2">
        <f t="shared" si="155"/>
        <v>0</v>
      </c>
      <c r="P233" s="2">
        <f t="shared" si="155"/>
        <v>0</v>
      </c>
      <c r="Q233" s="2">
        <f t="shared" si="155"/>
        <v>0</v>
      </c>
    </row>
    <row r="234" spans="1:17" x14ac:dyDescent="0.35">
      <c r="B234" s="32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x14ac:dyDescent="0.35">
      <c r="A235" s="376">
        <v>34</v>
      </c>
      <c r="B235" s="266" t="s">
        <v>304</v>
      </c>
      <c r="C235" s="6"/>
      <c r="D235" s="6"/>
      <c r="E235" s="6"/>
      <c r="F235" s="6">
        <v>46023</v>
      </c>
      <c r="G235" s="6">
        <v>46054</v>
      </c>
      <c r="H235" s="6">
        <v>46082</v>
      </c>
      <c r="I235" s="6">
        <v>46113</v>
      </c>
      <c r="J235" s="6">
        <v>46143</v>
      </c>
      <c r="K235" s="6">
        <v>46174</v>
      </c>
      <c r="L235" s="6">
        <v>46204</v>
      </c>
      <c r="M235" s="6">
        <v>46235</v>
      </c>
      <c r="N235" s="6">
        <v>46266</v>
      </c>
      <c r="O235" s="6">
        <v>46296</v>
      </c>
      <c r="P235" s="6">
        <v>46327</v>
      </c>
      <c r="Q235" s="6">
        <v>46357</v>
      </c>
    </row>
    <row r="236" spans="1:17" x14ac:dyDescent="0.35">
      <c r="A236" s="377"/>
      <c r="B236" s="267" t="s">
        <v>5</v>
      </c>
      <c r="C236" s="9"/>
      <c r="D236" s="9"/>
      <c r="E236" s="9"/>
      <c r="F236" s="9">
        <v>330541</v>
      </c>
      <c r="G236" s="9">
        <v>292650</v>
      </c>
      <c r="H236" s="9">
        <v>356376</v>
      </c>
      <c r="I236" s="9">
        <v>285645</v>
      </c>
      <c r="J236" s="9">
        <v>304455.5</v>
      </c>
      <c r="K236" s="9"/>
      <c r="L236" s="9"/>
      <c r="M236" s="9"/>
      <c r="N236" s="9"/>
      <c r="O236" s="9"/>
      <c r="P236" s="9"/>
      <c r="Q236" s="9"/>
    </row>
    <row r="237" spans="1:17" x14ac:dyDescent="0.35">
      <c r="A237" s="377"/>
      <c r="B237" s="267" t="s">
        <v>6</v>
      </c>
      <c r="C237" s="9"/>
      <c r="D237" s="9"/>
      <c r="E237" s="9"/>
      <c r="F237" s="9">
        <v>217829.62</v>
      </c>
      <c r="G237" s="9">
        <v>98707.55</v>
      </c>
      <c r="H237" s="9">
        <v>236642.56</v>
      </c>
      <c r="I237" s="9">
        <v>189538.58</v>
      </c>
      <c r="J237" s="9">
        <v>200191.98</v>
      </c>
      <c r="K237" s="9"/>
      <c r="L237" s="9"/>
      <c r="M237" s="9"/>
      <c r="N237" s="9"/>
      <c r="O237" s="9"/>
      <c r="P237" s="9"/>
      <c r="Q237" s="9"/>
    </row>
    <row r="238" spans="1:17" x14ac:dyDescent="0.35">
      <c r="A238" s="377"/>
      <c r="B238" s="267" t="s">
        <v>7</v>
      </c>
      <c r="C238" s="9"/>
      <c r="D238" s="9"/>
      <c r="E238" s="9"/>
      <c r="F238" s="9">
        <v>112165.87</v>
      </c>
      <c r="G238" s="9">
        <v>97548.74</v>
      </c>
      <c r="H238" s="9">
        <v>89666.7</v>
      </c>
      <c r="I238" s="9">
        <v>93144.38</v>
      </c>
      <c r="J238" s="9">
        <v>92898.36</v>
      </c>
      <c r="K238" s="9"/>
      <c r="L238" s="9"/>
      <c r="M238" s="9"/>
      <c r="N238" s="9"/>
      <c r="O238" s="9"/>
      <c r="P238" s="9"/>
      <c r="Q238" s="9"/>
    </row>
    <row r="239" spans="1:17" x14ac:dyDescent="0.35">
      <c r="A239" s="378"/>
      <c r="B239" s="267" t="s">
        <v>8</v>
      </c>
      <c r="C239" s="9"/>
      <c r="D239" s="9"/>
      <c r="E239" s="9"/>
      <c r="F239" s="9">
        <f t="shared" ref="F239:J239" si="156">F236-F237-F238</f>
        <v>545.51000000000931</v>
      </c>
      <c r="G239" s="9">
        <f t="shared" si="156"/>
        <v>96393.71</v>
      </c>
      <c r="H239" s="9">
        <f t="shared" si="156"/>
        <v>30066.740000000005</v>
      </c>
      <c r="I239" s="9">
        <f t="shared" si="156"/>
        <v>2962.0400000000081</v>
      </c>
      <c r="J239" s="9">
        <f t="shared" si="156"/>
        <v>11365.159999999989</v>
      </c>
      <c r="K239" s="9"/>
      <c r="L239" s="9">
        <f t="shared" ref="L239:Q239" si="157">L236-L237-L238</f>
        <v>0</v>
      </c>
      <c r="M239" s="9">
        <f t="shared" si="157"/>
        <v>0</v>
      </c>
      <c r="N239" s="9">
        <f t="shared" si="157"/>
        <v>0</v>
      </c>
      <c r="O239" s="9">
        <f t="shared" si="157"/>
        <v>0</v>
      </c>
      <c r="P239" s="9">
        <f t="shared" si="157"/>
        <v>0</v>
      </c>
      <c r="Q239" s="9">
        <f t="shared" si="157"/>
        <v>0</v>
      </c>
    </row>
    <row r="240" spans="1:17" x14ac:dyDescent="0.35">
      <c r="B240" s="329"/>
      <c r="C240" s="2">
        <f t="shared" ref="C240:H240" si="158">C239*80%</f>
        <v>0</v>
      </c>
      <c r="D240" s="2">
        <f t="shared" si="158"/>
        <v>0</v>
      </c>
      <c r="E240" s="2">
        <f t="shared" si="158"/>
        <v>0</v>
      </c>
      <c r="F240" s="2">
        <f t="shared" si="158"/>
        <v>436.40800000000746</v>
      </c>
      <c r="G240" s="2">
        <f t="shared" si="158"/>
        <v>77114.968000000008</v>
      </c>
      <c r="H240" s="2">
        <f t="shared" si="158"/>
        <v>24053.392000000007</v>
      </c>
      <c r="I240" s="2">
        <f t="shared" ref="I240:J240" si="159">I239*90%</f>
        <v>2665.8360000000075</v>
      </c>
      <c r="J240" s="2">
        <f t="shared" si="159"/>
        <v>10228.643999999991</v>
      </c>
      <c r="K240" s="2">
        <f t="shared" ref="K240:Q240" si="160">K239*80%</f>
        <v>0</v>
      </c>
      <c r="L240" s="2">
        <f t="shared" si="160"/>
        <v>0</v>
      </c>
      <c r="M240" s="2">
        <f t="shared" si="160"/>
        <v>0</v>
      </c>
      <c r="N240" s="2">
        <f t="shared" si="160"/>
        <v>0</v>
      </c>
      <c r="O240" s="2">
        <f t="shared" si="160"/>
        <v>0</v>
      </c>
      <c r="P240" s="2">
        <f t="shared" si="160"/>
        <v>0</v>
      </c>
      <c r="Q240" s="2">
        <f t="shared" si="160"/>
        <v>0</v>
      </c>
    </row>
    <row r="241" spans="1:17" x14ac:dyDescent="0.35">
      <c r="B241" s="32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x14ac:dyDescent="0.35">
      <c r="A242" s="376">
        <v>35</v>
      </c>
      <c r="B242" s="266" t="s">
        <v>303</v>
      </c>
      <c r="C242" s="6"/>
      <c r="D242" s="6"/>
      <c r="E242" s="6"/>
      <c r="F242" s="6">
        <v>46023</v>
      </c>
      <c r="G242" s="6">
        <v>46054</v>
      </c>
      <c r="H242" s="6">
        <v>46082</v>
      </c>
      <c r="I242" s="6">
        <v>46113</v>
      </c>
      <c r="J242" s="6">
        <v>46143</v>
      </c>
      <c r="K242" s="6">
        <v>46174</v>
      </c>
      <c r="L242" s="6">
        <v>46204</v>
      </c>
      <c r="M242" s="6">
        <v>46235</v>
      </c>
      <c r="N242" s="6">
        <v>46266</v>
      </c>
      <c r="O242" s="6">
        <v>46296</v>
      </c>
      <c r="P242" s="6">
        <v>46327</v>
      </c>
      <c r="Q242" s="6">
        <v>46357</v>
      </c>
    </row>
    <row r="243" spans="1:17" x14ac:dyDescent="0.35">
      <c r="A243" s="377"/>
      <c r="B243" s="267" t="s">
        <v>5</v>
      </c>
      <c r="C243" s="9"/>
      <c r="D243" s="9"/>
      <c r="E243" s="9"/>
      <c r="F243" s="9">
        <v>919274.5</v>
      </c>
      <c r="G243" s="9">
        <v>967219.5</v>
      </c>
      <c r="H243" s="9">
        <v>971924.5</v>
      </c>
      <c r="I243" s="9">
        <f>april!BG42</f>
        <v>892285</v>
      </c>
      <c r="J243" s="9">
        <v>1060533.5</v>
      </c>
      <c r="K243" s="9"/>
      <c r="L243" s="9"/>
      <c r="M243" s="9"/>
      <c r="N243" s="9"/>
      <c r="O243" s="9"/>
      <c r="P243" s="9"/>
      <c r="Q243" s="9"/>
    </row>
    <row r="244" spans="1:17" x14ac:dyDescent="0.35">
      <c r="A244" s="377"/>
      <c r="B244" s="267" t="s">
        <v>6</v>
      </c>
      <c r="C244" s="9"/>
      <c r="D244" s="9"/>
      <c r="E244" s="9"/>
      <c r="F244" s="9">
        <v>623433.82999999996</v>
      </c>
      <c r="G244" s="9">
        <v>651526.97</v>
      </c>
      <c r="H244" s="9">
        <v>661250.57999999996</v>
      </c>
      <c r="I244" s="9">
        <f>april!BH42</f>
        <v>608083.44999999995</v>
      </c>
      <c r="J244" s="9">
        <v>706553.79</v>
      </c>
      <c r="K244" s="9"/>
      <c r="L244" s="9"/>
      <c r="M244" s="9"/>
      <c r="N244" s="9"/>
      <c r="O244" s="9"/>
      <c r="P244" s="9"/>
      <c r="Q244" s="9"/>
    </row>
    <row r="245" spans="1:17" x14ac:dyDescent="0.35">
      <c r="A245" s="377"/>
      <c r="B245" s="267" t="s">
        <v>7</v>
      </c>
      <c r="C245" s="9"/>
      <c r="D245" s="9"/>
      <c r="E245" s="9"/>
      <c r="F245" s="9">
        <v>228526.37</v>
      </c>
      <c r="G245" s="9">
        <v>210293.41</v>
      </c>
      <c r="H245" s="9">
        <v>203213.54</v>
      </c>
      <c r="I245" s="9">
        <f>april!BU42</f>
        <v>214710.2</v>
      </c>
      <c r="J245" s="9">
        <v>249543.63</v>
      </c>
      <c r="K245" s="9"/>
      <c r="L245" s="9"/>
      <c r="M245" s="9"/>
      <c r="N245" s="9"/>
      <c r="O245" s="9"/>
      <c r="P245" s="9"/>
      <c r="Q245" s="9"/>
    </row>
    <row r="246" spans="1:17" x14ac:dyDescent="0.35">
      <c r="A246" s="378"/>
      <c r="B246" s="267" t="s">
        <v>8</v>
      </c>
      <c r="C246" s="9"/>
      <c r="D246" s="9"/>
      <c r="E246" s="9"/>
      <c r="F246" s="9">
        <f t="shared" ref="F246:Q246" si="161">F243-F244-F245</f>
        <v>67314.300000000047</v>
      </c>
      <c r="G246" s="9">
        <f t="shared" si="161"/>
        <v>105399.12000000002</v>
      </c>
      <c r="H246" s="9">
        <f t="shared" si="161"/>
        <v>107460.38000000003</v>
      </c>
      <c r="I246" s="9">
        <f t="shared" si="161"/>
        <v>69491.350000000035</v>
      </c>
      <c r="J246" s="9">
        <f t="shared" si="161"/>
        <v>104436.07999999996</v>
      </c>
      <c r="K246" s="9">
        <f t="shared" si="161"/>
        <v>0</v>
      </c>
      <c r="L246" s="9">
        <f t="shared" si="161"/>
        <v>0</v>
      </c>
      <c r="M246" s="9">
        <f t="shared" si="161"/>
        <v>0</v>
      </c>
      <c r="N246" s="9">
        <f t="shared" si="161"/>
        <v>0</v>
      </c>
      <c r="O246" s="9">
        <f t="shared" si="161"/>
        <v>0</v>
      </c>
      <c r="P246" s="9">
        <f t="shared" si="161"/>
        <v>0</v>
      </c>
      <c r="Q246" s="9">
        <f t="shared" si="161"/>
        <v>0</v>
      </c>
    </row>
    <row r="247" spans="1:17" x14ac:dyDescent="0.35">
      <c r="B247" s="329"/>
      <c r="C247" s="2">
        <f t="shared" ref="C247:I247" si="162">C246*80%</f>
        <v>0</v>
      </c>
      <c r="D247" s="2">
        <f t="shared" si="162"/>
        <v>0</v>
      </c>
      <c r="E247" s="2">
        <f t="shared" si="162"/>
        <v>0</v>
      </c>
      <c r="F247" s="2">
        <f t="shared" si="162"/>
        <v>53851.440000000039</v>
      </c>
      <c r="G247" s="2">
        <f t="shared" si="162"/>
        <v>84319.296000000031</v>
      </c>
      <c r="H247" s="2">
        <f t="shared" si="162"/>
        <v>85968.304000000033</v>
      </c>
      <c r="I247" s="2">
        <f t="shared" si="162"/>
        <v>55593.080000000031</v>
      </c>
      <c r="J247" s="2">
        <f>J246*90%</f>
        <v>93992.471999999965</v>
      </c>
      <c r="K247" s="2">
        <f t="shared" ref="K247:Q247" si="163">K246*80%</f>
        <v>0</v>
      </c>
      <c r="L247" s="2">
        <f t="shared" si="163"/>
        <v>0</v>
      </c>
      <c r="M247" s="2">
        <f t="shared" si="163"/>
        <v>0</v>
      </c>
      <c r="N247" s="2">
        <f t="shared" si="163"/>
        <v>0</v>
      </c>
      <c r="O247" s="2">
        <f t="shared" si="163"/>
        <v>0</v>
      </c>
      <c r="P247" s="2">
        <f t="shared" si="163"/>
        <v>0</v>
      </c>
      <c r="Q247" s="2">
        <f t="shared" si="163"/>
        <v>0</v>
      </c>
    </row>
    <row r="248" spans="1:17" x14ac:dyDescent="0.35">
      <c r="B248" s="32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x14ac:dyDescent="0.35">
      <c r="A249" s="376">
        <v>36</v>
      </c>
      <c r="B249" s="266" t="s">
        <v>219</v>
      </c>
      <c r="C249" s="6"/>
      <c r="D249" s="6"/>
      <c r="E249" s="6"/>
      <c r="F249" s="6">
        <v>46023</v>
      </c>
      <c r="G249" s="6">
        <v>46054</v>
      </c>
      <c r="H249" s="6">
        <v>46082</v>
      </c>
      <c r="I249" s="6">
        <v>46113</v>
      </c>
      <c r="J249" s="6">
        <v>46143</v>
      </c>
      <c r="K249" s="6">
        <v>46174</v>
      </c>
      <c r="L249" s="6">
        <v>46204</v>
      </c>
      <c r="M249" s="6">
        <v>46235</v>
      </c>
      <c r="N249" s="6">
        <v>46266</v>
      </c>
      <c r="O249" s="6">
        <v>46296</v>
      </c>
      <c r="P249" s="6">
        <v>46327</v>
      </c>
      <c r="Q249" s="6">
        <v>46357</v>
      </c>
    </row>
    <row r="250" spans="1:17" x14ac:dyDescent="0.35">
      <c r="A250" s="377"/>
      <c r="B250" s="267" t="s">
        <v>5</v>
      </c>
      <c r="C250" s="9"/>
      <c r="D250" s="9"/>
      <c r="E250" s="9"/>
      <c r="F250" s="9"/>
      <c r="G250" s="9"/>
      <c r="H250" s="9">
        <v>476087</v>
      </c>
      <c r="I250" s="9">
        <v>537040.5</v>
      </c>
      <c r="J250" s="9">
        <v>637387</v>
      </c>
      <c r="K250" s="9"/>
      <c r="L250" s="9"/>
      <c r="M250" s="9"/>
      <c r="N250" s="9"/>
      <c r="O250" s="9"/>
      <c r="P250" s="9"/>
      <c r="Q250" s="9"/>
    </row>
    <row r="251" spans="1:17" x14ac:dyDescent="0.35">
      <c r="A251" s="377"/>
      <c r="B251" s="267" t="s">
        <v>6</v>
      </c>
      <c r="C251" s="9"/>
      <c r="D251" s="9"/>
      <c r="E251" s="9"/>
      <c r="F251" s="9"/>
      <c r="G251" s="9"/>
      <c r="H251" s="9">
        <v>318967.88</v>
      </c>
      <c r="I251" s="9">
        <v>358425.57</v>
      </c>
      <c r="J251" s="9">
        <v>412094.68</v>
      </c>
      <c r="K251" s="9"/>
      <c r="L251" s="9"/>
      <c r="M251" s="9"/>
      <c r="N251" s="9"/>
      <c r="O251" s="9"/>
      <c r="P251" s="9"/>
      <c r="Q251" s="9"/>
    </row>
    <row r="252" spans="1:17" x14ac:dyDescent="0.35">
      <c r="A252" s="377"/>
      <c r="B252" s="267" t="s">
        <v>7</v>
      </c>
      <c r="C252" s="9"/>
      <c r="D252" s="9"/>
      <c r="E252" s="9"/>
      <c r="F252" s="9"/>
      <c r="G252" s="9"/>
      <c r="H252" s="9">
        <v>106233.3</v>
      </c>
      <c r="I252" s="9">
        <v>155046.20000000001</v>
      </c>
      <c r="J252" s="9">
        <v>169917.44</v>
      </c>
      <c r="K252" s="9"/>
      <c r="L252" s="9"/>
      <c r="M252" s="9"/>
      <c r="N252" s="9"/>
      <c r="O252" s="9"/>
      <c r="P252" s="9"/>
      <c r="Q252" s="9"/>
    </row>
    <row r="253" spans="1:17" x14ac:dyDescent="0.35">
      <c r="A253" s="378"/>
      <c r="B253" s="267" t="s">
        <v>8</v>
      </c>
      <c r="C253" s="9"/>
      <c r="D253" s="9"/>
      <c r="E253" s="9"/>
      <c r="F253" s="9">
        <f t="shared" ref="F253:J253" si="164">F250-F251-F252</f>
        <v>0</v>
      </c>
      <c r="G253" s="9">
        <f t="shared" si="164"/>
        <v>0</v>
      </c>
      <c r="H253" s="9">
        <f t="shared" si="164"/>
        <v>50885.819999999992</v>
      </c>
      <c r="I253" s="9">
        <f t="shared" si="164"/>
        <v>23568.729999999981</v>
      </c>
      <c r="J253" s="9">
        <f t="shared" si="164"/>
        <v>55374.880000000005</v>
      </c>
      <c r="K253" s="9"/>
      <c r="L253" s="9">
        <f t="shared" ref="L253:Q253" si="165">L250-L251-L252</f>
        <v>0</v>
      </c>
      <c r="M253" s="9">
        <f t="shared" si="165"/>
        <v>0</v>
      </c>
      <c r="N253" s="9">
        <f t="shared" si="165"/>
        <v>0</v>
      </c>
      <c r="O253" s="9">
        <f t="shared" si="165"/>
        <v>0</v>
      </c>
      <c r="P253" s="9">
        <f t="shared" si="165"/>
        <v>0</v>
      </c>
      <c r="Q253" s="9">
        <f t="shared" si="165"/>
        <v>0</v>
      </c>
    </row>
    <row r="254" spans="1:17" x14ac:dyDescent="0.35">
      <c r="B254" s="329"/>
      <c r="C254" s="2">
        <f t="shared" ref="C254:H254" si="166">C253*80%</f>
        <v>0</v>
      </c>
      <c r="D254" s="2">
        <f t="shared" si="166"/>
        <v>0</v>
      </c>
      <c r="E254" s="2">
        <f t="shared" si="166"/>
        <v>0</v>
      </c>
      <c r="F254" s="2">
        <f t="shared" si="166"/>
        <v>0</v>
      </c>
      <c r="G254" s="2">
        <f t="shared" si="166"/>
        <v>0</v>
      </c>
      <c r="H254" s="2">
        <f t="shared" si="166"/>
        <v>40708.655999999995</v>
      </c>
      <c r="I254" s="2">
        <f t="shared" ref="I254:J254" si="167">I253*90%</f>
        <v>21211.856999999985</v>
      </c>
      <c r="J254" s="2">
        <f t="shared" si="167"/>
        <v>49837.392000000007</v>
      </c>
      <c r="K254" s="2">
        <f t="shared" ref="K254:Q254" si="168">K253*80%</f>
        <v>0</v>
      </c>
      <c r="L254" s="2">
        <f t="shared" si="168"/>
        <v>0</v>
      </c>
      <c r="M254" s="2">
        <f t="shared" si="168"/>
        <v>0</v>
      </c>
      <c r="N254" s="2">
        <f t="shared" si="168"/>
        <v>0</v>
      </c>
      <c r="O254" s="2">
        <f t="shared" si="168"/>
        <v>0</v>
      </c>
      <c r="P254" s="2">
        <f t="shared" si="168"/>
        <v>0</v>
      </c>
      <c r="Q254" s="2">
        <f t="shared" si="168"/>
        <v>0</v>
      </c>
    </row>
    <row r="255" spans="1:17" x14ac:dyDescent="0.3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x14ac:dyDescent="0.35">
      <c r="A256" s="376">
        <v>37</v>
      </c>
      <c r="B256" s="266" t="s">
        <v>247</v>
      </c>
      <c r="C256" s="6"/>
      <c r="D256" s="6"/>
      <c r="E256" s="6"/>
      <c r="F256" s="6">
        <v>46023</v>
      </c>
      <c r="G256" s="6">
        <v>46054</v>
      </c>
      <c r="H256" s="6">
        <v>46082</v>
      </c>
      <c r="I256" s="6">
        <v>46113</v>
      </c>
      <c r="J256" s="6">
        <v>46143</v>
      </c>
      <c r="K256" s="6">
        <v>46174</v>
      </c>
      <c r="L256" s="6">
        <v>46204</v>
      </c>
      <c r="M256" s="6">
        <v>46235</v>
      </c>
      <c r="N256" s="6">
        <v>46266</v>
      </c>
      <c r="O256" s="6">
        <v>46296</v>
      </c>
      <c r="P256" s="6">
        <v>46327</v>
      </c>
      <c r="Q256" s="2"/>
    </row>
    <row r="257" spans="1:17" x14ac:dyDescent="0.35">
      <c r="A257" s="377"/>
      <c r="B257" s="267" t="s">
        <v>5</v>
      </c>
      <c r="C257" s="9"/>
      <c r="D257" s="9"/>
      <c r="E257" s="9"/>
      <c r="F257" s="9"/>
      <c r="G257" s="9"/>
      <c r="H257" s="9"/>
      <c r="I257" s="9"/>
      <c r="J257" s="9">
        <v>486915</v>
      </c>
      <c r="K257" s="9"/>
      <c r="L257" s="9"/>
      <c r="M257" s="9"/>
      <c r="N257" s="9"/>
      <c r="O257" s="9"/>
      <c r="P257" s="9"/>
      <c r="Q257" s="2"/>
    </row>
    <row r="258" spans="1:17" x14ac:dyDescent="0.35">
      <c r="A258" s="377"/>
      <c r="B258" s="267" t="s">
        <v>6</v>
      </c>
      <c r="C258" s="9"/>
      <c r="D258" s="9"/>
      <c r="E258" s="9"/>
      <c r="F258" s="9"/>
      <c r="G258" s="9"/>
      <c r="H258" s="9"/>
      <c r="I258" s="9"/>
      <c r="J258" s="9">
        <v>329199.7</v>
      </c>
      <c r="K258" s="9"/>
      <c r="L258" s="9"/>
      <c r="M258" s="9"/>
      <c r="N258" s="9"/>
      <c r="O258" s="9"/>
      <c r="P258" s="9"/>
      <c r="Q258" s="2"/>
    </row>
    <row r="259" spans="1:17" x14ac:dyDescent="0.35">
      <c r="A259" s="377"/>
      <c r="B259" s="267" t="s">
        <v>7</v>
      </c>
      <c r="C259" s="9"/>
      <c r="D259" s="9"/>
      <c r="E259" s="9"/>
      <c r="F259" s="9"/>
      <c r="G259" s="9"/>
      <c r="H259" s="9"/>
      <c r="I259" s="9"/>
      <c r="J259" s="9">
        <v>121890.33</v>
      </c>
      <c r="K259" s="9"/>
      <c r="L259" s="9"/>
      <c r="M259" s="9"/>
      <c r="N259" s="9"/>
      <c r="O259" s="9"/>
      <c r="P259" s="9"/>
      <c r="Q259" s="2"/>
    </row>
    <row r="260" spans="1:17" x14ac:dyDescent="0.35">
      <c r="A260" s="378"/>
      <c r="B260" s="267" t="s">
        <v>8</v>
      </c>
      <c r="C260" s="9"/>
      <c r="D260" s="9"/>
      <c r="E260" s="9"/>
      <c r="F260" s="9">
        <f t="shared" ref="F260:J260" si="169">F257-F258-F259</f>
        <v>0</v>
      </c>
      <c r="G260" s="9">
        <f t="shared" si="169"/>
        <v>0</v>
      </c>
      <c r="H260" s="9">
        <f t="shared" si="169"/>
        <v>0</v>
      </c>
      <c r="I260" s="9">
        <f t="shared" si="169"/>
        <v>0</v>
      </c>
      <c r="J260" s="9">
        <f t="shared" si="169"/>
        <v>35824.969999999987</v>
      </c>
      <c r="K260" s="9"/>
      <c r="L260" s="9">
        <f t="shared" ref="L260:P260" si="170">L257-L258-L259</f>
        <v>0</v>
      </c>
      <c r="M260" s="9">
        <f t="shared" si="170"/>
        <v>0</v>
      </c>
      <c r="N260" s="9">
        <f t="shared" si="170"/>
        <v>0</v>
      </c>
      <c r="O260" s="9">
        <f t="shared" si="170"/>
        <v>0</v>
      </c>
      <c r="P260" s="9">
        <f t="shared" si="170"/>
        <v>0</v>
      </c>
      <c r="Q260" s="2"/>
    </row>
    <row r="261" spans="1:17" x14ac:dyDescent="0.35">
      <c r="B261" s="329"/>
      <c r="C261" s="2">
        <f t="shared" ref="C261:H261" si="171">C260*80%</f>
        <v>0</v>
      </c>
      <c r="D261" s="2">
        <f t="shared" si="171"/>
        <v>0</v>
      </c>
      <c r="E261" s="2">
        <f t="shared" si="171"/>
        <v>0</v>
      </c>
      <c r="F261" s="2">
        <f t="shared" si="171"/>
        <v>0</v>
      </c>
      <c r="G261" s="2">
        <f t="shared" si="171"/>
        <v>0</v>
      </c>
      <c r="H261" s="2">
        <f t="shared" si="171"/>
        <v>0</v>
      </c>
      <c r="I261" s="2">
        <f t="shared" ref="I261:J261" si="172">I260*90%</f>
        <v>0</v>
      </c>
      <c r="J261" s="2">
        <f t="shared" si="172"/>
        <v>32242.472999999987</v>
      </c>
      <c r="K261" s="2">
        <f t="shared" ref="K261:P261" si="173">K260*80%</f>
        <v>0</v>
      </c>
      <c r="L261" s="2">
        <f t="shared" si="173"/>
        <v>0</v>
      </c>
      <c r="M261" s="2">
        <f t="shared" si="173"/>
        <v>0</v>
      </c>
      <c r="N261" s="2">
        <f t="shared" si="173"/>
        <v>0</v>
      </c>
      <c r="O261" s="2">
        <f t="shared" si="173"/>
        <v>0</v>
      </c>
      <c r="P261" s="2">
        <f t="shared" si="173"/>
        <v>0</v>
      </c>
      <c r="Q261" s="2"/>
    </row>
    <row r="262" spans="1:17" x14ac:dyDescent="0.35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x14ac:dyDescent="0.35">
      <c r="A263" s="376">
        <v>38</v>
      </c>
      <c r="B263" s="266" t="s">
        <v>246</v>
      </c>
      <c r="C263" s="6"/>
      <c r="D263" s="6"/>
      <c r="E263" s="6"/>
      <c r="F263" s="6">
        <v>46023</v>
      </c>
      <c r="G263" s="6">
        <v>46054</v>
      </c>
      <c r="H263" s="6">
        <v>46082</v>
      </c>
      <c r="I263" s="6">
        <v>46113</v>
      </c>
      <c r="J263" s="6">
        <v>46143</v>
      </c>
      <c r="K263" s="6">
        <v>46174</v>
      </c>
      <c r="L263" s="6">
        <v>46204</v>
      </c>
      <c r="M263" s="6">
        <v>46235</v>
      </c>
      <c r="N263" s="6">
        <v>46266</v>
      </c>
      <c r="O263" s="6">
        <v>46296</v>
      </c>
      <c r="P263" s="6">
        <v>46327</v>
      </c>
      <c r="Q263" s="2"/>
    </row>
    <row r="264" spans="1:17" x14ac:dyDescent="0.35">
      <c r="A264" s="377"/>
      <c r="B264" s="267" t="s">
        <v>5</v>
      </c>
      <c r="C264" s="9"/>
      <c r="D264" s="9"/>
      <c r="E264" s="9"/>
      <c r="F264" s="9"/>
      <c r="G264" s="9"/>
      <c r="H264" s="9"/>
      <c r="I264" s="9">
        <v>177772</v>
      </c>
      <c r="J264" s="9">
        <v>379682</v>
      </c>
      <c r="K264" s="9"/>
      <c r="L264" s="9"/>
      <c r="M264" s="9"/>
      <c r="N264" s="9"/>
      <c r="O264" s="9"/>
      <c r="P264" s="9"/>
      <c r="Q264" s="2"/>
    </row>
    <row r="265" spans="1:17" x14ac:dyDescent="0.35">
      <c r="A265" s="377"/>
      <c r="B265" s="267" t="s">
        <v>6</v>
      </c>
      <c r="C265" s="9"/>
      <c r="D265" s="9"/>
      <c r="E265" s="9"/>
      <c r="F265" s="9"/>
      <c r="G265" s="9"/>
      <c r="H265" s="9"/>
      <c r="I265" s="9">
        <v>117775.07</v>
      </c>
      <c r="J265" s="9">
        <v>246145.47</v>
      </c>
      <c r="K265" s="9"/>
      <c r="L265" s="9"/>
      <c r="M265" s="9"/>
      <c r="N265" s="9"/>
      <c r="O265" s="9"/>
      <c r="P265" s="9"/>
      <c r="Q265" s="2"/>
    </row>
    <row r="266" spans="1:17" x14ac:dyDescent="0.35">
      <c r="A266" s="377"/>
      <c r="B266" s="267" t="s">
        <v>7</v>
      </c>
      <c r="C266" s="9"/>
      <c r="D266" s="9"/>
      <c r="E266" s="9"/>
      <c r="F266" s="9"/>
      <c r="G266" s="9"/>
      <c r="H266" s="9"/>
      <c r="I266" s="9">
        <v>43006.38</v>
      </c>
      <c r="J266" s="9">
        <v>114269.13</v>
      </c>
      <c r="K266" s="9"/>
      <c r="L266" s="9"/>
      <c r="M266" s="9"/>
      <c r="N266" s="9"/>
      <c r="O266" s="9"/>
      <c r="P266" s="9"/>
      <c r="Q266" s="2"/>
    </row>
    <row r="267" spans="1:17" x14ac:dyDescent="0.35">
      <c r="A267" s="378"/>
      <c r="B267" s="267" t="s">
        <v>8</v>
      </c>
      <c r="C267" s="9"/>
      <c r="D267" s="9"/>
      <c r="E267" s="9"/>
      <c r="F267" s="9">
        <f t="shared" ref="F267:J267" si="174">F264-F265-F266</f>
        <v>0</v>
      </c>
      <c r="G267" s="9">
        <f t="shared" si="174"/>
        <v>0</v>
      </c>
      <c r="H267" s="9">
        <f t="shared" si="174"/>
        <v>0</v>
      </c>
      <c r="I267" s="9">
        <f t="shared" si="174"/>
        <v>16990.549999999996</v>
      </c>
      <c r="J267" s="9">
        <f t="shared" si="174"/>
        <v>19267.399999999994</v>
      </c>
      <c r="K267" s="9"/>
      <c r="L267" s="9">
        <f t="shared" ref="L267:P267" si="175">L264-L265-L266</f>
        <v>0</v>
      </c>
      <c r="M267" s="9">
        <f t="shared" si="175"/>
        <v>0</v>
      </c>
      <c r="N267" s="9">
        <f t="shared" si="175"/>
        <v>0</v>
      </c>
      <c r="O267" s="9">
        <f t="shared" si="175"/>
        <v>0</v>
      </c>
      <c r="P267" s="9">
        <f t="shared" si="175"/>
        <v>0</v>
      </c>
      <c r="Q267" s="2"/>
    </row>
    <row r="268" spans="1:17" x14ac:dyDescent="0.35">
      <c r="B268" s="329"/>
      <c r="C268" s="2">
        <f t="shared" ref="C268:H268" si="176">C267*80%</f>
        <v>0</v>
      </c>
      <c r="D268" s="2">
        <f t="shared" si="176"/>
        <v>0</v>
      </c>
      <c r="E268" s="2">
        <f t="shared" si="176"/>
        <v>0</v>
      </c>
      <c r="F268" s="2">
        <f t="shared" si="176"/>
        <v>0</v>
      </c>
      <c r="G268" s="2">
        <f t="shared" si="176"/>
        <v>0</v>
      </c>
      <c r="H268" s="2">
        <f t="shared" si="176"/>
        <v>0</v>
      </c>
      <c r="I268" s="2">
        <f t="shared" ref="I268:J268" si="177">I267*90%</f>
        <v>15291.494999999997</v>
      </c>
      <c r="J268" s="2">
        <f t="shared" si="177"/>
        <v>17340.659999999996</v>
      </c>
      <c r="K268" s="2">
        <f t="shared" ref="K268:P268" si="178">K267*80%</f>
        <v>0</v>
      </c>
      <c r="L268" s="2">
        <f t="shared" si="178"/>
        <v>0</v>
      </c>
      <c r="M268" s="2">
        <f t="shared" si="178"/>
        <v>0</v>
      </c>
      <c r="N268" s="2">
        <f t="shared" si="178"/>
        <v>0</v>
      </c>
      <c r="O268" s="2">
        <f t="shared" si="178"/>
        <v>0</v>
      </c>
      <c r="P268" s="2">
        <f t="shared" si="178"/>
        <v>0</v>
      </c>
      <c r="Q268" s="2"/>
    </row>
    <row r="269" spans="1:17" x14ac:dyDescent="0.35">
      <c r="B269" s="32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x14ac:dyDescent="0.35">
      <c r="A270" s="376">
        <v>38</v>
      </c>
      <c r="B270" s="266" t="s">
        <v>263</v>
      </c>
      <c r="C270" s="6"/>
      <c r="D270" s="6"/>
      <c r="E270" s="6"/>
      <c r="F270" s="6">
        <v>46023</v>
      </c>
      <c r="G270" s="6">
        <v>46054</v>
      </c>
      <c r="H270" s="6">
        <v>46082</v>
      </c>
      <c r="I270" s="6">
        <v>46113</v>
      </c>
      <c r="J270" s="6">
        <v>46143</v>
      </c>
      <c r="K270" s="6">
        <v>46174</v>
      </c>
      <c r="L270" s="6">
        <v>46204</v>
      </c>
      <c r="M270" s="6">
        <v>46235</v>
      </c>
      <c r="N270" s="6">
        <v>46266</v>
      </c>
      <c r="O270" s="6">
        <v>46296</v>
      </c>
      <c r="P270" s="6">
        <v>46327</v>
      </c>
      <c r="Q270" s="2"/>
    </row>
    <row r="271" spans="1:17" x14ac:dyDescent="0.35">
      <c r="A271" s="377"/>
      <c r="B271" s="267" t="s">
        <v>5</v>
      </c>
      <c r="C271" s="9"/>
      <c r="D271" s="9"/>
      <c r="E271" s="9"/>
      <c r="F271" s="9"/>
      <c r="G271" s="9"/>
      <c r="H271" s="9"/>
      <c r="I271" s="9"/>
      <c r="J271" s="9">
        <v>128299</v>
      </c>
      <c r="K271" s="9">
        <v>704061</v>
      </c>
      <c r="L271" s="9">
        <v>640902</v>
      </c>
      <c r="M271" s="9"/>
      <c r="N271" s="9"/>
      <c r="O271" s="9"/>
      <c r="P271" s="9"/>
      <c r="Q271" s="2"/>
    </row>
    <row r="272" spans="1:17" x14ac:dyDescent="0.35">
      <c r="A272" s="377"/>
      <c r="B272" s="267" t="s">
        <v>6</v>
      </c>
      <c r="C272" s="9"/>
      <c r="D272" s="9"/>
      <c r="E272" s="9"/>
      <c r="F272" s="9"/>
      <c r="G272" s="9"/>
      <c r="H272" s="9"/>
      <c r="I272" s="9"/>
      <c r="J272" s="9">
        <v>84061.27</v>
      </c>
      <c r="K272" s="9">
        <v>459217.21</v>
      </c>
      <c r="L272" s="9">
        <v>417118.1</v>
      </c>
      <c r="M272" s="9"/>
      <c r="N272" s="9"/>
      <c r="O272" s="9"/>
      <c r="P272" s="9"/>
      <c r="Q272" s="2"/>
    </row>
    <row r="273" spans="1:17" x14ac:dyDescent="0.35">
      <c r="A273" s="377"/>
      <c r="B273" s="267" t="s">
        <v>7</v>
      </c>
      <c r="C273" s="9"/>
      <c r="D273" s="9"/>
      <c r="E273" s="9"/>
      <c r="F273" s="9"/>
      <c r="G273" s="9"/>
      <c r="H273" s="9"/>
      <c r="I273" s="9"/>
      <c r="J273" s="9">
        <v>20860.5</v>
      </c>
      <c r="K273" s="9">
        <v>173421</v>
      </c>
      <c r="L273" s="9">
        <v>155038.35999999999</v>
      </c>
      <c r="M273" s="9"/>
      <c r="N273" s="9"/>
      <c r="O273" s="9"/>
      <c r="P273" s="9"/>
      <c r="Q273" s="2"/>
    </row>
    <row r="274" spans="1:17" x14ac:dyDescent="0.35">
      <c r="A274" s="378"/>
      <c r="B274" s="267" t="s">
        <v>8</v>
      </c>
      <c r="C274" s="9"/>
      <c r="D274" s="9"/>
      <c r="E274" s="9"/>
      <c r="F274" s="9">
        <f t="shared" ref="F274:H274" si="179">F271-F272-F273</f>
        <v>0</v>
      </c>
      <c r="G274" s="9">
        <f t="shared" si="179"/>
        <v>0</v>
      </c>
      <c r="H274" s="9">
        <f t="shared" si="179"/>
        <v>0</v>
      </c>
      <c r="I274" s="9"/>
      <c r="J274" s="9">
        <f>J271-J272-J273</f>
        <v>23377.229999999996</v>
      </c>
      <c r="K274" s="9">
        <v>71422.13</v>
      </c>
      <c r="L274" s="9">
        <f t="shared" ref="L274:P274" si="180">L271-L272-L273</f>
        <v>68745.540000000037</v>
      </c>
      <c r="M274" s="9">
        <f t="shared" si="180"/>
        <v>0</v>
      </c>
      <c r="N274" s="9">
        <f t="shared" si="180"/>
        <v>0</v>
      </c>
      <c r="O274" s="9">
        <f t="shared" si="180"/>
        <v>0</v>
      </c>
      <c r="P274" s="9">
        <f t="shared" si="180"/>
        <v>0</v>
      </c>
      <c r="Q274" s="2"/>
    </row>
    <row r="275" spans="1:17" x14ac:dyDescent="0.35">
      <c r="B275" s="329"/>
      <c r="C275" s="2">
        <f t="shared" ref="C275:H275" si="181">C274*80%</f>
        <v>0</v>
      </c>
      <c r="D275" s="2">
        <f t="shared" si="181"/>
        <v>0</v>
      </c>
      <c r="E275" s="2">
        <f t="shared" si="181"/>
        <v>0</v>
      </c>
      <c r="F275" s="2">
        <f t="shared" si="181"/>
        <v>0</v>
      </c>
      <c r="G275" s="2">
        <f t="shared" si="181"/>
        <v>0</v>
      </c>
      <c r="H275" s="2">
        <f t="shared" si="181"/>
        <v>0</v>
      </c>
      <c r="I275" s="2">
        <f t="shared" ref="I275:J275" si="182">I274*90%</f>
        <v>0</v>
      </c>
      <c r="J275" s="2">
        <f t="shared" si="182"/>
        <v>21039.506999999998</v>
      </c>
      <c r="K275" s="2">
        <f t="shared" ref="K275:P275" si="183">K274*80%</f>
        <v>57137.704000000005</v>
      </c>
      <c r="L275" s="2">
        <f t="shared" si="183"/>
        <v>54996.43200000003</v>
      </c>
      <c r="M275" s="2">
        <f t="shared" si="183"/>
        <v>0</v>
      </c>
      <c r="N275" s="2">
        <f t="shared" si="183"/>
        <v>0</v>
      </c>
      <c r="O275" s="2">
        <f t="shared" si="183"/>
        <v>0</v>
      </c>
      <c r="P275" s="2">
        <f t="shared" si="183"/>
        <v>0</v>
      </c>
      <c r="Q275" s="2"/>
    </row>
    <row r="276" spans="1:17" x14ac:dyDescent="0.35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x14ac:dyDescent="0.35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x14ac:dyDescent="0.35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x14ac:dyDescent="0.35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x14ac:dyDescent="0.35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x14ac:dyDescent="0.35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x14ac:dyDescent="0.35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x14ac:dyDescent="0.35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x14ac:dyDescent="0.35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x14ac:dyDescent="0.3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x14ac:dyDescent="0.35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x14ac:dyDescent="0.35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x14ac:dyDescent="0.35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3:17" x14ac:dyDescent="0.35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3:17" x14ac:dyDescent="0.35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3:17" x14ac:dyDescent="0.35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3:17" x14ac:dyDescent="0.35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3:17" x14ac:dyDescent="0.35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3:17" x14ac:dyDescent="0.35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3:17" x14ac:dyDescent="0.3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3:17" x14ac:dyDescent="0.35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3:17" x14ac:dyDescent="0.35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3:17" x14ac:dyDescent="0.35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3:17" x14ac:dyDescent="0.35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3:17" x14ac:dyDescent="0.35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3:17" x14ac:dyDescent="0.35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3:17" x14ac:dyDescent="0.35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3:17" x14ac:dyDescent="0.35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3:17" x14ac:dyDescent="0.35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3:17" x14ac:dyDescent="0.3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3:17" x14ac:dyDescent="0.35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3:17" x14ac:dyDescent="0.35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3:17" x14ac:dyDescent="0.35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3:17" x14ac:dyDescent="0.35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3:17" x14ac:dyDescent="0.35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3:17" x14ac:dyDescent="0.35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3:17" x14ac:dyDescent="0.35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3:17" x14ac:dyDescent="0.35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3:17" x14ac:dyDescent="0.35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3:17" x14ac:dyDescent="0.3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3:17" x14ac:dyDescent="0.35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3:17" x14ac:dyDescent="0.35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3:17" x14ac:dyDescent="0.35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3:17" x14ac:dyDescent="0.35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3:17" x14ac:dyDescent="0.35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3:17" x14ac:dyDescent="0.35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3:17" x14ac:dyDescent="0.35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3:17" x14ac:dyDescent="0.35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3:17" x14ac:dyDescent="0.35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3:17" x14ac:dyDescent="0.3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3:17" x14ac:dyDescent="0.35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3:17" x14ac:dyDescent="0.35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3:17" x14ac:dyDescent="0.35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3:17" x14ac:dyDescent="0.35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3:17" x14ac:dyDescent="0.35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3:17" x14ac:dyDescent="0.35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3:17" x14ac:dyDescent="0.35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3:17" x14ac:dyDescent="0.35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3:17" x14ac:dyDescent="0.35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3:17" x14ac:dyDescent="0.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3:17" x14ac:dyDescent="0.35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3:17" x14ac:dyDescent="0.35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3:17" x14ac:dyDescent="0.35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3:17" x14ac:dyDescent="0.35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3:17" x14ac:dyDescent="0.35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3:17" x14ac:dyDescent="0.35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3:17" x14ac:dyDescent="0.35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3:17" x14ac:dyDescent="0.35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3:17" x14ac:dyDescent="0.35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3:17" x14ac:dyDescent="0.3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3:17" x14ac:dyDescent="0.35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3:17" x14ac:dyDescent="0.35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3:17" x14ac:dyDescent="0.35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3:17" x14ac:dyDescent="0.35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3:17" x14ac:dyDescent="0.35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3:17" x14ac:dyDescent="0.35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3:17" x14ac:dyDescent="0.35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3:17" x14ac:dyDescent="0.35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3:17" x14ac:dyDescent="0.35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3:17" x14ac:dyDescent="0.3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3:17" x14ac:dyDescent="0.35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3:17" x14ac:dyDescent="0.35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3:17" x14ac:dyDescent="0.35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3:17" x14ac:dyDescent="0.35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3:17" x14ac:dyDescent="0.35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3:17" x14ac:dyDescent="0.35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3:17" x14ac:dyDescent="0.35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3:17" x14ac:dyDescent="0.35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3:17" x14ac:dyDescent="0.35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3:17" x14ac:dyDescent="0.3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3:17" x14ac:dyDescent="0.35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3:17" x14ac:dyDescent="0.35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3:17" x14ac:dyDescent="0.35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3:17" x14ac:dyDescent="0.35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3:17" x14ac:dyDescent="0.35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3:17" x14ac:dyDescent="0.35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3:17" x14ac:dyDescent="0.35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3:17" x14ac:dyDescent="0.35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3:17" x14ac:dyDescent="0.35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3:17" x14ac:dyDescent="0.3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3:17" x14ac:dyDescent="0.35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3:17" x14ac:dyDescent="0.35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3:17" x14ac:dyDescent="0.35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3:17" x14ac:dyDescent="0.35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3:17" x14ac:dyDescent="0.35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3:17" x14ac:dyDescent="0.35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3:17" x14ac:dyDescent="0.35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3:17" x14ac:dyDescent="0.35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3:17" x14ac:dyDescent="0.35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3:17" x14ac:dyDescent="0.3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3:17" x14ac:dyDescent="0.35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3:17" x14ac:dyDescent="0.35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3:17" x14ac:dyDescent="0.35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3:17" x14ac:dyDescent="0.35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3:17" x14ac:dyDescent="0.35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3:17" x14ac:dyDescent="0.35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3:17" x14ac:dyDescent="0.35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3:17" x14ac:dyDescent="0.35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3:17" x14ac:dyDescent="0.35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3:17" x14ac:dyDescent="0.3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3:17" x14ac:dyDescent="0.35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3:17" x14ac:dyDescent="0.35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3:17" x14ac:dyDescent="0.35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3:17" x14ac:dyDescent="0.35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3:17" x14ac:dyDescent="0.35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3:17" x14ac:dyDescent="0.35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3:17" x14ac:dyDescent="0.35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3:17" x14ac:dyDescent="0.35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3:17" x14ac:dyDescent="0.35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3:17" x14ac:dyDescent="0.3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3:17" x14ac:dyDescent="0.35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3:17" x14ac:dyDescent="0.35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3:17" x14ac:dyDescent="0.35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3:17" x14ac:dyDescent="0.35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3:17" x14ac:dyDescent="0.35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3:17" x14ac:dyDescent="0.35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3:17" x14ac:dyDescent="0.35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3:17" x14ac:dyDescent="0.35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3:17" x14ac:dyDescent="0.35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3:17" x14ac:dyDescent="0.3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3:17" x14ac:dyDescent="0.35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3:17" x14ac:dyDescent="0.35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3:17" x14ac:dyDescent="0.35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3:17" x14ac:dyDescent="0.35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3:17" x14ac:dyDescent="0.35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3:17" x14ac:dyDescent="0.35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3:17" x14ac:dyDescent="0.35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3:17" x14ac:dyDescent="0.35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3:17" x14ac:dyDescent="0.35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3:17" x14ac:dyDescent="0.3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3:17" x14ac:dyDescent="0.35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3:17" x14ac:dyDescent="0.35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3:17" x14ac:dyDescent="0.35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3:17" x14ac:dyDescent="0.35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3:17" x14ac:dyDescent="0.35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3:17" x14ac:dyDescent="0.35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3:17" x14ac:dyDescent="0.35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3:17" x14ac:dyDescent="0.35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3:17" x14ac:dyDescent="0.35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3:17" x14ac:dyDescent="0.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3:17" x14ac:dyDescent="0.35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3:17" x14ac:dyDescent="0.35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3:17" x14ac:dyDescent="0.35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3:17" x14ac:dyDescent="0.35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3:17" x14ac:dyDescent="0.35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3:17" x14ac:dyDescent="0.35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3:17" x14ac:dyDescent="0.35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3:17" x14ac:dyDescent="0.35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3:17" x14ac:dyDescent="0.35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3:17" x14ac:dyDescent="0.3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3:17" x14ac:dyDescent="0.35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3:17" x14ac:dyDescent="0.35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3:17" x14ac:dyDescent="0.35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3:17" x14ac:dyDescent="0.35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3:17" x14ac:dyDescent="0.35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3:17" x14ac:dyDescent="0.35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3:17" x14ac:dyDescent="0.35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3:17" x14ac:dyDescent="0.35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3:17" x14ac:dyDescent="0.35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3:17" x14ac:dyDescent="0.3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3:17" x14ac:dyDescent="0.35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3:17" x14ac:dyDescent="0.35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3:17" x14ac:dyDescent="0.35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3:17" x14ac:dyDescent="0.35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3:17" x14ac:dyDescent="0.35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3:17" x14ac:dyDescent="0.35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3:17" x14ac:dyDescent="0.35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3:17" x14ac:dyDescent="0.35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3:17" x14ac:dyDescent="0.35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3:17" x14ac:dyDescent="0.3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3:17" x14ac:dyDescent="0.35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3:17" x14ac:dyDescent="0.35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3:17" x14ac:dyDescent="0.35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3:17" x14ac:dyDescent="0.35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3:17" x14ac:dyDescent="0.35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3:17" x14ac:dyDescent="0.35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3:17" x14ac:dyDescent="0.35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3:17" x14ac:dyDescent="0.35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3:17" x14ac:dyDescent="0.35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3:17" x14ac:dyDescent="0.3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3:17" x14ac:dyDescent="0.35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3:17" x14ac:dyDescent="0.35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3:17" x14ac:dyDescent="0.35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3:17" x14ac:dyDescent="0.35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3:17" x14ac:dyDescent="0.35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3:17" x14ac:dyDescent="0.35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3:17" x14ac:dyDescent="0.35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3:17" x14ac:dyDescent="0.35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3:17" x14ac:dyDescent="0.35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3:17" x14ac:dyDescent="0.3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3:17" x14ac:dyDescent="0.35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3:17" x14ac:dyDescent="0.35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3:17" x14ac:dyDescent="0.35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3:17" x14ac:dyDescent="0.35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3:17" x14ac:dyDescent="0.35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3:17" x14ac:dyDescent="0.35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3:17" x14ac:dyDescent="0.35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3:17" x14ac:dyDescent="0.35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3:17" x14ac:dyDescent="0.35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3:17" x14ac:dyDescent="0.3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3:17" x14ac:dyDescent="0.35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3:17" x14ac:dyDescent="0.35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3:17" x14ac:dyDescent="0.35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3:17" x14ac:dyDescent="0.35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3:17" x14ac:dyDescent="0.35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3:17" x14ac:dyDescent="0.35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3:17" x14ac:dyDescent="0.35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3:17" x14ac:dyDescent="0.35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3:17" x14ac:dyDescent="0.35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3:17" x14ac:dyDescent="0.3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3:17" x14ac:dyDescent="0.35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3:17" x14ac:dyDescent="0.35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3:17" x14ac:dyDescent="0.35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3:17" x14ac:dyDescent="0.35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3:17" x14ac:dyDescent="0.35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3:17" x14ac:dyDescent="0.35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3:17" x14ac:dyDescent="0.35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3:17" x14ac:dyDescent="0.35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3:17" x14ac:dyDescent="0.35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3:17" x14ac:dyDescent="0.3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3:17" x14ac:dyDescent="0.35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3:17" x14ac:dyDescent="0.35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3:17" x14ac:dyDescent="0.35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3:17" x14ac:dyDescent="0.35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3:17" x14ac:dyDescent="0.35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3:17" x14ac:dyDescent="0.35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3:17" x14ac:dyDescent="0.35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3:17" x14ac:dyDescent="0.35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3:17" x14ac:dyDescent="0.35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3:17" x14ac:dyDescent="0.3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3:17" x14ac:dyDescent="0.35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3:17" x14ac:dyDescent="0.35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3:17" x14ac:dyDescent="0.35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3:17" x14ac:dyDescent="0.35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3:17" x14ac:dyDescent="0.35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3:17" x14ac:dyDescent="0.35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3:17" x14ac:dyDescent="0.35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3:17" x14ac:dyDescent="0.35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3:17" x14ac:dyDescent="0.35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3:17" x14ac:dyDescent="0.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3:17" x14ac:dyDescent="0.35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3:17" x14ac:dyDescent="0.35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3:17" x14ac:dyDescent="0.35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3:17" x14ac:dyDescent="0.35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3:17" x14ac:dyDescent="0.35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3:17" x14ac:dyDescent="0.35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3:17" x14ac:dyDescent="0.35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3:17" x14ac:dyDescent="0.35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3:17" x14ac:dyDescent="0.3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3:17" x14ac:dyDescent="0.3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3:17" x14ac:dyDescent="0.3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3:17" x14ac:dyDescent="0.3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3:17" x14ac:dyDescent="0.3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3:17" x14ac:dyDescent="0.3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3:17" x14ac:dyDescent="0.3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3:17" x14ac:dyDescent="0.3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3:17" x14ac:dyDescent="0.3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3:17" x14ac:dyDescent="0.35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3:17" x14ac:dyDescent="0.35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3:17" x14ac:dyDescent="0.3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3:17" x14ac:dyDescent="0.35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3:17" x14ac:dyDescent="0.3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3:17" x14ac:dyDescent="0.3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3:17" x14ac:dyDescent="0.3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3:17" x14ac:dyDescent="0.3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3:17" x14ac:dyDescent="0.35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3:17" x14ac:dyDescent="0.35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3:17" x14ac:dyDescent="0.35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3:17" x14ac:dyDescent="0.35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3:17" x14ac:dyDescent="0.3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3:17" x14ac:dyDescent="0.3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3:17" x14ac:dyDescent="0.3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3:17" x14ac:dyDescent="0.3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3:17" x14ac:dyDescent="0.3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3:17" x14ac:dyDescent="0.3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3:17" x14ac:dyDescent="0.3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3:17" x14ac:dyDescent="0.3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3:17" x14ac:dyDescent="0.3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3:17" x14ac:dyDescent="0.3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3:17" x14ac:dyDescent="0.3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3:17" x14ac:dyDescent="0.3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3:17" x14ac:dyDescent="0.3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3:17" x14ac:dyDescent="0.35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3:17" x14ac:dyDescent="0.35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3:17" x14ac:dyDescent="0.35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3:17" x14ac:dyDescent="0.35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3:17" x14ac:dyDescent="0.3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3:17" x14ac:dyDescent="0.3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3:17" x14ac:dyDescent="0.3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3:17" x14ac:dyDescent="0.3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3:17" x14ac:dyDescent="0.35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3:17" x14ac:dyDescent="0.35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3:17" x14ac:dyDescent="0.35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3:17" x14ac:dyDescent="0.35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3:17" x14ac:dyDescent="0.3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3:17" x14ac:dyDescent="0.3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3:17" x14ac:dyDescent="0.3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3:17" x14ac:dyDescent="0.3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3:17" x14ac:dyDescent="0.35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3:17" x14ac:dyDescent="0.3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3:17" x14ac:dyDescent="0.35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3:17" x14ac:dyDescent="0.35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3:17" x14ac:dyDescent="0.3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3:17" x14ac:dyDescent="0.3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3:17" x14ac:dyDescent="0.3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3:17" x14ac:dyDescent="0.35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3:17" x14ac:dyDescent="0.35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3:17" x14ac:dyDescent="0.35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3:17" x14ac:dyDescent="0.35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3:17" x14ac:dyDescent="0.3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3:17" x14ac:dyDescent="0.3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3:17" x14ac:dyDescent="0.3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3:17" x14ac:dyDescent="0.3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3:17" x14ac:dyDescent="0.35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3:17" x14ac:dyDescent="0.35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3:17" x14ac:dyDescent="0.35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3:17" x14ac:dyDescent="0.35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3:17" x14ac:dyDescent="0.3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3:17" x14ac:dyDescent="0.3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3:17" x14ac:dyDescent="0.3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3:17" x14ac:dyDescent="0.3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3:17" x14ac:dyDescent="0.3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3:17" x14ac:dyDescent="0.35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3:17" x14ac:dyDescent="0.35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3:17" x14ac:dyDescent="0.35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3:17" x14ac:dyDescent="0.35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3:17" x14ac:dyDescent="0.3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3:17" x14ac:dyDescent="0.3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3:17" x14ac:dyDescent="0.3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3:17" x14ac:dyDescent="0.3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3:17" x14ac:dyDescent="0.3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3:17" x14ac:dyDescent="0.35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3:17" x14ac:dyDescent="0.35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3:17" x14ac:dyDescent="0.35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3:17" x14ac:dyDescent="0.35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3:17" x14ac:dyDescent="0.35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3:17" x14ac:dyDescent="0.3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3:17" x14ac:dyDescent="0.35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3:17" x14ac:dyDescent="0.35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3:17" x14ac:dyDescent="0.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3:17" x14ac:dyDescent="0.35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3:17" x14ac:dyDescent="0.3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3:17" x14ac:dyDescent="0.35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3:17" x14ac:dyDescent="0.3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3:17" x14ac:dyDescent="0.35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3:17" x14ac:dyDescent="0.35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3:17" x14ac:dyDescent="0.35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3:17" x14ac:dyDescent="0.35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3:17" x14ac:dyDescent="0.3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3:17" x14ac:dyDescent="0.3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3:17" x14ac:dyDescent="0.3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3:17" x14ac:dyDescent="0.35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3:17" x14ac:dyDescent="0.35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3:17" x14ac:dyDescent="0.35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3:17" x14ac:dyDescent="0.35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3:17" x14ac:dyDescent="0.3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3:17" x14ac:dyDescent="0.35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3:17" x14ac:dyDescent="0.35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3:17" x14ac:dyDescent="0.35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3:17" x14ac:dyDescent="0.3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3:17" x14ac:dyDescent="0.35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3:17" x14ac:dyDescent="0.35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3:17" x14ac:dyDescent="0.3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3:17" x14ac:dyDescent="0.3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3:17" x14ac:dyDescent="0.3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3:17" x14ac:dyDescent="0.35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3:17" x14ac:dyDescent="0.35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3:17" x14ac:dyDescent="0.35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3:17" x14ac:dyDescent="0.35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3:17" x14ac:dyDescent="0.3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3:17" x14ac:dyDescent="0.3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3:17" x14ac:dyDescent="0.3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3:17" x14ac:dyDescent="0.35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3:17" x14ac:dyDescent="0.35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3:17" x14ac:dyDescent="0.35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3:17" x14ac:dyDescent="0.35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3:17" x14ac:dyDescent="0.35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3:17" x14ac:dyDescent="0.3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3:17" x14ac:dyDescent="0.3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3:17" x14ac:dyDescent="0.3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3:17" x14ac:dyDescent="0.35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3:17" x14ac:dyDescent="0.35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3:17" x14ac:dyDescent="0.35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3:17" x14ac:dyDescent="0.35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3:17" x14ac:dyDescent="0.35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3:17" x14ac:dyDescent="0.3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3:17" x14ac:dyDescent="0.3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3:17" x14ac:dyDescent="0.3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3:17" x14ac:dyDescent="0.35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3:17" x14ac:dyDescent="0.3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3:17" x14ac:dyDescent="0.35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3:17" x14ac:dyDescent="0.35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3:17" x14ac:dyDescent="0.3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3:17" x14ac:dyDescent="0.3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3:17" x14ac:dyDescent="0.3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3:17" x14ac:dyDescent="0.35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3:17" x14ac:dyDescent="0.35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3:17" x14ac:dyDescent="0.35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3:17" x14ac:dyDescent="0.35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3:17" x14ac:dyDescent="0.3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3:17" x14ac:dyDescent="0.3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3:17" x14ac:dyDescent="0.3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3:17" x14ac:dyDescent="0.3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3:17" x14ac:dyDescent="0.35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3:17" x14ac:dyDescent="0.35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3:17" x14ac:dyDescent="0.35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3:17" x14ac:dyDescent="0.35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3:17" x14ac:dyDescent="0.35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3:17" x14ac:dyDescent="0.35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3:17" x14ac:dyDescent="0.3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3:17" x14ac:dyDescent="0.35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3:17" x14ac:dyDescent="0.35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3:17" x14ac:dyDescent="0.35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3:17" x14ac:dyDescent="0.35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3:17" x14ac:dyDescent="0.35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3:17" x14ac:dyDescent="0.35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3:17" x14ac:dyDescent="0.35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3:17" x14ac:dyDescent="0.35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3:17" x14ac:dyDescent="0.35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3:17" x14ac:dyDescent="0.3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3:17" x14ac:dyDescent="0.35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3:17" x14ac:dyDescent="0.35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3:17" x14ac:dyDescent="0.35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3:17" x14ac:dyDescent="0.35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3:17" x14ac:dyDescent="0.3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3:17" x14ac:dyDescent="0.3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3:17" x14ac:dyDescent="0.3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3:17" x14ac:dyDescent="0.35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3:17" x14ac:dyDescent="0.35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3:17" x14ac:dyDescent="0.3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3:17" x14ac:dyDescent="0.35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3:17" x14ac:dyDescent="0.35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3:17" x14ac:dyDescent="0.3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3:17" x14ac:dyDescent="0.3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3:17" x14ac:dyDescent="0.3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3:17" x14ac:dyDescent="0.35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3:17" x14ac:dyDescent="0.35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3:17" x14ac:dyDescent="0.35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3:17" x14ac:dyDescent="0.35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3:17" x14ac:dyDescent="0.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3:17" x14ac:dyDescent="0.3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3:17" x14ac:dyDescent="0.3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3:17" x14ac:dyDescent="0.35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3:17" x14ac:dyDescent="0.35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3:17" x14ac:dyDescent="0.35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3:17" x14ac:dyDescent="0.35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3:17" x14ac:dyDescent="0.35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3:17" x14ac:dyDescent="0.35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3:17" x14ac:dyDescent="0.35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3:17" x14ac:dyDescent="0.3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3:17" x14ac:dyDescent="0.35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3:17" x14ac:dyDescent="0.35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3:17" x14ac:dyDescent="0.35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3:17" x14ac:dyDescent="0.35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3:17" x14ac:dyDescent="0.3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3:17" x14ac:dyDescent="0.3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3:17" x14ac:dyDescent="0.3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3:17" x14ac:dyDescent="0.35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3:17" x14ac:dyDescent="0.35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3:17" x14ac:dyDescent="0.3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3:17" x14ac:dyDescent="0.35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3:17" x14ac:dyDescent="0.3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3:17" x14ac:dyDescent="0.3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3:17" x14ac:dyDescent="0.3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3:17" x14ac:dyDescent="0.35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3:17" x14ac:dyDescent="0.35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3:17" x14ac:dyDescent="0.35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3:17" x14ac:dyDescent="0.3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3:17" x14ac:dyDescent="0.3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3:17" x14ac:dyDescent="0.3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3:17" x14ac:dyDescent="0.35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3:17" x14ac:dyDescent="0.35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3:17" x14ac:dyDescent="0.35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3:17" x14ac:dyDescent="0.35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3:17" x14ac:dyDescent="0.35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3:17" x14ac:dyDescent="0.3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3:17" x14ac:dyDescent="0.3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3:17" x14ac:dyDescent="0.3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3:17" x14ac:dyDescent="0.35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3:17" x14ac:dyDescent="0.3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3:17" x14ac:dyDescent="0.35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3:17" x14ac:dyDescent="0.35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3:17" x14ac:dyDescent="0.35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3:17" x14ac:dyDescent="0.3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3:17" x14ac:dyDescent="0.3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3:17" x14ac:dyDescent="0.3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3:17" x14ac:dyDescent="0.35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3:17" x14ac:dyDescent="0.35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3:17" x14ac:dyDescent="0.35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3:17" x14ac:dyDescent="0.3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3:17" x14ac:dyDescent="0.35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3:17" x14ac:dyDescent="0.3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3:17" x14ac:dyDescent="0.3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3:17" x14ac:dyDescent="0.3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3:17" x14ac:dyDescent="0.35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3:17" x14ac:dyDescent="0.35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3:17" x14ac:dyDescent="0.35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3:17" x14ac:dyDescent="0.35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3:17" x14ac:dyDescent="0.35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3:17" x14ac:dyDescent="0.3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3:17" x14ac:dyDescent="0.35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3:17" x14ac:dyDescent="0.3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3:17" x14ac:dyDescent="0.3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3:17" x14ac:dyDescent="0.3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3:17" x14ac:dyDescent="0.35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3:17" x14ac:dyDescent="0.35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3:17" x14ac:dyDescent="0.35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3:17" x14ac:dyDescent="0.35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3:17" x14ac:dyDescent="0.35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3:17" x14ac:dyDescent="0.3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3:17" x14ac:dyDescent="0.3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3:17" x14ac:dyDescent="0.35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3:17" x14ac:dyDescent="0.35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3:17" x14ac:dyDescent="0.35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3:17" x14ac:dyDescent="0.35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3:17" x14ac:dyDescent="0.35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3:17" x14ac:dyDescent="0.3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3:17" x14ac:dyDescent="0.3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3:17" x14ac:dyDescent="0.3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3:17" x14ac:dyDescent="0.3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3:17" x14ac:dyDescent="0.35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3:17" x14ac:dyDescent="0.35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3:17" x14ac:dyDescent="0.35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3:17" x14ac:dyDescent="0.3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3:17" x14ac:dyDescent="0.3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3:17" x14ac:dyDescent="0.3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3:17" x14ac:dyDescent="0.35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3:17" x14ac:dyDescent="0.35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3:17" x14ac:dyDescent="0.35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3:17" x14ac:dyDescent="0.3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3:17" x14ac:dyDescent="0.35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3:17" x14ac:dyDescent="0.35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3:17" x14ac:dyDescent="0.35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3:17" x14ac:dyDescent="0.3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3:17" x14ac:dyDescent="0.35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3:17" x14ac:dyDescent="0.35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3:17" x14ac:dyDescent="0.35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3:17" x14ac:dyDescent="0.35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3:17" x14ac:dyDescent="0.35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3:17" x14ac:dyDescent="0.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3:17" x14ac:dyDescent="0.3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3:17" x14ac:dyDescent="0.3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3:17" x14ac:dyDescent="0.3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3:17" x14ac:dyDescent="0.3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3:17" x14ac:dyDescent="0.35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3:17" x14ac:dyDescent="0.35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3:17" x14ac:dyDescent="0.35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3:17" x14ac:dyDescent="0.35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3:17" x14ac:dyDescent="0.35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3:17" x14ac:dyDescent="0.3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3:17" x14ac:dyDescent="0.3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3:17" x14ac:dyDescent="0.3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3:17" x14ac:dyDescent="0.3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3:17" x14ac:dyDescent="0.35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3:17" x14ac:dyDescent="0.35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3:17" x14ac:dyDescent="0.35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3:17" x14ac:dyDescent="0.35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3:17" x14ac:dyDescent="0.35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3:17" x14ac:dyDescent="0.35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3:17" x14ac:dyDescent="0.3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3:17" x14ac:dyDescent="0.35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3:17" x14ac:dyDescent="0.35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3:17" x14ac:dyDescent="0.35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3:17" x14ac:dyDescent="0.35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3:17" x14ac:dyDescent="0.35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3:17" x14ac:dyDescent="0.35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3:17" x14ac:dyDescent="0.3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3:17" x14ac:dyDescent="0.35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3:17" x14ac:dyDescent="0.35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3:17" x14ac:dyDescent="0.3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3:17" x14ac:dyDescent="0.35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3:17" x14ac:dyDescent="0.3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3:17" x14ac:dyDescent="0.3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3:17" x14ac:dyDescent="0.35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3:17" x14ac:dyDescent="0.35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3:17" x14ac:dyDescent="0.35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3:17" x14ac:dyDescent="0.35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3:17" x14ac:dyDescent="0.35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3:17" x14ac:dyDescent="0.3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3:17" x14ac:dyDescent="0.3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3:17" x14ac:dyDescent="0.35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3:17" x14ac:dyDescent="0.35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3:17" x14ac:dyDescent="0.35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3:17" x14ac:dyDescent="0.35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3:17" x14ac:dyDescent="0.35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3:17" x14ac:dyDescent="0.35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3:17" x14ac:dyDescent="0.35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3:17" x14ac:dyDescent="0.35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3:17" x14ac:dyDescent="0.35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3:17" x14ac:dyDescent="0.3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3:17" x14ac:dyDescent="0.35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3:17" x14ac:dyDescent="0.35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3:17" x14ac:dyDescent="0.35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3:17" x14ac:dyDescent="0.35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3:17" x14ac:dyDescent="0.35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3:17" x14ac:dyDescent="0.35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3:17" x14ac:dyDescent="0.35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3:17" x14ac:dyDescent="0.35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3:17" x14ac:dyDescent="0.3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3:17" x14ac:dyDescent="0.3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3:17" x14ac:dyDescent="0.3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3:17" x14ac:dyDescent="0.3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3:17" x14ac:dyDescent="0.3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3:17" x14ac:dyDescent="0.3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3:17" x14ac:dyDescent="0.3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3:17" x14ac:dyDescent="0.3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3:17" x14ac:dyDescent="0.3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3:17" x14ac:dyDescent="0.3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3:17" x14ac:dyDescent="0.3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3:17" x14ac:dyDescent="0.3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3:17" x14ac:dyDescent="0.3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3:17" x14ac:dyDescent="0.3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3:17" x14ac:dyDescent="0.3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3:17" x14ac:dyDescent="0.3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3:17" x14ac:dyDescent="0.3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3:17" x14ac:dyDescent="0.35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3:17" x14ac:dyDescent="0.35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3:17" x14ac:dyDescent="0.35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3:17" x14ac:dyDescent="0.35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3:17" x14ac:dyDescent="0.3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3:17" x14ac:dyDescent="0.35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3:17" x14ac:dyDescent="0.35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3:17" x14ac:dyDescent="0.35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3:17" x14ac:dyDescent="0.35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3:17" x14ac:dyDescent="0.35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3:17" x14ac:dyDescent="0.35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3:17" x14ac:dyDescent="0.35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3:17" x14ac:dyDescent="0.35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3:17" x14ac:dyDescent="0.35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3:17" x14ac:dyDescent="0.3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3:17" x14ac:dyDescent="0.35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3:17" x14ac:dyDescent="0.35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3:17" x14ac:dyDescent="0.35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3:17" x14ac:dyDescent="0.35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3:17" x14ac:dyDescent="0.35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3:17" x14ac:dyDescent="0.35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3:17" x14ac:dyDescent="0.35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3:17" x14ac:dyDescent="0.35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3:17" x14ac:dyDescent="0.35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3:17" x14ac:dyDescent="0.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3:17" x14ac:dyDescent="0.35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3:17" x14ac:dyDescent="0.35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3:17" x14ac:dyDescent="0.35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3:17" x14ac:dyDescent="0.35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3:17" x14ac:dyDescent="0.35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3:17" x14ac:dyDescent="0.35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3:17" x14ac:dyDescent="0.35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3:17" x14ac:dyDescent="0.35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3:17" x14ac:dyDescent="0.35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3:17" x14ac:dyDescent="0.3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3:17" x14ac:dyDescent="0.35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3:17" x14ac:dyDescent="0.35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3:17" x14ac:dyDescent="0.35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3:17" x14ac:dyDescent="0.35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3:17" x14ac:dyDescent="0.35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3:17" x14ac:dyDescent="0.35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3:17" x14ac:dyDescent="0.35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3:17" x14ac:dyDescent="0.35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3:17" x14ac:dyDescent="0.35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3:17" x14ac:dyDescent="0.3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3:17" x14ac:dyDescent="0.35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3:17" x14ac:dyDescent="0.35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3:17" x14ac:dyDescent="0.35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3:17" x14ac:dyDescent="0.35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3:17" x14ac:dyDescent="0.35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3:17" x14ac:dyDescent="0.35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3:17" x14ac:dyDescent="0.35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3:17" x14ac:dyDescent="0.35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3:17" x14ac:dyDescent="0.35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3:17" x14ac:dyDescent="0.3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3:17" x14ac:dyDescent="0.35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3:17" x14ac:dyDescent="0.35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3:17" x14ac:dyDescent="0.35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3:17" x14ac:dyDescent="0.35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3:17" x14ac:dyDescent="0.35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3:17" x14ac:dyDescent="0.35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3:17" x14ac:dyDescent="0.35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3:17" x14ac:dyDescent="0.35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3:17" x14ac:dyDescent="0.35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3:17" x14ac:dyDescent="0.3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3:17" x14ac:dyDescent="0.35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3:17" x14ac:dyDescent="0.35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3:17" x14ac:dyDescent="0.35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3:17" x14ac:dyDescent="0.35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3:17" x14ac:dyDescent="0.35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3:17" x14ac:dyDescent="0.35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3:17" x14ac:dyDescent="0.35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3:17" x14ac:dyDescent="0.35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3:17" x14ac:dyDescent="0.35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3:17" x14ac:dyDescent="0.3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3:17" x14ac:dyDescent="0.35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3:17" x14ac:dyDescent="0.35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3:17" x14ac:dyDescent="0.35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3:17" x14ac:dyDescent="0.35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3:17" x14ac:dyDescent="0.35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3:17" x14ac:dyDescent="0.35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3:17" x14ac:dyDescent="0.35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3:17" x14ac:dyDescent="0.35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3:17" x14ac:dyDescent="0.35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3:17" x14ac:dyDescent="0.3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3:17" x14ac:dyDescent="0.35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3:17" x14ac:dyDescent="0.35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3:17" x14ac:dyDescent="0.35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</sheetData>
  <mergeCells count="39">
    <mergeCell ref="A263:A267"/>
    <mergeCell ref="A270:A274"/>
    <mergeCell ref="A200:A204"/>
    <mergeCell ref="A207:A211"/>
    <mergeCell ref="A214:A218"/>
    <mergeCell ref="A221:A225"/>
    <mergeCell ref="A228:A232"/>
    <mergeCell ref="A235:A239"/>
    <mergeCell ref="A242:A246"/>
    <mergeCell ref="A179:A183"/>
    <mergeCell ref="A186:A190"/>
    <mergeCell ref="A193:A197"/>
    <mergeCell ref="A249:A253"/>
    <mergeCell ref="A256:A260"/>
    <mergeCell ref="A144:A148"/>
    <mergeCell ref="A151:A155"/>
    <mergeCell ref="A158:A162"/>
    <mergeCell ref="A165:A169"/>
    <mergeCell ref="A172:A176"/>
    <mergeCell ref="A109:A113"/>
    <mergeCell ref="A116:A120"/>
    <mergeCell ref="A123:A127"/>
    <mergeCell ref="A130:A134"/>
    <mergeCell ref="A137:A141"/>
    <mergeCell ref="A74:A78"/>
    <mergeCell ref="A81:A85"/>
    <mergeCell ref="A88:A92"/>
    <mergeCell ref="A95:A99"/>
    <mergeCell ref="A102:A106"/>
    <mergeCell ref="A39:A43"/>
    <mergeCell ref="A46:A50"/>
    <mergeCell ref="A53:A57"/>
    <mergeCell ref="A60:A64"/>
    <mergeCell ref="A67:A71"/>
    <mergeCell ref="A4:A8"/>
    <mergeCell ref="A11:A15"/>
    <mergeCell ref="A18:A22"/>
    <mergeCell ref="A25:A29"/>
    <mergeCell ref="A32:A36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K976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9" sqref="B9"/>
    </sheetView>
  </sheetViews>
  <sheetFormatPr defaultColWidth="14.453125" defaultRowHeight="15" customHeight="1" x14ac:dyDescent="0.35"/>
  <cols>
    <col min="1" max="1" width="24.26953125" customWidth="1"/>
  </cols>
  <sheetData>
    <row r="1" spans="1:37" ht="14.5" hidden="1" x14ac:dyDescent="0.35">
      <c r="A1" s="286" t="s">
        <v>298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</row>
    <row r="2" spans="1:37" ht="15.5" hidden="1" x14ac:dyDescent="0.35">
      <c r="A2" s="141"/>
      <c r="B2" s="141"/>
      <c r="C2" s="141"/>
      <c r="D2" s="141"/>
      <c r="E2" s="287" t="s">
        <v>1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</row>
    <row r="3" spans="1:37" ht="14.5" hidden="1" x14ac:dyDescent="0.35">
      <c r="A3" s="141"/>
      <c r="B3" s="141"/>
      <c r="C3" s="141"/>
      <c r="D3" s="141"/>
      <c r="E3" s="288" t="s">
        <v>299</v>
      </c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</row>
    <row r="4" spans="1:37" ht="14.5" hidden="1" x14ac:dyDescent="0.3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</row>
    <row r="5" spans="1:37" ht="14.5" hidden="1" x14ac:dyDescent="0.35">
      <c r="A5" s="289"/>
      <c r="B5" s="289"/>
      <c r="C5" s="289"/>
      <c r="D5" s="289"/>
      <c r="E5" s="290" t="s">
        <v>300</v>
      </c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</row>
    <row r="6" spans="1:37" ht="14.5" x14ac:dyDescent="0.35">
      <c r="A6" s="289"/>
      <c r="B6" s="291" t="b">
        <v>1</v>
      </c>
      <c r="C6" s="292" t="b">
        <v>1</v>
      </c>
      <c r="D6" s="292" t="b">
        <v>1</v>
      </c>
      <c r="E6" s="292" t="b">
        <v>1</v>
      </c>
      <c r="F6" s="292" t="b">
        <v>1</v>
      </c>
      <c r="G6" s="292" t="b">
        <v>1</v>
      </c>
      <c r="H6" s="292" t="b">
        <v>1</v>
      </c>
      <c r="I6" s="292" t="b">
        <v>1</v>
      </c>
      <c r="J6" s="292" t="b">
        <v>1</v>
      </c>
      <c r="K6" s="292" t="b">
        <v>1</v>
      </c>
      <c r="L6" s="292" t="b">
        <v>1</v>
      </c>
      <c r="M6" s="292" t="b">
        <v>1</v>
      </c>
      <c r="N6" s="292" t="b">
        <v>1</v>
      </c>
      <c r="O6" s="292" t="b">
        <v>1</v>
      </c>
      <c r="P6" s="292" t="b">
        <v>1</v>
      </c>
      <c r="Q6" s="292" t="b">
        <v>1</v>
      </c>
      <c r="R6" s="292" t="b">
        <v>1</v>
      </c>
      <c r="S6" s="292" t="b">
        <v>1</v>
      </c>
      <c r="T6" s="292" t="b">
        <v>1</v>
      </c>
      <c r="U6" s="292" t="b">
        <v>1</v>
      </c>
      <c r="V6" s="292" t="b">
        <v>1</v>
      </c>
      <c r="W6" s="292" t="b">
        <v>1</v>
      </c>
      <c r="X6" s="292" t="b">
        <v>1</v>
      </c>
      <c r="Y6" s="292" t="b">
        <v>1</v>
      </c>
      <c r="Z6" s="292" t="b">
        <v>1</v>
      </c>
      <c r="AA6" s="292" t="b">
        <v>1</v>
      </c>
      <c r="AB6" s="292" t="b">
        <v>1</v>
      </c>
      <c r="AC6" s="292" t="b">
        <v>1</v>
      </c>
      <c r="AD6" s="292" t="b">
        <v>1</v>
      </c>
      <c r="AE6" s="292" t="b">
        <v>1</v>
      </c>
      <c r="AF6" s="292" t="b">
        <v>1</v>
      </c>
      <c r="AG6" s="292" t="b">
        <v>1</v>
      </c>
      <c r="AH6" s="292" t="b">
        <v>1</v>
      </c>
      <c r="AI6" s="292" t="b">
        <v>1</v>
      </c>
      <c r="AJ6" s="292" t="b">
        <v>1</v>
      </c>
      <c r="AK6" s="289"/>
    </row>
    <row r="7" spans="1:37" ht="14.5" x14ac:dyDescent="0.35">
      <c r="A7" s="289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89"/>
      <c r="AE7" s="289"/>
      <c r="AF7" s="289"/>
      <c r="AG7" s="289"/>
      <c r="AH7" s="289"/>
      <c r="AI7" s="289"/>
      <c r="AJ7" s="289"/>
      <c r="AK7" s="289"/>
    </row>
    <row r="8" spans="1:37" ht="14.5" x14ac:dyDescent="0.35">
      <c r="A8" s="293" t="s">
        <v>301</v>
      </c>
      <c r="B8" s="294" t="s">
        <v>302</v>
      </c>
      <c r="C8" s="294" t="s">
        <v>303</v>
      </c>
      <c r="D8" s="294" t="s">
        <v>97</v>
      </c>
      <c r="E8" s="294" t="s">
        <v>99</v>
      </c>
      <c r="F8" s="294" t="s">
        <v>304</v>
      </c>
      <c r="G8" s="294" t="s">
        <v>100</v>
      </c>
      <c r="H8" s="294" t="s">
        <v>94</v>
      </c>
      <c r="I8" s="294" t="s">
        <v>104</v>
      </c>
      <c r="J8" s="294" t="s">
        <v>15</v>
      </c>
      <c r="K8" s="294" t="s">
        <v>305</v>
      </c>
      <c r="L8" s="294" t="s">
        <v>306</v>
      </c>
      <c r="M8" s="294" t="s">
        <v>307</v>
      </c>
      <c r="N8" s="294" t="s">
        <v>308</v>
      </c>
      <c r="O8" s="294" t="s">
        <v>309</v>
      </c>
      <c r="P8" s="294" t="s">
        <v>310</v>
      </c>
      <c r="Q8" s="294" t="s">
        <v>101</v>
      </c>
      <c r="R8" s="294" t="s">
        <v>102</v>
      </c>
      <c r="S8" s="294" t="s">
        <v>20</v>
      </c>
      <c r="T8" s="294" t="s">
        <v>255</v>
      </c>
      <c r="U8" s="294" t="s">
        <v>39</v>
      </c>
      <c r="V8" s="294" t="s">
        <v>61</v>
      </c>
      <c r="W8" s="294" t="s">
        <v>9</v>
      </c>
      <c r="X8" s="294" t="s">
        <v>4</v>
      </c>
      <c r="Y8" s="294" t="s">
        <v>254</v>
      </c>
      <c r="Z8" s="294" t="s">
        <v>96</v>
      </c>
      <c r="AA8" s="294" t="s">
        <v>259</v>
      </c>
      <c r="AB8" s="294" t="s">
        <v>260</v>
      </c>
      <c r="AC8" s="294" t="s">
        <v>261</v>
      </c>
      <c r="AD8" s="294" t="s">
        <v>262</v>
      </c>
      <c r="AE8" s="294" t="s">
        <v>257</v>
      </c>
      <c r="AF8" s="294" t="s">
        <v>258</v>
      </c>
      <c r="AG8" s="294" t="s">
        <v>78</v>
      </c>
      <c r="AH8" s="294" t="s">
        <v>95</v>
      </c>
      <c r="AI8" s="294" t="s">
        <v>311</v>
      </c>
      <c r="AJ8" s="294" t="s">
        <v>256</v>
      </c>
      <c r="AK8" s="295" t="s">
        <v>312</v>
      </c>
    </row>
    <row r="9" spans="1:37" ht="14.5" x14ac:dyDescent="0.35">
      <c r="A9" s="296"/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</row>
    <row r="10" spans="1:37" ht="14.5" x14ac:dyDescent="0.35">
      <c r="A10" s="297" t="s">
        <v>313</v>
      </c>
      <c r="B10" s="297">
        <v>687311</v>
      </c>
      <c r="C10" s="297">
        <v>837230.5</v>
      </c>
      <c r="D10" s="298">
        <v>562901</v>
      </c>
      <c r="E10" s="297">
        <v>627515.5</v>
      </c>
      <c r="F10" s="297">
        <v>332057</v>
      </c>
      <c r="G10" s="297">
        <v>1750928</v>
      </c>
      <c r="H10" s="297">
        <v>1028928.5</v>
      </c>
      <c r="I10" s="297">
        <v>1566660.5</v>
      </c>
      <c r="J10" s="297">
        <v>564599</v>
      </c>
      <c r="K10" s="297">
        <v>622133</v>
      </c>
      <c r="L10" s="297">
        <v>267052</v>
      </c>
      <c r="M10" s="297">
        <v>720345</v>
      </c>
      <c r="N10" s="299">
        <v>293837</v>
      </c>
      <c r="O10" s="299">
        <v>1423639.5</v>
      </c>
      <c r="P10" s="299">
        <v>237825</v>
      </c>
      <c r="Q10" s="300">
        <v>919248</v>
      </c>
      <c r="R10" s="300">
        <v>448374</v>
      </c>
      <c r="S10" s="299">
        <v>557214</v>
      </c>
      <c r="T10" s="299">
        <v>1086791</v>
      </c>
      <c r="U10" s="297">
        <v>1006033</v>
      </c>
      <c r="V10" s="301">
        <v>386325</v>
      </c>
      <c r="W10" s="299">
        <v>715554</v>
      </c>
      <c r="X10" s="299">
        <v>477943</v>
      </c>
      <c r="Y10" s="299">
        <v>546090.5</v>
      </c>
      <c r="Z10" s="299">
        <v>507199.5</v>
      </c>
      <c r="AA10" s="299">
        <v>738597.5</v>
      </c>
      <c r="AB10" s="299">
        <v>788078.5</v>
      </c>
      <c r="AC10" s="299">
        <v>631510.5</v>
      </c>
      <c r="AD10" s="299">
        <v>615000</v>
      </c>
      <c r="AE10" s="299">
        <v>1434729.5</v>
      </c>
      <c r="AF10" s="299">
        <v>379856.5</v>
      </c>
      <c r="AG10" s="299">
        <v>511391</v>
      </c>
      <c r="AH10" s="299">
        <v>526553.5</v>
      </c>
      <c r="AI10" s="302">
        <v>287877</v>
      </c>
      <c r="AJ10" s="302">
        <v>167513</v>
      </c>
      <c r="AK10" s="303">
        <f t="shared" ref="AK10:AK11" si="0">SUM(B10:AJ10)</f>
        <v>24254841.5</v>
      </c>
    </row>
    <row r="11" spans="1:37" ht="14.5" x14ac:dyDescent="0.35">
      <c r="A11" s="304" t="s">
        <v>314</v>
      </c>
      <c r="B11" s="305">
        <v>453951.71</v>
      </c>
      <c r="C11" s="305">
        <v>564038.73</v>
      </c>
      <c r="D11" s="306">
        <v>384585.5</v>
      </c>
      <c r="E11" s="305">
        <v>417024.29</v>
      </c>
      <c r="F11" s="305">
        <v>219728.67</v>
      </c>
      <c r="G11" s="305">
        <v>1176496.1599999999</v>
      </c>
      <c r="H11" s="305">
        <v>699396.15</v>
      </c>
      <c r="I11" s="305">
        <v>1059823.6499999999</v>
      </c>
      <c r="J11" s="305">
        <v>381181.42</v>
      </c>
      <c r="K11" s="305">
        <v>420054.46</v>
      </c>
      <c r="L11" s="305">
        <v>178302.54</v>
      </c>
      <c r="M11" s="305">
        <v>481378.84</v>
      </c>
      <c r="N11" s="307">
        <v>191467.2</v>
      </c>
      <c r="O11" s="307">
        <v>974237.96</v>
      </c>
      <c r="P11" s="307">
        <v>160046.75</v>
      </c>
      <c r="Q11" s="307">
        <v>609611.6</v>
      </c>
      <c r="R11" s="307">
        <v>299552.59999999998</v>
      </c>
      <c r="S11" s="307">
        <v>374277.05</v>
      </c>
      <c r="T11" s="307">
        <v>743660.79</v>
      </c>
      <c r="U11" s="307">
        <v>680937.05</v>
      </c>
      <c r="V11" s="269">
        <v>258945.12</v>
      </c>
      <c r="W11" s="307">
        <v>478135.55</v>
      </c>
      <c r="X11" s="307">
        <v>318345.40000000002</v>
      </c>
      <c r="Y11" s="307">
        <v>360787.08</v>
      </c>
      <c r="Z11" s="307">
        <v>334602.15999999997</v>
      </c>
      <c r="AA11" s="307">
        <v>489378.27</v>
      </c>
      <c r="AB11" s="307">
        <v>513310.5</v>
      </c>
      <c r="AC11" s="307">
        <v>415110.69</v>
      </c>
      <c r="AD11" s="307">
        <v>405073.46</v>
      </c>
      <c r="AE11" s="307">
        <v>961385.39</v>
      </c>
      <c r="AF11" s="307">
        <v>255101.05</v>
      </c>
      <c r="AG11" s="307">
        <v>341332.06</v>
      </c>
      <c r="AH11" s="307">
        <v>349943.24</v>
      </c>
      <c r="AI11" s="308">
        <v>189715.35</v>
      </c>
      <c r="AJ11" s="308">
        <v>111401.77</v>
      </c>
      <c r="AK11" s="303">
        <f t="shared" si="0"/>
        <v>16252320.210000003</v>
      </c>
    </row>
    <row r="12" spans="1:37" ht="14.5" x14ac:dyDescent="0.35">
      <c r="A12" s="304" t="s">
        <v>266</v>
      </c>
      <c r="B12" s="305">
        <f t="shared" ref="B12:AK12" si="1">B10-B11</f>
        <v>233359.28999999998</v>
      </c>
      <c r="C12" s="305">
        <f t="shared" si="1"/>
        <v>273191.77</v>
      </c>
      <c r="D12" s="305">
        <f t="shared" si="1"/>
        <v>178315.5</v>
      </c>
      <c r="E12" s="305">
        <f t="shared" si="1"/>
        <v>210491.21000000002</v>
      </c>
      <c r="F12" s="305">
        <f t="shared" si="1"/>
        <v>112328.32999999999</v>
      </c>
      <c r="G12" s="305">
        <f t="shared" si="1"/>
        <v>574431.84000000008</v>
      </c>
      <c r="H12" s="305">
        <f t="shared" si="1"/>
        <v>329532.34999999998</v>
      </c>
      <c r="I12" s="305">
        <f t="shared" si="1"/>
        <v>506836.85000000009</v>
      </c>
      <c r="J12" s="305">
        <f t="shared" si="1"/>
        <v>183417.58000000002</v>
      </c>
      <c r="K12" s="305">
        <f t="shared" si="1"/>
        <v>202078.53999999998</v>
      </c>
      <c r="L12" s="305">
        <f t="shared" si="1"/>
        <v>88749.459999999992</v>
      </c>
      <c r="M12" s="305">
        <f t="shared" si="1"/>
        <v>238966.15999999997</v>
      </c>
      <c r="N12" s="305">
        <f t="shared" si="1"/>
        <v>102369.79999999999</v>
      </c>
      <c r="O12" s="305">
        <f t="shared" si="1"/>
        <v>449401.54000000004</v>
      </c>
      <c r="P12" s="305">
        <f t="shared" si="1"/>
        <v>77778.25</v>
      </c>
      <c r="Q12" s="305">
        <f t="shared" si="1"/>
        <v>309636.40000000002</v>
      </c>
      <c r="R12" s="305">
        <f t="shared" si="1"/>
        <v>148821.40000000002</v>
      </c>
      <c r="S12" s="305">
        <f t="shared" si="1"/>
        <v>182936.95</v>
      </c>
      <c r="T12" s="305">
        <f t="shared" si="1"/>
        <v>343130.20999999996</v>
      </c>
      <c r="U12" s="305">
        <f t="shared" si="1"/>
        <v>325095.94999999995</v>
      </c>
      <c r="V12" s="305">
        <f t="shared" si="1"/>
        <v>127379.88</v>
      </c>
      <c r="W12" s="305">
        <f t="shared" si="1"/>
        <v>237418.45</v>
      </c>
      <c r="X12" s="305">
        <f t="shared" si="1"/>
        <v>159597.59999999998</v>
      </c>
      <c r="Y12" s="305">
        <f t="shared" si="1"/>
        <v>185303.41999999998</v>
      </c>
      <c r="Z12" s="305">
        <f t="shared" si="1"/>
        <v>172597.34000000003</v>
      </c>
      <c r="AA12" s="305">
        <f t="shared" si="1"/>
        <v>249219.22999999998</v>
      </c>
      <c r="AB12" s="305">
        <f t="shared" si="1"/>
        <v>274768</v>
      </c>
      <c r="AC12" s="305">
        <f t="shared" si="1"/>
        <v>216399.81</v>
      </c>
      <c r="AD12" s="305">
        <f t="shared" si="1"/>
        <v>209926.53999999998</v>
      </c>
      <c r="AE12" s="305">
        <f t="shared" si="1"/>
        <v>473344.11</v>
      </c>
      <c r="AF12" s="305">
        <f t="shared" si="1"/>
        <v>124755.45000000001</v>
      </c>
      <c r="AG12" s="305">
        <f t="shared" si="1"/>
        <v>170058.94</v>
      </c>
      <c r="AH12" s="305">
        <f t="shared" si="1"/>
        <v>176610.26</v>
      </c>
      <c r="AI12" s="305">
        <f t="shared" si="1"/>
        <v>98161.65</v>
      </c>
      <c r="AJ12" s="305">
        <f t="shared" si="1"/>
        <v>56111.229999999996</v>
      </c>
      <c r="AK12" s="305">
        <f t="shared" si="1"/>
        <v>8002521.2899999972</v>
      </c>
    </row>
    <row r="13" spans="1:37" ht="14.5" x14ac:dyDescent="0.35">
      <c r="A13" s="309" t="s">
        <v>267</v>
      </c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1"/>
    </row>
    <row r="14" spans="1:37" ht="14.5" x14ac:dyDescent="0.35">
      <c r="A14" s="304" t="s">
        <v>90</v>
      </c>
      <c r="B14" s="305">
        <v>14140</v>
      </c>
      <c r="C14" s="305">
        <v>21185</v>
      </c>
      <c r="D14" s="305">
        <v>10558</v>
      </c>
      <c r="E14" s="305">
        <v>14140</v>
      </c>
      <c r="F14" s="305">
        <v>7145</v>
      </c>
      <c r="G14" s="305">
        <v>21135</v>
      </c>
      <c r="H14" s="305">
        <v>17662.5</v>
      </c>
      <c r="I14" s="305">
        <v>24737.5</v>
      </c>
      <c r="J14" s="305">
        <v>14090</v>
      </c>
      <c r="K14" s="305">
        <v>10567.5</v>
      </c>
      <c r="L14" s="307">
        <v>7045</v>
      </c>
      <c r="M14" s="307">
        <v>17662.5</v>
      </c>
      <c r="N14" s="307">
        <v>7094.5</v>
      </c>
      <c r="O14" s="307">
        <v>28309.5</v>
      </c>
      <c r="P14" s="307">
        <v>7094.5</v>
      </c>
      <c r="Q14" s="307">
        <v>28300.5</v>
      </c>
      <c r="R14" s="307">
        <v>14090</v>
      </c>
      <c r="S14" s="307">
        <v>14089.5</v>
      </c>
      <c r="T14" s="307">
        <v>17615</v>
      </c>
      <c r="U14" s="307">
        <v>14092</v>
      </c>
      <c r="V14" s="308">
        <v>7046</v>
      </c>
      <c r="W14" s="307">
        <v>17665</v>
      </c>
      <c r="X14" s="305">
        <v>10569</v>
      </c>
      <c r="Y14" s="307">
        <v>10569</v>
      </c>
      <c r="Z14" s="307">
        <v>7046</v>
      </c>
      <c r="AA14" s="307">
        <v>17615</v>
      </c>
      <c r="AB14" s="307">
        <v>17615</v>
      </c>
      <c r="AC14" s="307">
        <v>14092</v>
      </c>
      <c r="AD14" s="307">
        <v>14092</v>
      </c>
      <c r="AE14" s="307">
        <v>28580.3</v>
      </c>
      <c r="AF14" s="307">
        <v>10717.5</v>
      </c>
      <c r="AG14" s="307">
        <v>14096</v>
      </c>
      <c r="AH14" s="307">
        <v>10569</v>
      </c>
      <c r="AI14" s="308">
        <v>3618</v>
      </c>
      <c r="AJ14" s="308">
        <v>7046</v>
      </c>
      <c r="AK14" s="303">
        <f t="shared" ref="AK14:AK17" si="2">SUM(B14:AJ14)</f>
        <v>501689.3</v>
      </c>
    </row>
    <row r="15" spans="1:37" ht="14.5" x14ac:dyDescent="0.35">
      <c r="A15" s="313" t="s">
        <v>91</v>
      </c>
      <c r="B15" s="314">
        <v>15910</v>
      </c>
      <c r="C15" s="314">
        <v>17501</v>
      </c>
      <c r="D15" s="314">
        <v>11137</v>
      </c>
      <c r="E15" s="314">
        <v>12728</v>
      </c>
      <c r="F15" s="314">
        <v>7955</v>
      </c>
      <c r="G15" s="314">
        <v>27047</v>
      </c>
      <c r="H15" s="314">
        <v>14319</v>
      </c>
      <c r="I15" s="314">
        <v>20683</v>
      </c>
      <c r="J15" s="314">
        <v>11137</v>
      </c>
      <c r="K15" s="314">
        <v>9546</v>
      </c>
      <c r="L15" s="314">
        <v>6364</v>
      </c>
      <c r="M15" s="314">
        <v>11137</v>
      </c>
      <c r="N15" s="314">
        <v>6364</v>
      </c>
      <c r="O15" s="314">
        <v>19092</v>
      </c>
      <c r="P15" s="314">
        <v>4773</v>
      </c>
      <c r="Q15" s="314">
        <v>14319</v>
      </c>
      <c r="R15" s="314">
        <v>9546</v>
      </c>
      <c r="S15" s="314">
        <v>11137</v>
      </c>
      <c r="T15" s="314">
        <v>17501</v>
      </c>
      <c r="U15" s="314">
        <v>17501</v>
      </c>
      <c r="V15" s="316">
        <v>7955</v>
      </c>
      <c r="W15" s="314">
        <v>12728</v>
      </c>
      <c r="X15" s="314">
        <v>9546</v>
      </c>
      <c r="Y15" s="314">
        <v>9546</v>
      </c>
      <c r="Z15" s="314">
        <v>7955</v>
      </c>
      <c r="AA15" s="314">
        <v>17300</v>
      </c>
      <c r="AB15" s="314">
        <v>15570</v>
      </c>
      <c r="AC15" s="314">
        <v>12110</v>
      </c>
      <c r="AD15" s="314">
        <v>12110</v>
      </c>
      <c r="AE15" s="314">
        <v>29410</v>
      </c>
      <c r="AF15" s="314">
        <v>8650</v>
      </c>
      <c r="AG15" s="314">
        <v>15046</v>
      </c>
      <c r="AH15" s="314">
        <v>12110</v>
      </c>
      <c r="AI15" s="316">
        <v>4773</v>
      </c>
      <c r="AJ15" s="316">
        <v>6920</v>
      </c>
      <c r="AK15" s="303">
        <f t="shared" si="2"/>
        <v>447426</v>
      </c>
    </row>
    <row r="16" spans="1:37" ht="14.5" x14ac:dyDescent="0.35">
      <c r="A16" s="317" t="s">
        <v>92</v>
      </c>
      <c r="B16" s="307">
        <v>14432</v>
      </c>
      <c r="C16" s="307">
        <v>18368</v>
      </c>
      <c r="D16" s="307">
        <v>14432</v>
      </c>
      <c r="E16" s="307">
        <v>13120</v>
      </c>
      <c r="F16" s="307">
        <v>9184</v>
      </c>
      <c r="G16" s="307">
        <v>39360</v>
      </c>
      <c r="H16" s="307">
        <v>20992</v>
      </c>
      <c r="I16" s="307">
        <v>28864</v>
      </c>
      <c r="J16" s="307">
        <v>14432</v>
      </c>
      <c r="K16" s="307">
        <v>10496</v>
      </c>
      <c r="L16" s="307">
        <v>5248</v>
      </c>
      <c r="M16" s="307">
        <v>18368</v>
      </c>
      <c r="N16" s="307">
        <v>5248</v>
      </c>
      <c r="O16" s="307">
        <v>27552</v>
      </c>
      <c r="P16" s="307">
        <v>5248</v>
      </c>
      <c r="Q16" s="307">
        <v>18368</v>
      </c>
      <c r="R16" s="307">
        <v>9296</v>
      </c>
      <c r="S16" s="307">
        <v>15744</v>
      </c>
      <c r="T16" s="307">
        <v>23730</v>
      </c>
      <c r="U16" s="307">
        <v>20992</v>
      </c>
      <c r="V16" s="308">
        <v>7872</v>
      </c>
      <c r="W16" s="307">
        <v>11808</v>
      </c>
      <c r="X16" s="318">
        <v>11808</v>
      </c>
      <c r="Y16" s="307">
        <v>11808</v>
      </c>
      <c r="Z16" s="307">
        <v>9184</v>
      </c>
      <c r="AA16" s="307">
        <v>14895</v>
      </c>
      <c r="AB16" s="307">
        <v>15688</v>
      </c>
      <c r="AC16" s="307">
        <v>9774</v>
      </c>
      <c r="AD16" s="307">
        <v>12060</v>
      </c>
      <c r="AE16" s="307">
        <v>31249</v>
      </c>
      <c r="AF16" s="307">
        <v>8306</v>
      </c>
      <c r="AG16" s="307">
        <v>13488</v>
      </c>
      <c r="AH16" s="307">
        <v>9648</v>
      </c>
      <c r="AI16" s="308">
        <v>5248</v>
      </c>
      <c r="AJ16" s="308">
        <v>6000</v>
      </c>
      <c r="AK16" s="303">
        <f t="shared" si="2"/>
        <v>512310</v>
      </c>
    </row>
    <row r="17" spans="1:37" ht="14.5" x14ac:dyDescent="0.35">
      <c r="A17" s="313" t="s">
        <v>268</v>
      </c>
      <c r="B17" s="314">
        <v>3240</v>
      </c>
      <c r="C17" s="314">
        <v>4320</v>
      </c>
      <c r="D17" s="314">
        <v>3780</v>
      </c>
      <c r="E17" s="314">
        <v>3240</v>
      </c>
      <c r="F17" s="314">
        <v>1890</v>
      </c>
      <c r="G17" s="314">
        <v>7830</v>
      </c>
      <c r="H17" s="314">
        <v>3510</v>
      </c>
      <c r="I17" s="314">
        <v>5940</v>
      </c>
      <c r="J17" s="314">
        <v>3780</v>
      </c>
      <c r="K17" s="314">
        <v>3510</v>
      </c>
      <c r="L17" s="314">
        <v>2160</v>
      </c>
      <c r="M17" s="314">
        <v>4320</v>
      </c>
      <c r="N17" s="314">
        <v>1080</v>
      </c>
      <c r="O17" s="314">
        <v>6750</v>
      </c>
      <c r="P17" s="314">
        <v>1890</v>
      </c>
      <c r="Q17" s="314">
        <v>6210</v>
      </c>
      <c r="R17" s="314">
        <v>2970</v>
      </c>
      <c r="S17" s="314">
        <v>4050</v>
      </c>
      <c r="T17" s="314">
        <v>5940</v>
      </c>
      <c r="U17" s="314">
        <v>5130</v>
      </c>
      <c r="V17" s="316">
        <v>3240</v>
      </c>
      <c r="W17" s="314">
        <v>4320</v>
      </c>
      <c r="X17" s="314">
        <v>3240</v>
      </c>
      <c r="Y17" s="314">
        <v>4860</v>
      </c>
      <c r="Z17" s="314">
        <v>3240</v>
      </c>
      <c r="AA17" s="314">
        <f>7950+30</f>
        <v>7980</v>
      </c>
      <c r="AB17" s="314">
        <v>7360</v>
      </c>
      <c r="AC17" s="314">
        <v>5120</v>
      </c>
      <c r="AD17" s="314">
        <v>6720</v>
      </c>
      <c r="AE17" s="314">
        <v>11200</v>
      </c>
      <c r="AF17" s="314">
        <v>3840</v>
      </c>
      <c r="AG17" s="314">
        <v>4160</v>
      </c>
      <c r="AH17" s="314">
        <v>5860</v>
      </c>
      <c r="AI17" s="316">
        <v>1620</v>
      </c>
      <c r="AJ17" s="316">
        <v>2880</v>
      </c>
      <c r="AK17" s="303">
        <f t="shared" si="2"/>
        <v>157180</v>
      </c>
    </row>
    <row r="18" spans="1:37" ht="14.5" x14ac:dyDescent="0.35">
      <c r="A18" s="317" t="s">
        <v>55</v>
      </c>
      <c r="B18" s="307">
        <v>54426</v>
      </c>
      <c r="C18" s="307">
        <v>64186</v>
      </c>
      <c r="D18" s="307">
        <v>42849</v>
      </c>
      <c r="E18" s="307">
        <v>43974</v>
      </c>
      <c r="F18" s="307">
        <v>26686.5</v>
      </c>
      <c r="G18" s="307">
        <v>106728</v>
      </c>
      <c r="H18" s="307">
        <v>66272.5</v>
      </c>
      <c r="I18" s="307">
        <v>104629.5</v>
      </c>
      <c r="J18" s="307">
        <v>44188.5</v>
      </c>
      <c r="K18" s="307">
        <v>43349.5</v>
      </c>
      <c r="L18" s="307">
        <v>23842</v>
      </c>
      <c r="M18" s="307">
        <v>55907</v>
      </c>
      <c r="N18" s="307">
        <v>21529</v>
      </c>
      <c r="O18" s="307">
        <v>99966</v>
      </c>
      <c r="P18" s="307">
        <v>21699</v>
      </c>
      <c r="Q18" s="307">
        <v>67115</v>
      </c>
      <c r="R18" s="307">
        <v>44341</v>
      </c>
      <c r="S18" s="307">
        <v>43361</v>
      </c>
      <c r="T18" s="307">
        <v>62735.5</v>
      </c>
      <c r="U18" s="307">
        <v>72757</v>
      </c>
      <c r="V18" s="308">
        <v>32525</v>
      </c>
      <c r="W18" s="307">
        <v>52447</v>
      </c>
      <c r="X18" s="305">
        <v>41211</v>
      </c>
      <c r="Y18" s="307">
        <v>35431</v>
      </c>
      <c r="Z18" s="307">
        <v>40116</v>
      </c>
      <c r="AA18" s="307">
        <v>55903.07</v>
      </c>
      <c r="AB18" s="307">
        <v>70126.37</v>
      </c>
      <c r="AC18" s="307">
        <v>45538</v>
      </c>
      <c r="AD18" s="307">
        <v>42345.5</v>
      </c>
      <c r="AE18" s="307">
        <v>84490.38</v>
      </c>
      <c r="AF18" s="307">
        <v>37288</v>
      </c>
      <c r="AG18" s="307">
        <v>45772</v>
      </c>
      <c r="AH18" s="307">
        <v>57260</v>
      </c>
      <c r="AI18" s="308">
        <v>34205</v>
      </c>
      <c r="AJ18" s="319"/>
      <c r="AK18" s="303">
        <f t="shared" ref="AK18:AK27" si="3">SUM(B18:AI18)</f>
        <v>1785200.3199999998</v>
      </c>
    </row>
    <row r="19" spans="1:37" ht="14.5" x14ac:dyDescent="0.35">
      <c r="A19" s="313" t="s">
        <v>315</v>
      </c>
      <c r="B19" s="314">
        <v>364.5</v>
      </c>
      <c r="C19" s="314">
        <v>497</v>
      </c>
      <c r="D19" s="320"/>
      <c r="E19" s="314">
        <v>50</v>
      </c>
      <c r="F19" s="320"/>
      <c r="G19" s="314">
        <v>209</v>
      </c>
      <c r="H19" s="314">
        <v>888</v>
      </c>
      <c r="I19" s="314">
        <v>404</v>
      </c>
      <c r="J19" s="314">
        <v>539.95000000000005</v>
      </c>
      <c r="K19" s="314">
        <v>130</v>
      </c>
      <c r="L19" s="314">
        <v>210</v>
      </c>
      <c r="M19" s="316">
        <v>60</v>
      </c>
      <c r="N19" s="314">
        <v>706</v>
      </c>
      <c r="O19" s="314">
        <v>261</v>
      </c>
      <c r="P19" s="314">
        <v>203</v>
      </c>
      <c r="Q19" s="314">
        <v>792</v>
      </c>
      <c r="R19" s="320"/>
      <c r="S19" s="320"/>
      <c r="T19" s="314">
        <v>243</v>
      </c>
      <c r="U19" s="314">
        <v>758.5</v>
      </c>
      <c r="V19" s="316">
        <v>1074</v>
      </c>
      <c r="W19" s="314">
        <v>180.5</v>
      </c>
      <c r="X19" s="314">
        <v>311</v>
      </c>
      <c r="Y19" s="314">
        <v>1036</v>
      </c>
      <c r="Z19" s="314">
        <v>3675</v>
      </c>
      <c r="AA19" s="314">
        <v>2757.5</v>
      </c>
      <c r="AB19" s="316">
        <v>2791</v>
      </c>
      <c r="AC19" s="314">
        <v>2124.5</v>
      </c>
      <c r="AD19" s="320"/>
      <c r="AE19" s="314">
        <v>2994.87</v>
      </c>
      <c r="AF19" s="314">
        <v>328</v>
      </c>
      <c r="AG19" s="314">
        <v>242.3</v>
      </c>
      <c r="AH19" s="314">
        <v>20</v>
      </c>
      <c r="AI19" s="316">
        <v>225.5</v>
      </c>
      <c r="AJ19" s="320"/>
      <c r="AK19" s="303">
        <f t="shared" si="3"/>
        <v>24076.12</v>
      </c>
    </row>
    <row r="20" spans="1:37" ht="14.5" x14ac:dyDescent="0.35">
      <c r="A20" s="321" t="s">
        <v>272</v>
      </c>
      <c r="B20" s="305">
        <v>6850.45</v>
      </c>
      <c r="C20" s="305">
        <v>6850.49</v>
      </c>
      <c r="D20" s="305">
        <v>4683.82</v>
      </c>
      <c r="E20" s="305">
        <v>4683.8100000000004</v>
      </c>
      <c r="F20" s="305">
        <v>3600.49</v>
      </c>
      <c r="G20" s="305">
        <v>9017.16</v>
      </c>
      <c r="H20" s="305">
        <v>9017.16</v>
      </c>
      <c r="I20" s="296"/>
      <c r="J20" s="305">
        <v>4683.82</v>
      </c>
      <c r="K20" s="305">
        <v>4683.82</v>
      </c>
      <c r="L20" s="305">
        <v>3600</v>
      </c>
      <c r="M20" s="305">
        <v>5767.16</v>
      </c>
      <c r="N20" s="305">
        <v>2517.16</v>
      </c>
      <c r="O20" s="305">
        <v>10100.450000000001</v>
      </c>
      <c r="P20" s="305">
        <v>2517.16</v>
      </c>
      <c r="Q20" s="305">
        <v>6850.49</v>
      </c>
      <c r="R20" s="305">
        <v>4683.82</v>
      </c>
      <c r="S20" s="305">
        <v>4683</v>
      </c>
      <c r="T20" s="305">
        <v>6850</v>
      </c>
      <c r="U20" s="305">
        <v>9017</v>
      </c>
      <c r="V20" s="269">
        <v>4683.82</v>
      </c>
      <c r="W20" s="305">
        <v>9017.16</v>
      </c>
      <c r="X20" s="269">
        <v>3600.49</v>
      </c>
      <c r="Y20" s="305">
        <v>3600.49</v>
      </c>
      <c r="Z20" s="305">
        <v>4683.82</v>
      </c>
      <c r="AA20" s="305">
        <v>7019.48</v>
      </c>
      <c r="AB20" s="305">
        <v>7019.49</v>
      </c>
      <c r="AC20" s="305">
        <v>5907.99</v>
      </c>
      <c r="AD20" s="305">
        <v>4796.49</v>
      </c>
      <c r="AE20" s="305">
        <v>9242.49</v>
      </c>
      <c r="AF20" s="305">
        <v>4796.49</v>
      </c>
      <c r="AG20" s="305">
        <v>4796.49</v>
      </c>
      <c r="AH20" s="305">
        <v>5767</v>
      </c>
      <c r="AI20" s="269">
        <v>4683</v>
      </c>
      <c r="AJ20" s="296"/>
      <c r="AK20" s="303">
        <f t="shared" si="3"/>
        <v>190271.96</v>
      </c>
    </row>
    <row r="21" spans="1:37" ht="14.5" x14ac:dyDescent="0.35">
      <c r="A21" s="322" t="s">
        <v>273</v>
      </c>
      <c r="B21" s="314">
        <v>471.43</v>
      </c>
      <c r="C21" s="314">
        <v>671.43</v>
      </c>
      <c r="D21" s="314">
        <v>671.43</v>
      </c>
      <c r="E21" s="314">
        <v>71.430000000000007</v>
      </c>
      <c r="F21" s="320"/>
      <c r="G21" s="314">
        <v>471.43</v>
      </c>
      <c r="H21" s="314">
        <v>471.43</v>
      </c>
      <c r="I21" s="314">
        <v>871.43</v>
      </c>
      <c r="J21" s="314">
        <v>471.43</v>
      </c>
      <c r="K21" s="320"/>
      <c r="L21" s="314">
        <v>471.43</v>
      </c>
      <c r="M21" s="314">
        <v>593.75</v>
      </c>
      <c r="N21" s="320"/>
      <c r="O21" s="314">
        <v>843.75</v>
      </c>
      <c r="P21" s="314">
        <v>271.43</v>
      </c>
      <c r="Q21" s="314">
        <v>671.43</v>
      </c>
      <c r="R21" s="314">
        <v>271.43</v>
      </c>
      <c r="S21" s="314">
        <v>471.43</v>
      </c>
      <c r="T21" s="314">
        <v>671.43</v>
      </c>
      <c r="U21" s="314">
        <v>471.43</v>
      </c>
      <c r="V21" s="316">
        <v>271.43</v>
      </c>
      <c r="W21" s="314">
        <v>471.43</v>
      </c>
      <c r="X21" s="316">
        <v>271.43</v>
      </c>
      <c r="Y21" s="314">
        <v>271.43</v>
      </c>
      <c r="Z21" s="320"/>
      <c r="AA21" s="323">
        <v>471.43</v>
      </c>
      <c r="AB21" s="314">
        <v>671.43</v>
      </c>
      <c r="AC21" s="314">
        <v>471.43</v>
      </c>
      <c r="AD21" s="314">
        <v>471.43</v>
      </c>
      <c r="AE21" s="314">
        <v>471.43</v>
      </c>
      <c r="AF21" s="320"/>
      <c r="AG21" s="314">
        <v>471.43</v>
      </c>
      <c r="AH21" s="314">
        <v>271.43</v>
      </c>
      <c r="AI21" s="320"/>
      <c r="AJ21" s="320"/>
      <c r="AK21" s="303">
        <f t="shared" si="3"/>
        <v>13494.680000000004</v>
      </c>
    </row>
    <row r="22" spans="1:37" ht="14.5" x14ac:dyDescent="0.35">
      <c r="A22" s="324" t="s">
        <v>269</v>
      </c>
      <c r="B22" s="307">
        <v>750</v>
      </c>
      <c r="C22" s="307">
        <v>750</v>
      </c>
      <c r="D22" s="307">
        <v>450</v>
      </c>
      <c r="E22" s="307">
        <v>450</v>
      </c>
      <c r="F22" s="319"/>
      <c r="G22" s="307">
        <v>1350</v>
      </c>
      <c r="H22" s="307">
        <v>900</v>
      </c>
      <c r="I22" s="307">
        <v>990</v>
      </c>
      <c r="J22" s="307">
        <v>450</v>
      </c>
      <c r="K22" s="307">
        <v>450</v>
      </c>
      <c r="L22" s="307">
        <v>450</v>
      </c>
      <c r="M22" s="307">
        <v>600</v>
      </c>
      <c r="N22" s="307">
        <v>300</v>
      </c>
      <c r="O22" s="307">
        <v>1050</v>
      </c>
      <c r="P22" s="307">
        <v>300</v>
      </c>
      <c r="Q22" s="307">
        <v>750</v>
      </c>
      <c r="R22" s="307">
        <v>450</v>
      </c>
      <c r="S22" s="307">
        <v>600</v>
      </c>
      <c r="T22" s="307">
        <v>750</v>
      </c>
      <c r="U22" s="307">
        <v>900</v>
      </c>
      <c r="V22" s="308">
        <v>300</v>
      </c>
      <c r="W22" s="307">
        <v>600</v>
      </c>
      <c r="X22" s="308">
        <v>600</v>
      </c>
      <c r="Y22" s="307">
        <v>450</v>
      </c>
      <c r="Z22" s="325">
        <v>450</v>
      </c>
      <c r="AA22" s="319"/>
      <c r="AB22" s="319"/>
      <c r="AC22" s="319"/>
      <c r="AD22" s="319"/>
      <c r="AE22" s="319"/>
      <c r="AF22" s="319"/>
      <c r="AG22" s="319"/>
      <c r="AH22" s="307">
        <v>750</v>
      </c>
      <c r="AI22" s="319"/>
      <c r="AJ22" s="319"/>
      <c r="AK22" s="317">
        <f t="shared" si="3"/>
        <v>15840</v>
      </c>
    </row>
    <row r="23" spans="1:37" ht="14.5" x14ac:dyDescent="0.35">
      <c r="A23" s="322" t="s">
        <v>57</v>
      </c>
      <c r="B23" s="314">
        <v>4572.5</v>
      </c>
      <c r="C23" s="314">
        <v>875</v>
      </c>
      <c r="D23" s="314">
        <v>3561</v>
      </c>
      <c r="E23" s="314">
        <v>1312.5</v>
      </c>
      <c r="F23" s="314">
        <v>2425</v>
      </c>
      <c r="G23" s="314">
        <v>1012</v>
      </c>
      <c r="H23" s="314">
        <v>1469</v>
      </c>
      <c r="I23" s="316">
        <v>524</v>
      </c>
      <c r="J23" s="314">
        <v>5675.99</v>
      </c>
      <c r="K23" s="314">
        <v>7103</v>
      </c>
      <c r="L23" s="314">
        <v>4198</v>
      </c>
      <c r="M23" s="314">
        <v>5513.5</v>
      </c>
      <c r="N23" s="314">
        <v>3493</v>
      </c>
      <c r="O23" s="314">
        <v>3567.25</v>
      </c>
      <c r="P23" s="314">
        <v>4951</v>
      </c>
      <c r="Q23" s="314">
        <v>7493</v>
      </c>
      <c r="R23" s="314">
        <v>7091</v>
      </c>
      <c r="S23" s="314">
        <v>8085.5</v>
      </c>
      <c r="T23" s="314">
        <v>885.5</v>
      </c>
      <c r="U23" s="314">
        <v>1844</v>
      </c>
      <c r="V23" s="316">
        <v>5964</v>
      </c>
      <c r="W23" s="314">
        <v>5155.5</v>
      </c>
      <c r="X23" s="314">
        <v>2168</v>
      </c>
      <c r="Y23" s="314">
        <v>3224</v>
      </c>
      <c r="Z23" s="320"/>
      <c r="AA23" s="323">
        <v>705.32</v>
      </c>
      <c r="AB23" s="314">
        <v>3334.68</v>
      </c>
      <c r="AC23" s="314">
        <v>4724.43</v>
      </c>
      <c r="AD23" s="314">
        <v>6568.57</v>
      </c>
      <c r="AE23" s="314">
        <v>8588.11</v>
      </c>
      <c r="AF23" s="314">
        <v>3780.89</v>
      </c>
      <c r="AG23" s="314">
        <v>812.62</v>
      </c>
      <c r="AH23" s="314">
        <v>125</v>
      </c>
      <c r="AI23" s="316">
        <v>1662</v>
      </c>
      <c r="AJ23" s="320"/>
      <c r="AK23" s="303">
        <f t="shared" si="3"/>
        <v>122464.85999999999</v>
      </c>
    </row>
    <row r="24" spans="1:37" ht="14.5" x14ac:dyDescent="0.35">
      <c r="A24" s="322" t="s">
        <v>270</v>
      </c>
      <c r="B24" s="314">
        <v>2850</v>
      </c>
      <c r="C24" s="314">
        <v>1200</v>
      </c>
      <c r="D24" s="314">
        <v>1200</v>
      </c>
      <c r="E24" s="314">
        <v>1150</v>
      </c>
      <c r="F24" s="314">
        <v>750</v>
      </c>
      <c r="G24" s="314">
        <v>1250</v>
      </c>
      <c r="H24" s="314">
        <v>2050</v>
      </c>
      <c r="I24" s="314">
        <v>1200</v>
      </c>
      <c r="J24" s="314">
        <v>1150</v>
      </c>
      <c r="K24" s="314">
        <v>1250</v>
      </c>
      <c r="L24" s="314">
        <v>1200</v>
      </c>
      <c r="M24" s="320"/>
      <c r="N24" s="314">
        <v>1200</v>
      </c>
      <c r="O24" s="314">
        <v>2400</v>
      </c>
      <c r="P24" s="314">
        <v>1200</v>
      </c>
      <c r="Q24" s="314">
        <v>1250</v>
      </c>
      <c r="R24" s="320"/>
      <c r="S24" s="314">
        <v>2300</v>
      </c>
      <c r="T24" s="314">
        <v>1200</v>
      </c>
      <c r="U24" s="314">
        <v>1200</v>
      </c>
      <c r="V24" s="316">
        <v>1200</v>
      </c>
      <c r="W24" s="314">
        <v>1200</v>
      </c>
      <c r="X24" s="316">
        <v>1150</v>
      </c>
      <c r="Y24" s="314">
        <v>1100</v>
      </c>
      <c r="Z24" s="323">
        <v>1050</v>
      </c>
      <c r="AA24" s="323">
        <v>1000</v>
      </c>
      <c r="AB24" s="314">
        <v>1300</v>
      </c>
      <c r="AC24" s="314">
        <v>1125</v>
      </c>
      <c r="AD24" s="314">
        <v>2400</v>
      </c>
      <c r="AE24" s="314">
        <v>1526</v>
      </c>
      <c r="AF24" s="314">
        <v>1150</v>
      </c>
      <c r="AG24" s="314">
        <v>1200</v>
      </c>
      <c r="AH24" s="314">
        <v>1200</v>
      </c>
      <c r="AI24" s="320"/>
      <c r="AJ24" s="320"/>
      <c r="AK24" s="303">
        <f t="shared" si="3"/>
        <v>42601</v>
      </c>
    </row>
    <row r="25" spans="1:37" ht="14.5" x14ac:dyDescent="0.35">
      <c r="A25" s="324" t="s">
        <v>274</v>
      </c>
      <c r="B25" s="307">
        <v>3445.36</v>
      </c>
      <c r="C25" s="307">
        <v>5465.36</v>
      </c>
      <c r="D25" s="307">
        <v>3445.36</v>
      </c>
      <c r="E25" s="307">
        <v>1425.36</v>
      </c>
      <c r="F25" s="319"/>
      <c r="G25" s="307">
        <v>2435.36</v>
      </c>
      <c r="H25" s="307">
        <v>2435.69</v>
      </c>
      <c r="I25" s="307">
        <v>6475.36</v>
      </c>
      <c r="J25" s="307">
        <v>3445.36</v>
      </c>
      <c r="K25" s="319"/>
      <c r="L25" s="307">
        <v>2436</v>
      </c>
      <c r="M25" s="307">
        <v>1425.36</v>
      </c>
      <c r="N25" s="319"/>
      <c r="O25" s="307">
        <v>3445.36</v>
      </c>
      <c r="P25" s="307">
        <v>1425.36</v>
      </c>
      <c r="Q25" s="307">
        <v>5465.36</v>
      </c>
      <c r="R25" s="307">
        <v>1425.36</v>
      </c>
      <c r="S25" s="307">
        <v>2435.36</v>
      </c>
      <c r="T25" s="307">
        <v>5465.36</v>
      </c>
      <c r="U25" s="307">
        <v>3445.36</v>
      </c>
      <c r="V25" s="308">
        <v>1425.36</v>
      </c>
      <c r="W25" s="307">
        <v>2435.36</v>
      </c>
      <c r="X25" s="269">
        <v>1425.16</v>
      </c>
      <c r="Y25" s="307">
        <v>1425.36</v>
      </c>
      <c r="Z25" s="319"/>
      <c r="AA25" s="307">
        <v>2435.36</v>
      </c>
      <c r="AB25" s="307">
        <v>3445.36</v>
      </c>
      <c r="AC25" s="307">
        <v>3445.36</v>
      </c>
      <c r="AD25" s="307">
        <v>2435.36</v>
      </c>
      <c r="AE25" s="307">
        <v>2435.36</v>
      </c>
      <c r="AF25" s="319"/>
      <c r="AG25" s="307">
        <v>1425.36</v>
      </c>
      <c r="AH25" s="307">
        <v>1425.36</v>
      </c>
      <c r="AI25" s="319"/>
      <c r="AJ25" s="319"/>
      <c r="AK25" s="303">
        <f t="shared" si="3"/>
        <v>79300.850000000006</v>
      </c>
    </row>
    <row r="26" spans="1:37" ht="14.5" x14ac:dyDescent="0.35">
      <c r="A26" s="313" t="s">
        <v>275</v>
      </c>
      <c r="B26" s="314">
        <v>843.75</v>
      </c>
      <c r="C26" s="314">
        <v>843.75</v>
      </c>
      <c r="D26" s="314">
        <v>843.75</v>
      </c>
      <c r="E26" s="314">
        <v>343.75</v>
      </c>
      <c r="F26" s="320"/>
      <c r="G26" s="314">
        <v>593.75</v>
      </c>
      <c r="H26" s="314">
        <v>593.75</v>
      </c>
      <c r="I26" s="314">
        <v>1343.75</v>
      </c>
      <c r="J26" s="314">
        <v>843.75</v>
      </c>
      <c r="K26" s="320"/>
      <c r="L26" s="314">
        <v>343.75</v>
      </c>
      <c r="M26" s="314">
        <v>271.43</v>
      </c>
      <c r="N26" s="320"/>
      <c r="O26" s="314">
        <v>671.43</v>
      </c>
      <c r="P26" s="314">
        <v>343.75</v>
      </c>
      <c r="Q26" s="314">
        <v>1343.75</v>
      </c>
      <c r="R26" s="314">
        <v>343.75</v>
      </c>
      <c r="S26" s="314">
        <v>593.75</v>
      </c>
      <c r="T26" s="314">
        <v>1343.75</v>
      </c>
      <c r="U26" s="314">
        <v>843.75</v>
      </c>
      <c r="V26" s="316">
        <v>343.75</v>
      </c>
      <c r="W26" s="314">
        <v>593.75</v>
      </c>
      <c r="X26" s="316">
        <v>93.75</v>
      </c>
      <c r="Y26" s="314">
        <v>343.75</v>
      </c>
      <c r="Z26" s="320"/>
      <c r="AA26" s="314">
        <v>593.75</v>
      </c>
      <c r="AB26" s="314">
        <v>843.75</v>
      </c>
      <c r="AC26" s="314">
        <v>593.75</v>
      </c>
      <c r="AD26" s="314">
        <v>593.75</v>
      </c>
      <c r="AE26" s="314">
        <v>343.75</v>
      </c>
      <c r="AF26" s="320"/>
      <c r="AG26" s="314">
        <v>93.75</v>
      </c>
      <c r="AH26" s="314">
        <v>343.75</v>
      </c>
      <c r="AI26" s="320"/>
      <c r="AJ26" s="320"/>
      <c r="AK26" s="303">
        <f t="shared" si="3"/>
        <v>17130.36</v>
      </c>
    </row>
    <row r="27" spans="1:37" ht="14.5" x14ac:dyDescent="0.35">
      <c r="A27" s="304" t="s">
        <v>316</v>
      </c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303">
        <f t="shared" si="3"/>
        <v>0</v>
      </c>
    </row>
    <row r="28" spans="1:37" ht="14.5" x14ac:dyDescent="0.35">
      <c r="A28" s="313" t="s">
        <v>277</v>
      </c>
      <c r="B28" s="314">
        <v>100</v>
      </c>
      <c r="C28" s="320"/>
      <c r="D28" s="314">
        <v>230</v>
      </c>
      <c r="E28" s="314">
        <v>200</v>
      </c>
      <c r="F28" s="314">
        <v>100</v>
      </c>
      <c r="G28" s="314">
        <v>300</v>
      </c>
      <c r="H28" s="314">
        <v>300</v>
      </c>
      <c r="I28" s="314">
        <v>300</v>
      </c>
      <c r="J28" s="314">
        <v>200</v>
      </c>
      <c r="K28" s="314">
        <v>580</v>
      </c>
      <c r="L28" s="314">
        <v>260</v>
      </c>
      <c r="M28" s="314">
        <v>200</v>
      </c>
      <c r="N28" s="320"/>
      <c r="O28" s="314">
        <v>580</v>
      </c>
      <c r="P28" s="320"/>
      <c r="Q28" s="314">
        <v>1550</v>
      </c>
      <c r="R28" s="314">
        <v>1000</v>
      </c>
      <c r="S28" s="314">
        <v>1000</v>
      </c>
      <c r="T28" s="314">
        <v>50</v>
      </c>
      <c r="U28" s="314">
        <v>50</v>
      </c>
      <c r="V28" s="316">
        <v>50</v>
      </c>
      <c r="W28" s="314">
        <v>350</v>
      </c>
      <c r="X28" s="314">
        <v>50</v>
      </c>
      <c r="Y28" s="314">
        <v>100</v>
      </c>
      <c r="Z28" s="314">
        <v>100</v>
      </c>
      <c r="AA28" s="314">
        <v>910</v>
      </c>
      <c r="AB28" s="314">
        <v>660</v>
      </c>
      <c r="AC28" s="314">
        <v>150</v>
      </c>
      <c r="AD28" s="314">
        <v>250</v>
      </c>
      <c r="AE28" s="314">
        <v>3255</v>
      </c>
      <c r="AF28" s="314">
        <v>1230</v>
      </c>
      <c r="AG28" s="314">
        <v>985</v>
      </c>
      <c r="AH28" s="314">
        <v>1620</v>
      </c>
      <c r="AI28" s="316">
        <v>890</v>
      </c>
      <c r="AJ28" s="316">
        <v>200</v>
      </c>
      <c r="AK28" s="303">
        <f t="shared" ref="AK28:AK29" si="4">SUM(B28:AJ28)</f>
        <v>17800</v>
      </c>
    </row>
    <row r="29" spans="1:37" ht="15.5" x14ac:dyDescent="0.35">
      <c r="A29" s="317" t="s">
        <v>278</v>
      </c>
      <c r="B29" s="319"/>
      <c r="C29" s="307">
        <v>420</v>
      </c>
      <c r="D29" s="319"/>
      <c r="E29" s="319"/>
      <c r="F29" s="319"/>
      <c r="G29" s="319"/>
      <c r="H29" s="319"/>
      <c r="I29" s="319"/>
      <c r="J29" s="319"/>
      <c r="K29" s="308">
        <v>100</v>
      </c>
      <c r="L29" s="308">
        <v>130</v>
      </c>
      <c r="M29" s="307">
        <v>540</v>
      </c>
      <c r="N29" s="307">
        <v>164</v>
      </c>
      <c r="O29" s="326">
        <v>947</v>
      </c>
      <c r="P29" s="319"/>
      <c r="Q29" s="307">
        <v>3100</v>
      </c>
      <c r="R29" s="307">
        <v>1500</v>
      </c>
      <c r="S29" s="307">
        <v>100</v>
      </c>
      <c r="T29" s="307">
        <v>100</v>
      </c>
      <c r="U29" s="319"/>
      <c r="V29" s="319"/>
      <c r="W29" s="319"/>
      <c r="X29" s="307">
        <v>10</v>
      </c>
      <c r="Y29" s="319"/>
      <c r="Z29" s="319"/>
      <c r="AA29" s="307">
        <v>100</v>
      </c>
      <c r="AB29" s="307">
        <v>120</v>
      </c>
      <c r="AC29" s="319"/>
      <c r="AD29" s="319"/>
      <c r="AE29" s="307">
        <v>2335</v>
      </c>
      <c r="AF29" s="307">
        <v>920</v>
      </c>
      <c r="AG29" s="307">
        <v>290</v>
      </c>
      <c r="AH29" s="307">
        <v>418</v>
      </c>
      <c r="AI29" s="308">
        <v>310</v>
      </c>
      <c r="AJ29" s="308">
        <v>190</v>
      </c>
      <c r="AK29" s="303">
        <f t="shared" si="4"/>
        <v>11794</v>
      </c>
    </row>
    <row r="30" spans="1:37" ht="14.5" x14ac:dyDescent="0.35">
      <c r="A30" s="313" t="s">
        <v>279</v>
      </c>
      <c r="B30" s="314">
        <v>44000</v>
      </c>
      <c r="C30" s="314">
        <v>10000</v>
      </c>
      <c r="D30" s="314">
        <v>26750</v>
      </c>
      <c r="E30" s="314">
        <v>35000</v>
      </c>
      <c r="F30" s="314">
        <v>20000</v>
      </c>
      <c r="G30" s="314">
        <v>66150</v>
      </c>
      <c r="H30" s="314">
        <v>22050</v>
      </c>
      <c r="I30" s="314">
        <v>36960</v>
      </c>
      <c r="J30" s="314">
        <v>28000</v>
      </c>
      <c r="K30" s="314">
        <v>12000</v>
      </c>
      <c r="L30" s="314">
        <v>8269</v>
      </c>
      <c r="M30" s="314">
        <v>16000</v>
      </c>
      <c r="N30" s="314">
        <v>10000</v>
      </c>
      <c r="O30" s="314">
        <v>30500</v>
      </c>
      <c r="P30" s="320"/>
      <c r="Q30" s="314">
        <v>26250</v>
      </c>
      <c r="R30" s="314">
        <v>10000</v>
      </c>
      <c r="S30" s="314">
        <v>13000</v>
      </c>
      <c r="T30" s="314">
        <v>25000</v>
      </c>
      <c r="U30" s="314">
        <v>14500</v>
      </c>
      <c r="V30" s="316">
        <v>10000</v>
      </c>
      <c r="W30" s="314">
        <v>31500</v>
      </c>
      <c r="X30" s="316">
        <v>20000</v>
      </c>
      <c r="Y30" s="314">
        <v>15000</v>
      </c>
      <c r="Z30" s="314">
        <v>15000</v>
      </c>
      <c r="AA30" s="314">
        <v>15000</v>
      </c>
      <c r="AB30" s="314">
        <v>10908.65</v>
      </c>
      <c r="AC30" s="314">
        <v>40000</v>
      </c>
      <c r="AD30" s="314">
        <v>20000</v>
      </c>
      <c r="AE30" s="314">
        <v>20000</v>
      </c>
      <c r="AF30" s="314">
        <v>10000</v>
      </c>
      <c r="AG30" s="314">
        <v>18000</v>
      </c>
      <c r="AH30" s="314">
        <v>36000</v>
      </c>
      <c r="AI30" s="316">
        <v>12000</v>
      </c>
      <c r="AJ30" s="320"/>
      <c r="AK30" s="303">
        <f t="shared" ref="AK30:AK34" si="5">SUM(B30:AI30)</f>
        <v>727837.65</v>
      </c>
    </row>
    <row r="31" spans="1:37" ht="14.5" x14ac:dyDescent="0.35">
      <c r="A31" s="317" t="s">
        <v>280</v>
      </c>
      <c r="B31" s="307">
        <v>6760</v>
      </c>
      <c r="C31" s="319"/>
      <c r="D31" s="307">
        <v>6494.57</v>
      </c>
      <c r="E31" s="307">
        <v>8287.0300000000007</v>
      </c>
      <c r="F31" s="307">
        <v>340.64</v>
      </c>
      <c r="G31" s="307">
        <v>11293.06</v>
      </c>
      <c r="H31" s="307">
        <v>6040.26</v>
      </c>
      <c r="I31" s="307">
        <v>8850</v>
      </c>
      <c r="J31" s="307">
        <v>4117.8500000000004</v>
      </c>
      <c r="K31" s="325">
        <v>6960</v>
      </c>
      <c r="L31" s="307">
        <v>5169</v>
      </c>
      <c r="M31" s="307">
        <v>7414</v>
      </c>
      <c r="N31" s="307">
        <v>3178.18</v>
      </c>
      <c r="O31" s="325">
        <v>7907</v>
      </c>
      <c r="P31" s="307">
        <v>3542.15</v>
      </c>
      <c r="Q31" s="307">
        <v>6643.79</v>
      </c>
      <c r="R31" s="325">
        <v>4614.38</v>
      </c>
      <c r="S31" s="325">
        <v>6241</v>
      </c>
      <c r="T31" s="307">
        <v>3937.89</v>
      </c>
      <c r="U31" s="325">
        <v>4690.1099999999997</v>
      </c>
      <c r="V31" s="308">
        <v>3818</v>
      </c>
      <c r="W31" s="327">
        <v>6108.6</v>
      </c>
      <c r="X31" s="325">
        <v>7285.32</v>
      </c>
      <c r="Y31" s="325">
        <v>4784</v>
      </c>
      <c r="Z31" s="307">
        <v>6527.61</v>
      </c>
      <c r="AA31" s="307">
        <v>7203.6</v>
      </c>
      <c r="AB31" s="307">
        <v>8576.23</v>
      </c>
      <c r="AC31" s="307">
        <v>7288.5</v>
      </c>
      <c r="AD31" s="307">
        <v>5252.38</v>
      </c>
      <c r="AE31" s="307">
        <v>8109.22</v>
      </c>
      <c r="AF31" s="307">
        <v>4788.03</v>
      </c>
      <c r="AG31" s="325">
        <v>2121.37</v>
      </c>
      <c r="AH31" s="325">
        <v>8778</v>
      </c>
      <c r="AI31" s="308">
        <v>6578</v>
      </c>
      <c r="AJ31" s="319"/>
      <c r="AK31" s="303">
        <f t="shared" si="5"/>
        <v>199699.77</v>
      </c>
    </row>
    <row r="32" spans="1:37" ht="14.5" x14ac:dyDescent="0.35">
      <c r="A32" s="313" t="s">
        <v>281</v>
      </c>
      <c r="B32" s="314">
        <v>2129.09</v>
      </c>
      <c r="C32" s="316">
        <v>715</v>
      </c>
      <c r="D32" s="314">
        <v>1470.85</v>
      </c>
      <c r="E32" s="314">
        <v>1276.81</v>
      </c>
      <c r="F32" s="314">
        <v>495.6</v>
      </c>
      <c r="G32" s="314">
        <v>5646.64</v>
      </c>
      <c r="H32" s="314">
        <v>1500</v>
      </c>
      <c r="I32" s="314">
        <v>3530.04</v>
      </c>
      <c r="J32" s="314">
        <v>3310</v>
      </c>
      <c r="K32" s="314">
        <v>769</v>
      </c>
      <c r="L32" s="314">
        <v>160</v>
      </c>
      <c r="M32" s="314">
        <v>575</v>
      </c>
      <c r="N32" s="314">
        <v>120</v>
      </c>
      <c r="O32" s="314">
        <v>1299</v>
      </c>
      <c r="P32" s="314">
        <v>173.9</v>
      </c>
      <c r="Q32" s="314">
        <v>1495</v>
      </c>
      <c r="R32" s="314">
        <v>715</v>
      </c>
      <c r="S32" s="314">
        <v>1742</v>
      </c>
      <c r="T32" s="320"/>
      <c r="U32" s="314">
        <v>437</v>
      </c>
      <c r="V32" s="316">
        <v>317</v>
      </c>
      <c r="W32" s="314">
        <v>1835</v>
      </c>
      <c r="X32" s="316">
        <v>897</v>
      </c>
      <c r="Y32" s="314">
        <v>100</v>
      </c>
      <c r="Z32" s="320"/>
      <c r="AA32" s="314">
        <v>1300</v>
      </c>
      <c r="AB32" s="314">
        <v>1117.5</v>
      </c>
      <c r="AC32" s="314">
        <v>313</v>
      </c>
      <c r="AD32" s="314">
        <v>743.85</v>
      </c>
      <c r="AE32" s="314">
        <v>2109.36</v>
      </c>
      <c r="AF32" s="314">
        <v>1705.56</v>
      </c>
      <c r="AG32" s="314">
        <v>1262.48</v>
      </c>
      <c r="AH32" s="314">
        <v>172</v>
      </c>
      <c r="AI32" s="316">
        <v>1000</v>
      </c>
      <c r="AJ32" s="320"/>
      <c r="AK32" s="303">
        <f t="shared" si="5"/>
        <v>40432.680000000008</v>
      </c>
    </row>
    <row r="33" spans="1:37" ht="14.5" x14ac:dyDescent="0.35">
      <c r="A33" s="317" t="s">
        <v>282</v>
      </c>
      <c r="B33" s="307">
        <v>8553.31</v>
      </c>
      <c r="C33" s="307">
        <v>11649.68</v>
      </c>
      <c r="D33" s="307">
        <v>6465.25</v>
      </c>
      <c r="E33" s="307">
        <v>7145.29</v>
      </c>
      <c r="F33" s="308">
        <v>4873.0600000000004</v>
      </c>
      <c r="G33" s="325">
        <v>12443.61</v>
      </c>
      <c r="H33" s="325">
        <v>9027.4500000000007</v>
      </c>
      <c r="I33" s="307">
        <v>21204.78</v>
      </c>
      <c r="J33" s="307">
        <v>6376</v>
      </c>
      <c r="K33" s="308">
        <v>9994.4599999999991</v>
      </c>
      <c r="L33" s="308">
        <v>6406.5</v>
      </c>
      <c r="M33" s="308">
        <v>11667.58</v>
      </c>
      <c r="N33" s="308">
        <v>6227.08</v>
      </c>
      <c r="O33" s="325">
        <v>20871.82</v>
      </c>
      <c r="P33" s="307">
        <v>6361.57</v>
      </c>
      <c r="Q33" s="307">
        <v>8670.15</v>
      </c>
      <c r="R33" s="308">
        <v>7025.14</v>
      </c>
      <c r="S33" s="307">
        <v>6651.33</v>
      </c>
      <c r="T33" s="307">
        <v>8727</v>
      </c>
      <c r="U33" s="307">
        <v>7803.27</v>
      </c>
      <c r="V33" s="308">
        <v>1935</v>
      </c>
      <c r="W33" s="307">
        <v>9699.3700000000008</v>
      </c>
      <c r="X33" s="308">
        <v>1135</v>
      </c>
      <c r="Y33" s="307">
        <v>12489.86</v>
      </c>
      <c r="Z33" s="307">
        <v>11077.95</v>
      </c>
      <c r="AA33" s="307">
        <v>6488</v>
      </c>
      <c r="AB33" s="325">
        <v>11234.68</v>
      </c>
      <c r="AC33" s="307">
        <v>5487.1</v>
      </c>
      <c r="AD33" s="307">
        <v>5235.93</v>
      </c>
      <c r="AE33" s="307">
        <v>6261.4</v>
      </c>
      <c r="AF33" s="307">
        <v>5777.82</v>
      </c>
      <c r="AG33" s="327">
        <v>6548.11</v>
      </c>
      <c r="AH33" s="319"/>
      <c r="AI33" s="319"/>
      <c r="AJ33" s="319"/>
      <c r="AK33" s="303">
        <f t="shared" si="5"/>
        <v>271514.55</v>
      </c>
    </row>
    <row r="34" spans="1:37" ht="14.5" x14ac:dyDescent="0.35">
      <c r="A34" s="313" t="s">
        <v>317</v>
      </c>
      <c r="B34" s="314">
        <v>2256</v>
      </c>
      <c r="C34" s="314">
        <v>5483</v>
      </c>
      <c r="D34" s="314">
        <v>2199</v>
      </c>
      <c r="E34" s="314">
        <v>2686</v>
      </c>
      <c r="F34" s="314">
        <v>1197</v>
      </c>
      <c r="G34" s="314">
        <v>6560</v>
      </c>
      <c r="H34" s="314">
        <v>4100</v>
      </c>
      <c r="I34" s="323">
        <v>5088</v>
      </c>
      <c r="J34" s="314">
        <v>3459.25</v>
      </c>
      <c r="K34" s="314">
        <v>2607</v>
      </c>
      <c r="L34" s="323">
        <v>1271</v>
      </c>
      <c r="M34" s="314">
        <v>5004</v>
      </c>
      <c r="N34" s="314">
        <v>2856</v>
      </c>
      <c r="O34" s="314">
        <v>4389.2</v>
      </c>
      <c r="P34" s="314">
        <v>1140</v>
      </c>
      <c r="Q34" s="323">
        <v>5854.75</v>
      </c>
      <c r="R34" s="323">
        <v>2505</v>
      </c>
      <c r="S34" s="323">
        <v>3479.1</v>
      </c>
      <c r="T34" s="323">
        <v>4464</v>
      </c>
      <c r="U34" s="323">
        <v>4218</v>
      </c>
      <c r="V34" s="316">
        <v>4575</v>
      </c>
      <c r="W34" s="323">
        <v>3053</v>
      </c>
      <c r="X34" s="316">
        <v>1792</v>
      </c>
      <c r="Y34" s="323">
        <v>4502</v>
      </c>
      <c r="Z34" s="323">
        <v>5184</v>
      </c>
      <c r="AA34" s="323">
        <v>11545.5</v>
      </c>
      <c r="AB34" s="323">
        <v>11346</v>
      </c>
      <c r="AC34" s="323">
        <v>5429.5</v>
      </c>
      <c r="AD34" s="323">
        <v>8265.9</v>
      </c>
      <c r="AE34" s="323">
        <v>14890.7</v>
      </c>
      <c r="AF34" s="323">
        <v>4038</v>
      </c>
      <c r="AG34" s="314">
        <v>4156</v>
      </c>
      <c r="AH34" s="314">
        <v>3881</v>
      </c>
      <c r="AI34" s="316">
        <v>1618.05</v>
      </c>
      <c r="AJ34" s="320"/>
      <c r="AK34" s="303">
        <f t="shared" si="5"/>
        <v>155092.94999999998</v>
      </c>
    </row>
    <row r="35" spans="1:37" ht="14.5" x14ac:dyDescent="0.35">
      <c r="A35" s="317" t="s">
        <v>284</v>
      </c>
      <c r="B35" s="325">
        <v>550</v>
      </c>
      <c r="C35" s="325">
        <v>550</v>
      </c>
      <c r="D35" s="307">
        <v>550</v>
      </c>
      <c r="E35" s="325">
        <v>200</v>
      </c>
      <c r="F35" s="325">
        <v>550</v>
      </c>
      <c r="G35" s="325">
        <v>550</v>
      </c>
      <c r="H35" s="307">
        <v>550</v>
      </c>
      <c r="I35" s="307">
        <v>200</v>
      </c>
      <c r="J35" s="307">
        <v>200</v>
      </c>
      <c r="K35" s="307">
        <v>550</v>
      </c>
      <c r="L35" s="307">
        <v>550</v>
      </c>
      <c r="M35" s="307">
        <v>350</v>
      </c>
      <c r="N35" s="308">
        <v>550</v>
      </c>
      <c r="O35" s="325">
        <v>550</v>
      </c>
      <c r="P35" s="307">
        <v>550</v>
      </c>
      <c r="Q35" s="325">
        <v>550</v>
      </c>
      <c r="R35" s="319"/>
      <c r="S35" s="325">
        <v>1000</v>
      </c>
      <c r="T35" s="307">
        <v>1010</v>
      </c>
      <c r="U35" s="325">
        <v>550</v>
      </c>
      <c r="V35" s="308">
        <v>200</v>
      </c>
      <c r="W35" s="325">
        <v>550</v>
      </c>
      <c r="X35" s="308">
        <v>200</v>
      </c>
      <c r="Y35" s="325">
        <v>550</v>
      </c>
      <c r="Z35" s="307">
        <v>550</v>
      </c>
      <c r="AA35" s="308">
        <v>400</v>
      </c>
      <c r="AB35" s="319"/>
      <c r="AC35" s="319"/>
      <c r="AD35" s="308">
        <v>950</v>
      </c>
      <c r="AE35" s="307">
        <v>1011</v>
      </c>
      <c r="AF35" s="307">
        <v>550</v>
      </c>
      <c r="AG35" s="307">
        <v>550</v>
      </c>
      <c r="AH35" s="307">
        <v>200</v>
      </c>
      <c r="AI35" s="308">
        <v>200</v>
      </c>
      <c r="AJ35" s="308">
        <v>200</v>
      </c>
      <c r="AK35" s="303">
        <f>SUM(B35:AJ35)</f>
        <v>16221</v>
      </c>
    </row>
    <row r="36" spans="1:37" ht="14.5" x14ac:dyDescent="0.35">
      <c r="A36" s="313" t="s">
        <v>318</v>
      </c>
      <c r="B36" s="323">
        <v>249.3</v>
      </c>
      <c r="C36" s="323">
        <v>66.069999999999993</v>
      </c>
      <c r="D36" s="323">
        <v>149.63</v>
      </c>
      <c r="E36" s="323">
        <v>399.6</v>
      </c>
      <c r="F36" s="323">
        <v>31.7</v>
      </c>
      <c r="G36" s="323">
        <v>1372.46</v>
      </c>
      <c r="H36" s="323">
        <v>856.04</v>
      </c>
      <c r="I36" s="323">
        <v>420.75</v>
      </c>
      <c r="J36" s="323">
        <v>300</v>
      </c>
      <c r="K36" s="323">
        <v>137.46</v>
      </c>
      <c r="L36" s="323">
        <v>10</v>
      </c>
      <c r="M36" s="320"/>
      <c r="N36" s="320"/>
      <c r="O36" s="323">
        <v>311</v>
      </c>
      <c r="P36" s="320"/>
      <c r="Q36" s="316">
        <v>100</v>
      </c>
      <c r="R36" s="320"/>
      <c r="S36" s="320"/>
      <c r="T36" s="323">
        <v>99</v>
      </c>
      <c r="U36" s="316">
        <v>55</v>
      </c>
      <c r="V36" s="320"/>
      <c r="W36" s="320"/>
      <c r="X36" s="320"/>
      <c r="Y36" s="316">
        <v>28</v>
      </c>
      <c r="Z36" s="316">
        <v>66</v>
      </c>
      <c r="AA36" s="320"/>
      <c r="AB36" s="314">
        <v>38</v>
      </c>
      <c r="AC36" s="320"/>
      <c r="AD36" s="320"/>
      <c r="AE36" s="323">
        <v>145</v>
      </c>
      <c r="AF36" s="316">
        <v>90</v>
      </c>
      <c r="AG36" s="323">
        <v>28</v>
      </c>
      <c r="AH36" s="320"/>
      <c r="AI36" s="320"/>
      <c r="AJ36" s="320"/>
      <c r="AK36" s="303">
        <f t="shared" ref="AK36:AK38" si="6">SUM(B36:AI36)</f>
        <v>4953.01</v>
      </c>
    </row>
    <row r="37" spans="1:37" ht="14.5" x14ac:dyDescent="0.35">
      <c r="A37" s="317" t="s">
        <v>286</v>
      </c>
      <c r="B37" s="307">
        <v>897.8</v>
      </c>
      <c r="C37" s="307">
        <v>3504.07</v>
      </c>
      <c r="D37" s="307">
        <v>2011</v>
      </c>
      <c r="E37" s="307">
        <v>1449</v>
      </c>
      <c r="F37" s="307">
        <v>990</v>
      </c>
      <c r="G37" s="307">
        <v>1704.84</v>
      </c>
      <c r="H37" s="307">
        <v>1134</v>
      </c>
      <c r="I37" s="307">
        <v>2163.04</v>
      </c>
      <c r="J37" s="307">
        <v>987.5</v>
      </c>
      <c r="K37" s="325">
        <v>981</v>
      </c>
      <c r="L37" s="307">
        <v>594</v>
      </c>
      <c r="M37" s="307">
        <v>2166</v>
      </c>
      <c r="N37" s="307">
        <v>746</v>
      </c>
      <c r="O37" s="307">
        <v>2670</v>
      </c>
      <c r="P37" s="307">
        <v>724</v>
      </c>
      <c r="Q37" s="307">
        <v>3946.7</v>
      </c>
      <c r="R37" s="325">
        <v>1676</v>
      </c>
      <c r="S37" s="307">
        <v>2612.8000000000002</v>
      </c>
      <c r="T37" s="307">
        <v>684</v>
      </c>
      <c r="U37" s="307">
        <v>655</v>
      </c>
      <c r="V37" s="308">
        <v>1303</v>
      </c>
      <c r="W37" s="307">
        <v>3175</v>
      </c>
      <c r="X37" s="308">
        <v>331</v>
      </c>
      <c r="Y37" s="307">
        <v>700</v>
      </c>
      <c r="Z37" s="307">
        <v>1924</v>
      </c>
      <c r="AA37" s="307">
        <v>2013</v>
      </c>
      <c r="AB37" s="307">
        <v>1023</v>
      </c>
      <c r="AC37" s="307">
        <v>701.5</v>
      </c>
      <c r="AD37" s="307">
        <v>1620.3</v>
      </c>
      <c r="AE37" s="307">
        <v>3798</v>
      </c>
      <c r="AF37" s="307">
        <v>1961.85</v>
      </c>
      <c r="AG37" s="307">
        <v>666.5</v>
      </c>
      <c r="AH37" s="307">
        <v>710</v>
      </c>
      <c r="AI37" s="308">
        <v>376.45</v>
      </c>
      <c r="AJ37" s="319"/>
      <c r="AK37" s="303">
        <f t="shared" si="6"/>
        <v>52600.35</v>
      </c>
    </row>
    <row r="38" spans="1:37" ht="14.5" x14ac:dyDescent="0.35">
      <c r="A38" s="313" t="s">
        <v>287</v>
      </c>
      <c r="B38" s="320"/>
      <c r="C38" s="316">
        <v>30</v>
      </c>
      <c r="D38" s="320"/>
      <c r="E38" s="323">
        <v>100</v>
      </c>
      <c r="F38" s="316">
        <v>100</v>
      </c>
      <c r="G38" s="316">
        <v>645</v>
      </c>
      <c r="H38" s="320"/>
      <c r="I38" s="320"/>
      <c r="J38" s="320"/>
      <c r="K38" s="314">
        <v>955</v>
      </c>
      <c r="L38" s="320"/>
      <c r="M38" s="320"/>
      <c r="N38" s="323">
        <v>275</v>
      </c>
      <c r="O38" s="320"/>
      <c r="P38" s="314">
        <v>460</v>
      </c>
      <c r="Q38" s="320"/>
      <c r="R38" s="320"/>
      <c r="S38" s="320"/>
      <c r="T38" s="323">
        <v>588</v>
      </c>
      <c r="U38" s="320"/>
      <c r="V38" s="320"/>
      <c r="W38" s="320"/>
      <c r="X38" s="320"/>
      <c r="Y38" s="320"/>
      <c r="Z38" s="320"/>
      <c r="AA38" s="320"/>
      <c r="AB38" s="320"/>
      <c r="AC38" s="320"/>
      <c r="AD38" s="320"/>
      <c r="AE38" s="316">
        <v>300</v>
      </c>
      <c r="AF38" s="320"/>
      <c r="AG38" s="320"/>
      <c r="AH38" s="320"/>
      <c r="AI38" s="316">
        <v>200</v>
      </c>
      <c r="AJ38" s="320"/>
      <c r="AK38" s="303">
        <f t="shared" si="6"/>
        <v>3653</v>
      </c>
    </row>
    <row r="39" spans="1:37" ht="14.5" x14ac:dyDescent="0.35">
      <c r="A39" s="317" t="s">
        <v>319</v>
      </c>
      <c r="B39" s="307">
        <v>175</v>
      </c>
      <c r="C39" s="319"/>
      <c r="D39" s="319"/>
      <c r="E39" s="319"/>
      <c r="F39" s="319"/>
      <c r="G39" s="307">
        <v>772.5</v>
      </c>
      <c r="H39" s="308">
        <v>528</v>
      </c>
      <c r="I39" s="319"/>
      <c r="J39" s="307">
        <v>934</v>
      </c>
      <c r="K39" s="308">
        <v>95</v>
      </c>
      <c r="L39" s="319"/>
      <c r="M39" s="307">
        <v>2598</v>
      </c>
      <c r="N39" s="319"/>
      <c r="O39" s="325">
        <v>1700</v>
      </c>
      <c r="P39" s="319"/>
      <c r="Q39" s="307">
        <v>2863.8</v>
      </c>
      <c r="R39" s="307">
        <v>642</v>
      </c>
      <c r="S39" s="325">
        <v>75</v>
      </c>
      <c r="T39" s="307">
        <v>1148</v>
      </c>
      <c r="U39" s="307">
        <v>312</v>
      </c>
      <c r="V39" s="308">
        <v>428.9</v>
      </c>
      <c r="W39" s="307">
        <v>1757</v>
      </c>
      <c r="X39" s="307">
        <v>859</v>
      </c>
      <c r="Y39" s="325">
        <v>483</v>
      </c>
      <c r="Z39" s="319"/>
      <c r="AA39" s="307">
        <v>1576</v>
      </c>
      <c r="AB39" s="327">
        <v>4065.2</v>
      </c>
      <c r="AC39" s="307">
        <v>195</v>
      </c>
      <c r="AD39" s="307">
        <v>648.70000000000005</v>
      </c>
      <c r="AE39" s="307">
        <v>4224.45</v>
      </c>
      <c r="AF39" s="307">
        <v>1156.9000000000001</v>
      </c>
      <c r="AG39" s="325">
        <v>1056</v>
      </c>
      <c r="AH39" s="325">
        <v>605</v>
      </c>
      <c r="AI39" s="308">
        <v>341</v>
      </c>
      <c r="AJ39" s="308">
        <v>414</v>
      </c>
      <c r="AK39" s="303">
        <f>SUM(B39:AJ39)</f>
        <v>29653.45</v>
      </c>
    </row>
    <row r="40" spans="1:37" ht="14.5" x14ac:dyDescent="0.35">
      <c r="A40" s="313" t="s">
        <v>289</v>
      </c>
      <c r="B40" s="314">
        <v>963</v>
      </c>
      <c r="C40" s="314">
        <v>2315</v>
      </c>
      <c r="D40" s="314">
        <v>450</v>
      </c>
      <c r="E40" s="314">
        <v>1580</v>
      </c>
      <c r="F40" s="314">
        <v>337.5</v>
      </c>
      <c r="G40" s="314">
        <v>1547.5</v>
      </c>
      <c r="H40" s="314">
        <v>960.75</v>
      </c>
      <c r="I40" s="314">
        <v>868</v>
      </c>
      <c r="J40" s="314">
        <v>622.52</v>
      </c>
      <c r="K40" s="314">
        <v>670</v>
      </c>
      <c r="L40" s="314">
        <v>678</v>
      </c>
      <c r="M40" s="314">
        <v>717</v>
      </c>
      <c r="N40" s="314">
        <v>430</v>
      </c>
      <c r="O40" s="314">
        <v>1623.75</v>
      </c>
      <c r="P40" s="320"/>
      <c r="Q40" s="314">
        <v>461.5</v>
      </c>
      <c r="R40" s="314">
        <v>774</v>
      </c>
      <c r="S40" s="314">
        <v>1198.5</v>
      </c>
      <c r="T40" s="314">
        <v>1652</v>
      </c>
      <c r="U40" s="314">
        <v>1205</v>
      </c>
      <c r="V40" s="316">
        <v>1440</v>
      </c>
      <c r="W40" s="314">
        <v>1650</v>
      </c>
      <c r="X40" s="330">
        <v>1403</v>
      </c>
      <c r="Y40" s="323">
        <v>990</v>
      </c>
      <c r="Z40" s="323">
        <v>1200</v>
      </c>
      <c r="AA40" s="323">
        <v>1480</v>
      </c>
      <c r="AB40" s="323">
        <v>1250</v>
      </c>
      <c r="AC40" s="323">
        <v>1440</v>
      </c>
      <c r="AD40" s="323">
        <v>1855.1</v>
      </c>
      <c r="AE40" s="323">
        <v>2036.75</v>
      </c>
      <c r="AF40" s="323">
        <v>567.4</v>
      </c>
      <c r="AG40" s="314">
        <v>725</v>
      </c>
      <c r="AH40" s="314">
        <v>1960</v>
      </c>
      <c r="AI40" s="316">
        <v>796.4</v>
      </c>
      <c r="AJ40" s="320"/>
      <c r="AK40" s="303">
        <f t="shared" ref="AK40:AK41" si="7">SUM(B40:AI40)</f>
        <v>37847.67</v>
      </c>
    </row>
    <row r="41" spans="1:37" ht="14.5" x14ac:dyDescent="0.35">
      <c r="A41" s="304" t="s">
        <v>320</v>
      </c>
      <c r="B41" s="305">
        <v>1780.25</v>
      </c>
      <c r="C41" s="305">
        <v>727</v>
      </c>
      <c r="D41" s="296"/>
      <c r="E41" s="296"/>
      <c r="F41" s="296"/>
      <c r="G41" s="305">
        <v>13792</v>
      </c>
      <c r="H41" s="305">
        <v>2545</v>
      </c>
      <c r="I41" s="305">
        <v>608</v>
      </c>
      <c r="J41" s="269">
        <v>1353.5</v>
      </c>
      <c r="K41" s="305">
        <v>10441</v>
      </c>
      <c r="L41" s="305">
        <v>12200</v>
      </c>
      <c r="M41" s="296"/>
      <c r="N41" s="319"/>
      <c r="O41" s="319"/>
      <c r="P41" s="308">
        <v>1933</v>
      </c>
      <c r="Q41" s="307">
        <v>1595</v>
      </c>
      <c r="R41" s="319"/>
      <c r="S41" s="307">
        <v>1668</v>
      </c>
      <c r="T41" s="307">
        <v>1449</v>
      </c>
      <c r="U41" s="307">
        <v>875</v>
      </c>
      <c r="V41" s="319"/>
      <c r="W41" s="307">
        <v>8975</v>
      </c>
      <c r="X41" s="319"/>
      <c r="Y41" s="319"/>
      <c r="Z41" s="325">
        <v>150</v>
      </c>
      <c r="AA41" s="325">
        <v>3594.6</v>
      </c>
      <c r="AB41" s="325">
        <v>250</v>
      </c>
      <c r="AC41" s="319"/>
      <c r="AD41" s="319"/>
      <c r="AE41" s="325">
        <v>564</v>
      </c>
      <c r="AF41" s="319"/>
      <c r="AG41" s="307">
        <v>432</v>
      </c>
      <c r="AH41" s="319"/>
      <c r="AI41" s="319"/>
      <c r="AJ41" s="319"/>
      <c r="AK41" s="303">
        <f t="shared" si="7"/>
        <v>64932.35</v>
      </c>
    </row>
    <row r="42" spans="1:37" ht="14.5" x14ac:dyDescent="0.35">
      <c r="A42" s="313" t="s">
        <v>291</v>
      </c>
      <c r="B42" s="314">
        <v>306.5</v>
      </c>
      <c r="C42" s="320"/>
      <c r="D42" s="314">
        <v>1656</v>
      </c>
      <c r="E42" s="314">
        <v>578.75</v>
      </c>
      <c r="F42" s="316">
        <v>1767</v>
      </c>
      <c r="G42" s="314">
        <v>1786</v>
      </c>
      <c r="H42" s="314">
        <v>360</v>
      </c>
      <c r="I42" s="314">
        <v>124</v>
      </c>
      <c r="J42" s="316">
        <v>1807</v>
      </c>
      <c r="K42" s="314">
        <v>662</v>
      </c>
      <c r="L42" s="314">
        <v>149</v>
      </c>
      <c r="M42" s="314">
        <v>565</v>
      </c>
      <c r="N42" s="314">
        <v>775</v>
      </c>
      <c r="O42" s="314">
        <v>215</v>
      </c>
      <c r="P42" s="314">
        <v>207</v>
      </c>
      <c r="Q42" s="314">
        <v>1507.5</v>
      </c>
      <c r="R42" s="316">
        <v>1308</v>
      </c>
      <c r="S42" s="316">
        <v>1854</v>
      </c>
      <c r="T42" s="320"/>
      <c r="U42" s="314">
        <v>442</v>
      </c>
      <c r="V42" s="316">
        <v>40</v>
      </c>
      <c r="W42" s="320"/>
      <c r="X42" s="330">
        <v>1090</v>
      </c>
      <c r="Y42" s="323">
        <v>160</v>
      </c>
      <c r="Z42" s="320"/>
      <c r="AA42" s="323">
        <v>500.5</v>
      </c>
      <c r="AB42" s="323">
        <v>958</v>
      </c>
      <c r="AC42" s="331">
        <v>925.5</v>
      </c>
      <c r="AD42" s="332">
        <v>1344</v>
      </c>
      <c r="AE42" s="331">
        <v>4416.5</v>
      </c>
      <c r="AF42" s="331">
        <v>1577.5</v>
      </c>
      <c r="AG42" s="333">
        <v>208</v>
      </c>
      <c r="AH42" s="333">
        <v>2600</v>
      </c>
      <c r="AI42" s="332">
        <v>36.799999999999997</v>
      </c>
      <c r="AJ42" s="332">
        <v>2668</v>
      </c>
      <c r="AK42" s="303">
        <f>SUM(B42:AJ42)</f>
        <v>32594.55</v>
      </c>
    </row>
    <row r="43" spans="1:37" ht="14.5" x14ac:dyDescent="0.35">
      <c r="A43" s="304" t="s">
        <v>292</v>
      </c>
      <c r="B43" s="305">
        <v>9884.15</v>
      </c>
      <c r="C43" s="305">
        <v>7907.32</v>
      </c>
      <c r="D43" s="307">
        <v>5930.49</v>
      </c>
      <c r="E43" s="305">
        <v>5930.49</v>
      </c>
      <c r="F43" s="305">
        <v>100.13</v>
      </c>
      <c r="G43" s="305">
        <v>13837.81</v>
      </c>
      <c r="H43" s="305">
        <v>11860.98</v>
      </c>
      <c r="I43" s="305">
        <v>13837.81</v>
      </c>
      <c r="J43" s="305">
        <v>5930.49</v>
      </c>
      <c r="K43" s="305">
        <v>5930.49</v>
      </c>
      <c r="L43" s="305">
        <v>3953.66</v>
      </c>
      <c r="M43" s="305">
        <v>5930.49</v>
      </c>
      <c r="N43" s="296"/>
      <c r="O43" s="307">
        <v>11860.98</v>
      </c>
      <c r="P43" s="305">
        <v>100.13</v>
      </c>
      <c r="Q43" s="305">
        <v>5930.49</v>
      </c>
      <c r="R43" s="305">
        <v>3953.66</v>
      </c>
      <c r="S43" s="305">
        <v>3953.66</v>
      </c>
      <c r="T43" s="305">
        <v>5930.49</v>
      </c>
      <c r="U43" s="305">
        <v>7907.32</v>
      </c>
      <c r="V43" s="269">
        <v>100.13</v>
      </c>
      <c r="W43" s="305">
        <v>7907.32</v>
      </c>
      <c r="X43" s="269">
        <v>100.13</v>
      </c>
      <c r="Y43" s="334">
        <v>1976.83</v>
      </c>
      <c r="Z43" s="334">
        <v>3953.66</v>
      </c>
      <c r="AA43" s="334">
        <v>5930.49</v>
      </c>
      <c r="AB43" s="334">
        <v>5930.49</v>
      </c>
      <c r="AC43" s="334">
        <v>5930.49</v>
      </c>
      <c r="AD43" s="334">
        <v>100.13</v>
      </c>
      <c r="AE43" s="334">
        <v>11860.89</v>
      </c>
      <c r="AF43" s="334">
        <v>5930.49</v>
      </c>
      <c r="AG43" s="305">
        <v>100.13</v>
      </c>
      <c r="AH43" s="305">
        <v>100.13</v>
      </c>
      <c r="AI43" s="269">
        <v>100.13</v>
      </c>
      <c r="AJ43" s="296"/>
      <c r="AK43" s="303">
        <f t="shared" ref="AK43:AK49" si="8">SUM(B43:AI43)</f>
        <v>180692.48000000004</v>
      </c>
    </row>
    <row r="44" spans="1:37" ht="29" x14ac:dyDescent="0.35">
      <c r="A44" s="313" t="s">
        <v>321</v>
      </c>
      <c r="B44" s="314">
        <v>500.65</v>
      </c>
      <c r="C44" s="314">
        <v>400.52</v>
      </c>
      <c r="D44" s="314">
        <v>300.39</v>
      </c>
      <c r="E44" s="314">
        <v>300.39</v>
      </c>
      <c r="F44" s="314">
        <v>1976.83</v>
      </c>
      <c r="G44" s="314">
        <v>700.91</v>
      </c>
      <c r="H44" s="314">
        <v>600.78</v>
      </c>
      <c r="I44" s="314">
        <v>700.91</v>
      </c>
      <c r="J44" s="314">
        <v>300.39</v>
      </c>
      <c r="K44" s="314">
        <v>300.39</v>
      </c>
      <c r="L44" s="314">
        <v>200.26</v>
      </c>
      <c r="M44" s="314">
        <v>300.39</v>
      </c>
      <c r="N44" s="320"/>
      <c r="O44" s="314">
        <v>600.78</v>
      </c>
      <c r="P44" s="314">
        <v>1976.83</v>
      </c>
      <c r="Q44" s="314">
        <v>300.39</v>
      </c>
      <c r="R44" s="314">
        <v>200.26</v>
      </c>
      <c r="S44" s="314">
        <v>200.26</v>
      </c>
      <c r="T44" s="314">
        <v>300.39</v>
      </c>
      <c r="U44" s="314">
        <v>400.52</v>
      </c>
      <c r="V44" s="316">
        <v>1976.83</v>
      </c>
      <c r="W44" s="314">
        <v>400.52</v>
      </c>
      <c r="X44" s="316">
        <v>1976.83</v>
      </c>
      <c r="Y44" s="323">
        <v>100.13</v>
      </c>
      <c r="Z44" s="323">
        <v>200.26</v>
      </c>
      <c r="AA44" s="323">
        <v>300.39</v>
      </c>
      <c r="AB44" s="323">
        <v>300.39</v>
      </c>
      <c r="AC44" s="331">
        <v>300.39</v>
      </c>
      <c r="AD44" s="331">
        <v>1976.83</v>
      </c>
      <c r="AE44" s="331">
        <v>600.78</v>
      </c>
      <c r="AF44" s="331">
        <v>300.39</v>
      </c>
      <c r="AG44" s="333">
        <v>1976.83</v>
      </c>
      <c r="AH44" s="333">
        <v>1976.83</v>
      </c>
      <c r="AI44" s="332">
        <v>1976.83</v>
      </c>
      <c r="AJ44" s="335"/>
      <c r="AK44" s="303">
        <f t="shared" si="8"/>
        <v>24926.47</v>
      </c>
    </row>
    <row r="45" spans="1:37" ht="14.5" x14ac:dyDescent="0.35">
      <c r="A45" s="304" t="s">
        <v>322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303">
        <f t="shared" si="8"/>
        <v>0</v>
      </c>
    </row>
    <row r="46" spans="1:37" ht="14.5" x14ac:dyDescent="0.35">
      <c r="A46" s="336" t="s">
        <v>323</v>
      </c>
      <c r="B46" s="336">
        <f t="shared" ref="B46:AJ46" si="9">SUM(B14:B45)</f>
        <v>201401.03999999995</v>
      </c>
      <c r="C46" s="336">
        <f t="shared" si="9"/>
        <v>186480.68999999997</v>
      </c>
      <c r="D46" s="336">
        <f t="shared" si="9"/>
        <v>152268.54</v>
      </c>
      <c r="E46" s="336">
        <f t="shared" si="9"/>
        <v>161822.21</v>
      </c>
      <c r="F46" s="336">
        <f t="shared" si="9"/>
        <v>92495.45</v>
      </c>
      <c r="G46" s="336">
        <f t="shared" si="9"/>
        <v>357541.02999999997</v>
      </c>
      <c r="H46" s="336">
        <f t="shared" si="9"/>
        <v>202994.29000000004</v>
      </c>
      <c r="I46" s="336">
        <f t="shared" si="9"/>
        <v>291517.86999999994</v>
      </c>
      <c r="J46" s="336">
        <f t="shared" si="9"/>
        <v>162786.29999999999</v>
      </c>
      <c r="K46" s="336">
        <f t="shared" si="9"/>
        <v>144818.62</v>
      </c>
      <c r="L46" s="336">
        <f t="shared" si="9"/>
        <v>97568.599999999991</v>
      </c>
      <c r="M46" s="336">
        <f t="shared" si="9"/>
        <v>175653.16</v>
      </c>
      <c r="N46" s="336">
        <f t="shared" si="9"/>
        <v>74852.92</v>
      </c>
      <c r="O46" s="336">
        <f t="shared" si="9"/>
        <v>290034.27</v>
      </c>
      <c r="P46" s="336">
        <f t="shared" si="9"/>
        <v>69084.780000000013</v>
      </c>
      <c r="Q46" s="336">
        <f t="shared" si="9"/>
        <v>229747.59999999998</v>
      </c>
      <c r="R46" s="336">
        <f t="shared" si="9"/>
        <v>130421.8</v>
      </c>
      <c r="S46" s="336">
        <f t="shared" si="9"/>
        <v>152326.19</v>
      </c>
      <c r="T46" s="336">
        <f t="shared" si="9"/>
        <v>200070.31</v>
      </c>
      <c r="U46" s="336">
        <f t="shared" si="9"/>
        <v>193052.25999999995</v>
      </c>
      <c r="V46" s="336">
        <f t="shared" si="9"/>
        <v>100084.22</v>
      </c>
      <c r="W46" s="336">
        <f t="shared" si="9"/>
        <v>195582.51</v>
      </c>
      <c r="X46" s="336">
        <f t="shared" si="9"/>
        <v>123123.11</v>
      </c>
      <c r="Y46" s="336">
        <f t="shared" si="9"/>
        <v>125628.85</v>
      </c>
      <c r="Z46" s="336">
        <f t="shared" si="9"/>
        <v>123333.3</v>
      </c>
      <c r="AA46" s="336">
        <f t="shared" si="9"/>
        <v>187017.99000000002</v>
      </c>
      <c r="AB46" s="336">
        <f t="shared" si="9"/>
        <v>203543.21999999997</v>
      </c>
      <c r="AC46" s="336">
        <f t="shared" si="9"/>
        <v>173187.44000000003</v>
      </c>
      <c r="AD46" s="336">
        <f t="shared" si="9"/>
        <v>152836.22</v>
      </c>
      <c r="AE46" s="336">
        <f t="shared" si="9"/>
        <v>296449.74</v>
      </c>
      <c r="AF46" s="336">
        <f t="shared" si="9"/>
        <v>119450.82</v>
      </c>
      <c r="AG46" s="336">
        <f t="shared" si="9"/>
        <v>140709.36999999997</v>
      </c>
      <c r="AH46" s="336">
        <f t="shared" si="9"/>
        <v>164370.49999999997</v>
      </c>
      <c r="AI46" s="336">
        <f t="shared" si="9"/>
        <v>82458.16</v>
      </c>
      <c r="AJ46" s="336">
        <f t="shared" si="9"/>
        <v>26518</v>
      </c>
      <c r="AK46" s="303">
        <f t="shared" si="8"/>
        <v>5754713.3799999999</v>
      </c>
    </row>
    <row r="47" spans="1:37" ht="14.5" x14ac:dyDescent="0.35">
      <c r="A47" s="304" t="s">
        <v>8</v>
      </c>
      <c r="B47" s="305">
        <f t="shared" ref="B47:AJ47" si="10">B10-B11-B46</f>
        <v>31958.250000000029</v>
      </c>
      <c r="C47" s="305">
        <f t="shared" si="10"/>
        <v>86711.080000000045</v>
      </c>
      <c r="D47" s="305">
        <f t="shared" si="10"/>
        <v>26046.959999999992</v>
      </c>
      <c r="E47" s="305">
        <f t="shared" si="10"/>
        <v>48669.000000000029</v>
      </c>
      <c r="F47" s="305">
        <f t="shared" si="10"/>
        <v>19832.87999999999</v>
      </c>
      <c r="G47" s="305">
        <f t="shared" si="10"/>
        <v>216890.81000000011</v>
      </c>
      <c r="H47" s="305">
        <f t="shared" si="10"/>
        <v>126538.05999999994</v>
      </c>
      <c r="I47" s="305">
        <f t="shared" si="10"/>
        <v>215318.98000000016</v>
      </c>
      <c r="J47" s="305">
        <f t="shared" si="10"/>
        <v>20631.280000000028</v>
      </c>
      <c r="K47" s="305">
        <f t="shared" si="10"/>
        <v>57259.919999999984</v>
      </c>
      <c r="L47" s="305">
        <f t="shared" si="10"/>
        <v>-8819.14</v>
      </c>
      <c r="M47" s="305">
        <f t="shared" si="10"/>
        <v>63312.999999999971</v>
      </c>
      <c r="N47" s="305">
        <f t="shared" si="10"/>
        <v>27516.87999999999</v>
      </c>
      <c r="O47" s="305">
        <f t="shared" si="10"/>
        <v>159367.27000000002</v>
      </c>
      <c r="P47" s="305">
        <f t="shared" si="10"/>
        <v>8693.4699999999866</v>
      </c>
      <c r="Q47" s="305">
        <f t="shared" si="10"/>
        <v>79888.800000000047</v>
      </c>
      <c r="R47" s="305">
        <f t="shared" si="10"/>
        <v>18399.60000000002</v>
      </c>
      <c r="S47" s="305">
        <f t="shared" si="10"/>
        <v>30610.760000000009</v>
      </c>
      <c r="T47" s="305">
        <f t="shared" si="10"/>
        <v>143059.89999999997</v>
      </c>
      <c r="U47" s="305">
        <f t="shared" si="10"/>
        <v>132043.69</v>
      </c>
      <c r="V47" s="305">
        <f t="shared" si="10"/>
        <v>27295.660000000003</v>
      </c>
      <c r="W47" s="305">
        <f t="shared" si="10"/>
        <v>41835.94</v>
      </c>
      <c r="X47" s="305">
        <f t="shared" si="10"/>
        <v>36474.489999999976</v>
      </c>
      <c r="Y47" s="305">
        <f t="shared" si="10"/>
        <v>59674.569999999978</v>
      </c>
      <c r="Z47" s="305">
        <f t="shared" si="10"/>
        <v>49264.040000000023</v>
      </c>
      <c r="AA47" s="305">
        <f t="shared" si="10"/>
        <v>62201.239999999962</v>
      </c>
      <c r="AB47" s="305">
        <f t="shared" si="10"/>
        <v>71224.780000000028</v>
      </c>
      <c r="AC47" s="305">
        <f t="shared" si="10"/>
        <v>43212.369999999966</v>
      </c>
      <c r="AD47" s="305">
        <f t="shared" si="10"/>
        <v>57090.319999999978</v>
      </c>
      <c r="AE47" s="305">
        <f t="shared" si="10"/>
        <v>176894.37</v>
      </c>
      <c r="AF47" s="305">
        <f t="shared" si="10"/>
        <v>5304.6300000000047</v>
      </c>
      <c r="AG47" s="305">
        <f t="shared" si="10"/>
        <v>29349.570000000036</v>
      </c>
      <c r="AH47" s="305">
        <f t="shared" si="10"/>
        <v>12239.760000000038</v>
      </c>
      <c r="AI47" s="305">
        <f t="shared" si="10"/>
        <v>15703.489999999991</v>
      </c>
      <c r="AJ47" s="305">
        <f t="shared" si="10"/>
        <v>29593.229999999996</v>
      </c>
      <c r="AK47" s="303">
        <f t="shared" si="8"/>
        <v>2191696.6799999997</v>
      </c>
    </row>
    <row r="48" spans="1:37" ht="14.5" x14ac:dyDescent="0.35">
      <c r="A48" s="304" t="s">
        <v>325</v>
      </c>
      <c r="B48" s="305">
        <f t="shared" ref="B48:AJ48" si="11">B47*20%</f>
        <v>6391.650000000006</v>
      </c>
      <c r="C48" s="305">
        <f t="shared" si="11"/>
        <v>17342.216000000011</v>
      </c>
      <c r="D48" s="305">
        <f t="shared" si="11"/>
        <v>5209.3919999999989</v>
      </c>
      <c r="E48" s="305">
        <f t="shared" si="11"/>
        <v>9733.8000000000065</v>
      </c>
      <c r="F48" s="305">
        <f t="shared" si="11"/>
        <v>3966.5759999999982</v>
      </c>
      <c r="G48" s="305">
        <f t="shared" si="11"/>
        <v>43378.162000000026</v>
      </c>
      <c r="H48" s="305">
        <f t="shared" si="11"/>
        <v>25307.61199999999</v>
      </c>
      <c r="I48" s="305">
        <f t="shared" si="11"/>
        <v>43063.796000000031</v>
      </c>
      <c r="J48" s="305">
        <f t="shared" si="11"/>
        <v>4126.2560000000058</v>
      </c>
      <c r="K48" s="305">
        <f t="shared" si="11"/>
        <v>11451.983999999997</v>
      </c>
      <c r="L48" s="305">
        <f t="shared" si="11"/>
        <v>-1763.828</v>
      </c>
      <c r="M48" s="305">
        <f t="shared" si="11"/>
        <v>12662.599999999995</v>
      </c>
      <c r="N48" s="305">
        <f t="shared" si="11"/>
        <v>5503.3759999999984</v>
      </c>
      <c r="O48" s="305">
        <f t="shared" si="11"/>
        <v>31873.454000000005</v>
      </c>
      <c r="P48" s="305">
        <f t="shared" si="11"/>
        <v>1738.6939999999975</v>
      </c>
      <c r="Q48" s="305">
        <f t="shared" si="11"/>
        <v>15977.760000000009</v>
      </c>
      <c r="R48" s="305">
        <f t="shared" si="11"/>
        <v>3679.9200000000042</v>
      </c>
      <c r="S48" s="305">
        <f t="shared" si="11"/>
        <v>6122.1520000000019</v>
      </c>
      <c r="T48" s="305">
        <f t="shared" si="11"/>
        <v>28611.979999999996</v>
      </c>
      <c r="U48" s="305">
        <f t="shared" si="11"/>
        <v>26408.738000000001</v>
      </c>
      <c r="V48" s="305">
        <f t="shared" si="11"/>
        <v>5459.1320000000014</v>
      </c>
      <c r="W48" s="305">
        <f t="shared" si="11"/>
        <v>8367.1880000000001</v>
      </c>
      <c r="X48" s="305">
        <f t="shared" si="11"/>
        <v>7294.8979999999956</v>
      </c>
      <c r="Y48" s="305">
        <f t="shared" si="11"/>
        <v>11934.913999999997</v>
      </c>
      <c r="Z48" s="305">
        <f t="shared" si="11"/>
        <v>9852.8080000000045</v>
      </c>
      <c r="AA48" s="305">
        <f t="shared" si="11"/>
        <v>12440.247999999992</v>
      </c>
      <c r="AB48" s="305">
        <f t="shared" si="11"/>
        <v>14244.956000000006</v>
      </c>
      <c r="AC48" s="305">
        <f t="shared" si="11"/>
        <v>8642.4739999999929</v>
      </c>
      <c r="AD48" s="305">
        <f t="shared" si="11"/>
        <v>11418.063999999997</v>
      </c>
      <c r="AE48" s="305">
        <f t="shared" si="11"/>
        <v>35378.874000000003</v>
      </c>
      <c r="AF48" s="305">
        <f t="shared" si="11"/>
        <v>1060.9260000000011</v>
      </c>
      <c r="AG48" s="305">
        <f t="shared" si="11"/>
        <v>5869.9140000000079</v>
      </c>
      <c r="AH48" s="305">
        <f t="shared" si="11"/>
        <v>2447.952000000008</v>
      </c>
      <c r="AI48" s="305">
        <f t="shared" si="11"/>
        <v>3140.6979999999985</v>
      </c>
      <c r="AJ48" s="305">
        <f t="shared" si="11"/>
        <v>5918.6459999999997</v>
      </c>
      <c r="AK48" s="303">
        <f t="shared" si="8"/>
        <v>438339.33600000007</v>
      </c>
    </row>
    <row r="49" spans="1:37" ht="14.5" x14ac:dyDescent="0.35">
      <c r="A49" s="304" t="s">
        <v>81</v>
      </c>
      <c r="B49" s="305">
        <f t="shared" ref="B49:AJ49" si="12">B47*80%</f>
        <v>25566.600000000024</v>
      </c>
      <c r="C49" s="305">
        <f t="shared" si="12"/>
        <v>69368.864000000045</v>
      </c>
      <c r="D49" s="305">
        <f t="shared" si="12"/>
        <v>20837.567999999996</v>
      </c>
      <c r="E49" s="305">
        <f t="shared" si="12"/>
        <v>38935.200000000026</v>
      </c>
      <c r="F49" s="305">
        <f t="shared" si="12"/>
        <v>15866.303999999993</v>
      </c>
      <c r="G49" s="305">
        <f t="shared" si="12"/>
        <v>173512.6480000001</v>
      </c>
      <c r="H49" s="305">
        <f t="shared" si="12"/>
        <v>101230.44799999996</v>
      </c>
      <c r="I49" s="305">
        <f t="shared" si="12"/>
        <v>172255.18400000012</v>
      </c>
      <c r="J49" s="305">
        <f t="shared" si="12"/>
        <v>16505.024000000023</v>
      </c>
      <c r="K49" s="305">
        <f t="shared" si="12"/>
        <v>45807.935999999987</v>
      </c>
      <c r="L49" s="305">
        <f t="shared" si="12"/>
        <v>-7055.3119999999999</v>
      </c>
      <c r="M49" s="305">
        <f t="shared" si="12"/>
        <v>50650.39999999998</v>
      </c>
      <c r="N49" s="305">
        <f t="shared" si="12"/>
        <v>22013.503999999994</v>
      </c>
      <c r="O49" s="305">
        <f t="shared" si="12"/>
        <v>127493.81600000002</v>
      </c>
      <c r="P49" s="305">
        <f t="shared" si="12"/>
        <v>6954.7759999999898</v>
      </c>
      <c r="Q49" s="305">
        <f t="shared" si="12"/>
        <v>63911.040000000037</v>
      </c>
      <c r="R49" s="305">
        <f t="shared" si="12"/>
        <v>14719.680000000017</v>
      </c>
      <c r="S49" s="305">
        <f t="shared" si="12"/>
        <v>24488.608000000007</v>
      </c>
      <c r="T49" s="305">
        <f t="shared" si="12"/>
        <v>114447.91999999998</v>
      </c>
      <c r="U49" s="305">
        <f t="shared" si="12"/>
        <v>105634.952</v>
      </c>
      <c r="V49" s="305">
        <f t="shared" si="12"/>
        <v>21836.528000000006</v>
      </c>
      <c r="W49" s="305">
        <f t="shared" si="12"/>
        <v>33468.752</v>
      </c>
      <c r="X49" s="305">
        <f t="shared" si="12"/>
        <v>29179.591999999982</v>
      </c>
      <c r="Y49" s="305">
        <f t="shared" si="12"/>
        <v>47739.655999999988</v>
      </c>
      <c r="Z49" s="305">
        <f t="shared" si="12"/>
        <v>39411.232000000018</v>
      </c>
      <c r="AA49" s="305">
        <f t="shared" si="12"/>
        <v>49760.991999999969</v>
      </c>
      <c r="AB49" s="305">
        <f t="shared" si="12"/>
        <v>56979.824000000022</v>
      </c>
      <c r="AC49" s="305">
        <f t="shared" si="12"/>
        <v>34569.895999999972</v>
      </c>
      <c r="AD49" s="305">
        <f t="shared" si="12"/>
        <v>45672.255999999987</v>
      </c>
      <c r="AE49" s="305">
        <f t="shared" si="12"/>
        <v>141515.49600000001</v>
      </c>
      <c r="AF49" s="305">
        <f t="shared" si="12"/>
        <v>4243.7040000000043</v>
      </c>
      <c r="AG49" s="305">
        <f t="shared" si="12"/>
        <v>23479.656000000032</v>
      </c>
      <c r="AH49" s="305">
        <f t="shared" si="12"/>
        <v>9791.8080000000318</v>
      </c>
      <c r="AI49" s="305">
        <f t="shared" si="12"/>
        <v>12562.791999999994</v>
      </c>
      <c r="AJ49" s="305">
        <f t="shared" si="12"/>
        <v>23674.583999999999</v>
      </c>
      <c r="AK49" s="303">
        <f t="shared" si="8"/>
        <v>1753357.3440000003</v>
      </c>
    </row>
    <row r="50" spans="1:37" ht="14.5" x14ac:dyDescent="0.35">
      <c r="A50" s="289"/>
      <c r="B50" s="291" t="s">
        <v>326</v>
      </c>
      <c r="C50" s="289"/>
      <c r="D50" s="289"/>
      <c r="E50" s="291" t="s">
        <v>327</v>
      </c>
      <c r="F50" s="289"/>
      <c r="G50" s="289"/>
      <c r="H50" s="291" t="s">
        <v>328</v>
      </c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</row>
    <row r="51" spans="1:37" ht="14.5" x14ac:dyDescent="0.35">
      <c r="A51" s="289"/>
      <c r="B51" s="338" t="s">
        <v>329</v>
      </c>
      <c r="C51" s="289"/>
      <c r="D51" s="289"/>
      <c r="E51" s="338" t="s">
        <v>330</v>
      </c>
      <c r="F51" s="289"/>
      <c r="G51" s="289"/>
      <c r="H51" s="338" t="s">
        <v>331</v>
      </c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</row>
    <row r="52" spans="1:37" ht="14.5" x14ac:dyDescent="0.35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33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</row>
    <row r="53" spans="1:37" ht="14.5" x14ac:dyDescent="0.35">
      <c r="A53" s="141"/>
      <c r="B53" s="289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</row>
    <row r="54" spans="1:37" ht="14.5" x14ac:dyDescent="0.35">
      <c r="A54" s="141"/>
      <c r="B54" s="289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</row>
    <row r="55" spans="1:37" ht="14.5" x14ac:dyDescent="0.35">
      <c r="A55" s="141"/>
      <c r="B55" s="289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</row>
    <row r="56" spans="1:37" ht="14.5" x14ac:dyDescent="0.35">
      <c r="A56" s="141"/>
      <c r="B56" s="289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</row>
    <row r="57" spans="1:37" ht="14.5" x14ac:dyDescent="0.35">
      <c r="A57" s="141"/>
      <c r="B57" s="289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</row>
    <row r="58" spans="1:37" ht="14.5" x14ac:dyDescent="0.35">
      <c r="A58" s="141"/>
      <c r="B58" s="289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</row>
    <row r="59" spans="1:37" ht="14.5" x14ac:dyDescent="0.35">
      <c r="A59" s="141"/>
      <c r="B59" s="289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</row>
    <row r="60" spans="1:37" ht="14.5" x14ac:dyDescent="0.35">
      <c r="A60" s="141"/>
      <c r="B60" s="289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</row>
    <row r="61" spans="1:37" ht="14.5" x14ac:dyDescent="0.35">
      <c r="A61" s="141"/>
      <c r="B61" s="289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</row>
    <row r="62" spans="1:37" ht="14.5" x14ac:dyDescent="0.35">
      <c r="A62" s="341"/>
      <c r="B62" s="342"/>
      <c r="C62" s="341"/>
      <c r="D62" s="341"/>
      <c r="E62" s="341"/>
      <c r="F62" s="341"/>
      <c r="G62" s="341"/>
      <c r="H62" s="341"/>
      <c r="I62" s="341"/>
      <c r="J62" s="341"/>
      <c r="K62" s="341"/>
      <c r="L62" s="341"/>
      <c r="M62" s="341"/>
      <c r="N62" s="341"/>
      <c r="O62" s="341"/>
      <c r="P62" s="341"/>
      <c r="Q62" s="341"/>
      <c r="R62" s="341"/>
      <c r="S62" s="341"/>
      <c r="T62" s="341"/>
      <c r="U62" s="341"/>
      <c r="V62" s="341"/>
      <c r="W62" s="341"/>
      <c r="X62" s="341"/>
      <c r="Y62" s="341"/>
      <c r="Z62" s="341"/>
      <c r="AA62" s="341"/>
      <c r="AB62" s="341"/>
      <c r="AC62" s="341"/>
      <c r="AD62" s="341"/>
      <c r="AE62" s="341"/>
      <c r="AF62" s="341"/>
      <c r="AG62" s="341"/>
      <c r="AH62" s="341"/>
      <c r="AI62" s="341"/>
      <c r="AJ62" s="341"/>
      <c r="AK62" s="341"/>
    </row>
    <row r="63" spans="1:37" ht="14.5" x14ac:dyDescent="0.35">
      <c r="A63" s="343"/>
      <c r="B63" s="344"/>
      <c r="C63" s="343"/>
      <c r="D63" s="343"/>
      <c r="E63" s="343"/>
      <c r="F63" s="343"/>
      <c r="G63" s="343"/>
      <c r="H63" s="343"/>
      <c r="I63" s="343"/>
      <c r="J63" s="343"/>
      <c r="K63" s="343"/>
      <c r="L63" s="343"/>
      <c r="M63" s="343"/>
      <c r="N63" s="343"/>
      <c r="O63" s="343"/>
      <c r="P63" s="343"/>
      <c r="Q63" s="343"/>
      <c r="R63" s="343"/>
      <c r="S63" s="343"/>
      <c r="T63" s="343"/>
      <c r="U63" s="343"/>
      <c r="V63" s="343"/>
      <c r="W63" s="343"/>
      <c r="X63" s="343"/>
      <c r="Y63" s="343"/>
      <c r="Z63" s="343"/>
      <c r="AA63" s="343"/>
      <c r="AB63" s="343"/>
      <c r="AC63" s="343"/>
      <c r="AD63" s="343"/>
      <c r="AE63" s="343"/>
      <c r="AF63" s="343"/>
      <c r="AG63" s="343"/>
      <c r="AH63" s="343"/>
      <c r="AI63" s="343"/>
      <c r="AJ63" s="343"/>
      <c r="AK63" s="343"/>
    </row>
    <row r="64" spans="1:37" ht="14.5" x14ac:dyDescent="0.35">
      <c r="A64" s="343"/>
      <c r="B64" s="344"/>
      <c r="C64" s="343"/>
      <c r="D64" s="343"/>
      <c r="E64" s="343"/>
      <c r="F64" s="343"/>
      <c r="G64" s="343"/>
      <c r="H64" s="343"/>
      <c r="I64" s="343"/>
      <c r="J64" s="343"/>
      <c r="K64" s="343"/>
      <c r="L64" s="343"/>
      <c r="M64" s="343"/>
      <c r="N64" s="343"/>
      <c r="O64" s="343"/>
      <c r="P64" s="343"/>
      <c r="Q64" s="343"/>
      <c r="R64" s="343"/>
      <c r="S64" s="343"/>
      <c r="T64" s="343"/>
      <c r="U64" s="343"/>
      <c r="V64" s="343"/>
      <c r="W64" s="343"/>
      <c r="X64" s="343"/>
      <c r="Y64" s="343"/>
      <c r="Z64" s="343"/>
      <c r="AA64" s="343"/>
      <c r="AB64" s="343"/>
      <c r="AC64" s="343"/>
      <c r="AD64" s="343"/>
      <c r="AE64" s="343"/>
      <c r="AF64" s="343"/>
      <c r="AG64" s="343"/>
      <c r="AH64" s="343"/>
      <c r="AI64" s="343"/>
      <c r="AJ64" s="343"/>
      <c r="AK64" s="343"/>
    </row>
    <row r="65" spans="1:37" ht="14.5" x14ac:dyDescent="0.35">
      <c r="A65" s="343"/>
      <c r="B65" s="344"/>
      <c r="C65" s="343"/>
      <c r="D65" s="343"/>
      <c r="E65" s="343"/>
      <c r="F65" s="343"/>
      <c r="G65" s="343"/>
      <c r="H65" s="343"/>
      <c r="I65" s="343"/>
      <c r="J65" s="343"/>
      <c r="K65" s="343"/>
      <c r="L65" s="343"/>
      <c r="M65" s="343"/>
      <c r="N65" s="343"/>
      <c r="O65" s="343"/>
      <c r="P65" s="343"/>
      <c r="Q65" s="343"/>
      <c r="R65" s="343"/>
      <c r="S65" s="343"/>
      <c r="T65" s="343"/>
      <c r="U65" s="343"/>
      <c r="V65" s="343"/>
      <c r="W65" s="343"/>
      <c r="X65" s="343"/>
      <c r="Y65" s="343"/>
      <c r="Z65" s="343"/>
      <c r="AA65" s="343"/>
      <c r="AB65" s="343"/>
      <c r="AC65" s="343"/>
      <c r="AD65" s="343"/>
      <c r="AE65" s="343"/>
      <c r="AF65" s="343"/>
      <c r="AG65" s="343"/>
      <c r="AH65" s="343"/>
      <c r="AI65" s="343"/>
      <c r="AJ65" s="343"/>
      <c r="AK65" s="343"/>
    </row>
    <row r="66" spans="1:37" ht="14.5" x14ac:dyDescent="0.35">
      <c r="A66" s="343"/>
      <c r="B66" s="344"/>
      <c r="C66" s="343"/>
      <c r="D66" s="343"/>
      <c r="E66" s="343"/>
      <c r="F66" s="343"/>
      <c r="G66" s="343"/>
      <c r="H66" s="343"/>
      <c r="I66" s="343"/>
      <c r="J66" s="343"/>
      <c r="K66" s="343"/>
      <c r="L66" s="343"/>
      <c r="M66" s="343"/>
      <c r="N66" s="343"/>
      <c r="O66" s="343"/>
      <c r="P66" s="343"/>
      <c r="Q66" s="343"/>
      <c r="R66" s="343"/>
      <c r="S66" s="343"/>
      <c r="T66" s="343"/>
      <c r="U66" s="343"/>
      <c r="V66" s="343"/>
      <c r="W66" s="343"/>
      <c r="X66" s="343"/>
      <c r="Y66" s="343"/>
      <c r="Z66" s="343"/>
      <c r="AA66" s="343"/>
      <c r="AB66" s="343"/>
      <c r="AC66" s="343"/>
      <c r="AD66" s="343"/>
      <c r="AE66" s="343"/>
      <c r="AF66" s="343"/>
      <c r="AG66" s="343"/>
      <c r="AH66" s="343"/>
      <c r="AI66" s="343"/>
      <c r="AJ66" s="343"/>
      <c r="AK66" s="343"/>
    </row>
    <row r="67" spans="1:37" ht="14.5" x14ac:dyDescent="0.35">
      <c r="A67" s="343"/>
      <c r="B67" s="344"/>
      <c r="C67" s="343"/>
      <c r="D67" s="343"/>
      <c r="E67" s="343"/>
      <c r="F67" s="343"/>
      <c r="G67" s="343"/>
      <c r="H67" s="343"/>
      <c r="I67" s="343"/>
      <c r="J67" s="343"/>
      <c r="K67" s="343"/>
      <c r="L67" s="343"/>
      <c r="M67" s="343"/>
      <c r="N67" s="343"/>
      <c r="O67" s="343"/>
      <c r="P67" s="343"/>
      <c r="Q67" s="343"/>
      <c r="R67" s="343"/>
      <c r="S67" s="343"/>
      <c r="T67" s="343"/>
      <c r="U67" s="343"/>
      <c r="V67" s="343"/>
      <c r="W67" s="343"/>
      <c r="X67" s="343"/>
      <c r="Y67" s="343"/>
      <c r="Z67" s="343"/>
      <c r="AA67" s="343"/>
      <c r="AB67" s="343"/>
      <c r="AC67" s="343"/>
      <c r="AD67" s="343"/>
      <c r="AE67" s="343"/>
      <c r="AF67" s="343"/>
      <c r="AG67" s="343"/>
      <c r="AH67" s="343"/>
      <c r="AI67" s="343"/>
      <c r="AJ67" s="343"/>
      <c r="AK67" s="343"/>
    </row>
    <row r="68" spans="1:37" ht="14.5" x14ac:dyDescent="0.35">
      <c r="A68" s="343"/>
      <c r="B68" s="344"/>
      <c r="C68" s="343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  <c r="U68" s="343"/>
      <c r="V68" s="343"/>
      <c r="W68" s="343"/>
      <c r="X68" s="343"/>
      <c r="Y68" s="343"/>
      <c r="Z68" s="343"/>
      <c r="AA68" s="343"/>
      <c r="AB68" s="343"/>
      <c r="AC68" s="343"/>
      <c r="AD68" s="343"/>
      <c r="AE68" s="343"/>
      <c r="AF68" s="343"/>
      <c r="AG68" s="343"/>
      <c r="AH68" s="343"/>
      <c r="AI68" s="343"/>
      <c r="AJ68" s="343"/>
      <c r="AK68" s="343"/>
    </row>
    <row r="69" spans="1:37" ht="14.5" x14ac:dyDescent="0.35">
      <c r="A69" s="343"/>
      <c r="B69" s="344"/>
      <c r="C69" s="343"/>
      <c r="D69" s="343"/>
      <c r="E69" s="343"/>
      <c r="F69" s="343"/>
      <c r="G69" s="343"/>
      <c r="H69" s="343"/>
      <c r="I69" s="343"/>
      <c r="J69" s="343"/>
      <c r="K69" s="343"/>
      <c r="L69" s="343"/>
      <c r="M69" s="343"/>
      <c r="N69" s="343"/>
      <c r="O69" s="343"/>
      <c r="P69" s="343"/>
      <c r="Q69" s="343"/>
      <c r="R69" s="343"/>
      <c r="S69" s="343"/>
      <c r="T69" s="343"/>
      <c r="U69" s="343"/>
      <c r="V69" s="343"/>
      <c r="W69" s="343"/>
      <c r="X69" s="343"/>
      <c r="Y69" s="343"/>
      <c r="Z69" s="343"/>
      <c r="AA69" s="343"/>
      <c r="AB69" s="343"/>
      <c r="AC69" s="343"/>
      <c r="AD69" s="343"/>
      <c r="AE69" s="343"/>
      <c r="AF69" s="343"/>
      <c r="AG69" s="343"/>
      <c r="AH69" s="343"/>
      <c r="AI69" s="343"/>
      <c r="AJ69" s="343"/>
      <c r="AK69" s="343"/>
    </row>
    <row r="70" spans="1:37" ht="14.5" x14ac:dyDescent="0.35">
      <c r="A70" s="343"/>
      <c r="B70" s="344"/>
      <c r="C70" s="343"/>
      <c r="D70" s="343"/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3"/>
      <c r="Z70" s="343"/>
      <c r="AA70" s="343"/>
      <c r="AB70" s="343"/>
      <c r="AC70" s="343"/>
      <c r="AD70" s="343"/>
      <c r="AE70" s="343"/>
      <c r="AF70" s="343"/>
      <c r="AG70" s="343"/>
      <c r="AH70" s="343"/>
      <c r="AI70" s="343"/>
      <c r="AJ70" s="343"/>
      <c r="AK70" s="343"/>
    </row>
    <row r="71" spans="1:37" ht="14.5" x14ac:dyDescent="0.35">
      <c r="A71" s="343"/>
      <c r="B71" s="344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3"/>
      <c r="R71" s="343"/>
      <c r="S71" s="343"/>
      <c r="T71" s="343"/>
      <c r="U71" s="343"/>
      <c r="V71" s="343"/>
      <c r="W71" s="343"/>
      <c r="X71" s="343"/>
      <c r="Y71" s="343"/>
      <c r="Z71" s="343"/>
      <c r="AA71" s="343"/>
      <c r="AB71" s="343"/>
      <c r="AC71" s="343"/>
      <c r="AD71" s="343"/>
      <c r="AE71" s="343"/>
      <c r="AF71" s="343"/>
      <c r="AG71" s="343"/>
      <c r="AH71" s="343"/>
      <c r="AI71" s="343"/>
      <c r="AJ71" s="343"/>
      <c r="AK71" s="343"/>
    </row>
    <row r="72" spans="1:37" ht="14.5" x14ac:dyDescent="0.35">
      <c r="A72" s="343"/>
      <c r="B72" s="344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343"/>
      <c r="AB72" s="343"/>
      <c r="AC72" s="343"/>
      <c r="AD72" s="343"/>
      <c r="AE72" s="343"/>
      <c r="AF72" s="343"/>
      <c r="AG72" s="343"/>
      <c r="AH72" s="343"/>
      <c r="AI72" s="343"/>
      <c r="AJ72" s="343"/>
      <c r="AK72" s="343"/>
    </row>
    <row r="73" spans="1:37" ht="14.5" x14ac:dyDescent="0.35">
      <c r="A73" s="343"/>
      <c r="B73" s="344"/>
      <c r="C73" s="343"/>
      <c r="D73" s="343"/>
      <c r="E73" s="343"/>
      <c r="F73" s="343"/>
      <c r="G73" s="343"/>
      <c r="H73" s="343"/>
      <c r="I73" s="343"/>
      <c r="J73" s="343"/>
      <c r="K73" s="343"/>
      <c r="L73" s="343"/>
      <c r="M73" s="343"/>
      <c r="N73" s="343"/>
      <c r="O73" s="343"/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  <c r="AJ73" s="343"/>
      <c r="AK73" s="343"/>
    </row>
    <row r="74" spans="1:37" ht="14.5" x14ac:dyDescent="0.35">
      <c r="A74" s="343"/>
      <c r="B74" s="344"/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343"/>
      <c r="O74" s="343"/>
      <c r="P74" s="343"/>
      <c r="Q74" s="343"/>
      <c r="R74" s="343"/>
      <c r="S74" s="343"/>
      <c r="T74" s="343"/>
      <c r="U74" s="343"/>
      <c r="V74" s="343"/>
      <c r="W74" s="343"/>
      <c r="X74" s="343"/>
      <c r="Y74" s="343"/>
      <c r="Z74" s="343"/>
      <c r="AA74" s="343"/>
      <c r="AB74" s="343"/>
      <c r="AC74" s="343"/>
      <c r="AD74" s="343"/>
      <c r="AE74" s="343"/>
      <c r="AF74" s="343"/>
      <c r="AG74" s="343"/>
      <c r="AH74" s="343"/>
      <c r="AI74" s="343"/>
      <c r="AJ74" s="343"/>
      <c r="AK74" s="343"/>
    </row>
    <row r="75" spans="1:37" ht="14.5" x14ac:dyDescent="0.35">
      <c r="A75" s="343"/>
      <c r="B75" s="344"/>
      <c r="C75" s="343"/>
      <c r="D75" s="343"/>
      <c r="E75" s="343"/>
      <c r="F75" s="343"/>
      <c r="G75" s="343"/>
      <c r="H75" s="343"/>
      <c r="I75" s="343"/>
      <c r="J75" s="343"/>
      <c r="K75" s="343"/>
      <c r="L75" s="343"/>
      <c r="M75" s="343"/>
      <c r="N75" s="343"/>
      <c r="O75" s="343"/>
      <c r="P75" s="343"/>
      <c r="Q75" s="343"/>
      <c r="R75" s="343"/>
      <c r="S75" s="343"/>
      <c r="T75" s="343"/>
      <c r="U75" s="343"/>
      <c r="V75" s="343"/>
      <c r="W75" s="343"/>
      <c r="X75" s="343"/>
      <c r="Y75" s="343"/>
      <c r="Z75" s="343"/>
      <c r="AA75" s="343"/>
      <c r="AB75" s="343"/>
      <c r="AC75" s="343"/>
      <c r="AD75" s="343"/>
      <c r="AE75" s="343"/>
      <c r="AF75" s="343"/>
      <c r="AG75" s="343"/>
      <c r="AH75" s="343"/>
      <c r="AI75" s="343"/>
      <c r="AJ75" s="343"/>
      <c r="AK75" s="343"/>
    </row>
    <row r="76" spans="1:37" ht="14.5" x14ac:dyDescent="0.35">
      <c r="A76" s="343"/>
      <c r="B76" s="344"/>
      <c r="C76" s="343"/>
      <c r="D76" s="343"/>
      <c r="E76" s="343"/>
      <c r="F76" s="343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43"/>
      <c r="R76" s="343"/>
      <c r="S76" s="343"/>
      <c r="T76" s="343"/>
      <c r="U76" s="343"/>
      <c r="V76" s="343"/>
      <c r="W76" s="343"/>
      <c r="X76" s="343"/>
      <c r="Y76" s="343"/>
      <c r="Z76" s="343"/>
      <c r="AA76" s="343"/>
      <c r="AB76" s="343"/>
      <c r="AC76" s="343"/>
      <c r="AD76" s="343"/>
      <c r="AE76" s="343"/>
      <c r="AF76" s="343"/>
      <c r="AG76" s="343"/>
      <c r="AH76" s="343"/>
      <c r="AI76" s="343"/>
      <c r="AJ76" s="343"/>
      <c r="AK76" s="343"/>
    </row>
    <row r="77" spans="1:37" ht="14.5" x14ac:dyDescent="0.35">
      <c r="A77" s="343"/>
      <c r="B77" s="344"/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3"/>
      <c r="W77" s="343"/>
      <c r="X77" s="343"/>
      <c r="Y77" s="343"/>
      <c r="Z77" s="343"/>
      <c r="AA77" s="343"/>
      <c r="AB77" s="343"/>
      <c r="AC77" s="343"/>
      <c r="AD77" s="343"/>
      <c r="AE77" s="343"/>
      <c r="AF77" s="343"/>
      <c r="AG77" s="343"/>
      <c r="AH77" s="343"/>
      <c r="AI77" s="343"/>
      <c r="AJ77" s="343"/>
      <c r="AK77" s="343"/>
    </row>
    <row r="78" spans="1:37" ht="14.5" x14ac:dyDescent="0.35">
      <c r="A78" s="343"/>
      <c r="B78" s="344"/>
      <c r="C78" s="343"/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3"/>
      <c r="R78" s="343"/>
      <c r="S78" s="343"/>
      <c r="T78" s="343"/>
      <c r="U78" s="343"/>
      <c r="V78" s="343"/>
      <c r="W78" s="343"/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  <c r="AJ78" s="343"/>
      <c r="AK78" s="343"/>
    </row>
    <row r="79" spans="1:37" ht="14.5" x14ac:dyDescent="0.35">
      <c r="A79" s="343"/>
      <c r="B79" s="344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343"/>
      <c r="AG79" s="343"/>
      <c r="AH79" s="343"/>
      <c r="AI79" s="343"/>
      <c r="AJ79" s="343"/>
      <c r="AK79" s="343"/>
    </row>
    <row r="80" spans="1:37" ht="14.5" x14ac:dyDescent="0.35">
      <c r="A80" s="343"/>
      <c r="B80" s="344"/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343"/>
      <c r="AG80" s="343"/>
      <c r="AH80" s="343"/>
      <c r="AI80" s="343"/>
      <c r="AJ80" s="343"/>
      <c r="AK80" s="343"/>
    </row>
    <row r="81" spans="1:37" ht="14.5" x14ac:dyDescent="0.35">
      <c r="A81" s="343"/>
      <c r="B81" s="344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343"/>
      <c r="AG81" s="343"/>
      <c r="AH81" s="343"/>
      <c r="AI81" s="343"/>
      <c r="AJ81" s="343"/>
      <c r="AK81" s="343"/>
    </row>
    <row r="82" spans="1:37" ht="14.5" x14ac:dyDescent="0.35">
      <c r="A82" s="343"/>
      <c r="B82" s="344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</row>
    <row r="83" spans="1:37" ht="14.5" x14ac:dyDescent="0.35">
      <c r="A83" s="343"/>
      <c r="B83" s="344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</row>
    <row r="84" spans="1:37" ht="14.5" x14ac:dyDescent="0.35">
      <c r="A84" s="343"/>
      <c r="B84" s="344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</row>
    <row r="85" spans="1:37" ht="14.5" x14ac:dyDescent="0.35">
      <c r="A85" s="343"/>
      <c r="B85" s="344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</row>
    <row r="86" spans="1:37" ht="14.5" x14ac:dyDescent="0.35">
      <c r="A86" s="343"/>
      <c r="B86" s="344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</row>
    <row r="87" spans="1:37" ht="14.5" x14ac:dyDescent="0.35">
      <c r="A87" s="343"/>
      <c r="B87" s="344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</row>
    <row r="88" spans="1:37" ht="14.5" x14ac:dyDescent="0.35">
      <c r="A88" s="343"/>
      <c r="B88" s="344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</row>
    <row r="89" spans="1:37" ht="14.5" x14ac:dyDescent="0.35">
      <c r="A89" s="343"/>
      <c r="B89" s="344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</row>
    <row r="90" spans="1:37" ht="14.5" x14ac:dyDescent="0.35">
      <c r="A90" s="343"/>
      <c r="B90" s="344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</row>
    <row r="91" spans="1:37" ht="14.5" x14ac:dyDescent="0.35">
      <c r="A91" s="343"/>
      <c r="B91" s="344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</row>
    <row r="92" spans="1:37" ht="14.5" x14ac:dyDescent="0.35">
      <c r="A92" s="343"/>
      <c r="B92" s="344"/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  <c r="AC92" s="343"/>
      <c r="AD92" s="343"/>
      <c r="AE92" s="343"/>
      <c r="AF92" s="343"/>
      <c r="AG92" s="343"/>
      <c r="AH92" s="343"/>
      <c r="AI92" s="343"/>
      <c r="AJ92" s="343"/>
      <c r="AK92" s="343"/>
    </row>
    <row r="93" spans="1:37" ht="14.5" x14ac:dyDescent="0.35">
      <c r="A93" s="343"/>
      <c r="B93" s="344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343"/>
      <c r="AG93" s="343"/>
      <c r="AH93" s="343"/>
      <c r="AI93" s="343"/>
      <c r="AJ93" s="343"/>
      <c r="AK93" s="343"/>
    </row>
    <row r="94" spans="1:37" ht="14.5" x14ac:dyDescent="0.35">
      <c r="A94" s="343"/>
      <c r="B94" s="344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343"/>
      <c r="AG94" s="343"/>
      <c r="AH94" s="343"/>
      <c r="AI94" s="343"/>
      <c r="AJ94" s="343"/>
      <c r="AK94" s="343"/>
    </row>
    <row r="95" spans="1:37" ht="14.5" x14ac:dyDescent="0.35">
      <c r="A95" s="343"/>
      <c r="B95" s="344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343"/>
      <c r="AG95" s="343"/>
      <c r="AH95" s="343"/>
      <c r="AI95" s="343"/>
      <c r="AJ95" s="343"/>
      <c r="AK95" s="343"/>
    </row>
    <row r="96" spans="1:37" ht="14.5" x14ac:dyDescent="0.35">
      <c r="A96" s="343"/>
      <c r="B96" s="344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343"/>
      <c r="AG96" s="343"/>
      <c r="AH96" s="343"/>
      <c r="AI96" s="343"/>
      <c r="AJ96" s="343"/>
      <c r="AK96" s="343"/>
    </row>
    <row r="97" spans="1:37" ht="14.5" x14ac:dyDescent="0.35">
      <c r="A97" s="343"/>
      <c r="B97" s="344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343"/>
      <c r="AG97" s="343"/>
      <c r="AH97" s="343"/>
      <c r="AI97" s="343"/>
      <c r="AJ97" s="343"/>
      <c r="AK97" s="343"/>
    </row>
    <row r="98" spans="1:37" ht="14.5" x14ac:dyDescent="0.35">
      <c r="A98" s="343"/>
      <c r="B98" s="344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343"/>
      <c r="AG98" s="343"/>
      <c r="AH98" s="343"/>
      <c r="AI98" s="343"/>
      <c r="AJ98" s="343"/>
      <c r="AK98" s="343"/>
    </row>
    <row r="99" spans="1:37" ht="14.5" x14ac:dyDescent="0.35">
      <c r="A99" s="343"/>
      <c r="B99" s="344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343"/>
      <c r="AG99" s="343"/>
      <c r="AH99" s="343"/>
      <c r="AI99" s="343"/>
      <c r="AJ99" s="343"/>
      <c r="AK99" s="343"/>
    </row>
    <row r="100" spans="1:37" ht="14.5" x14ac:dyDescent="0.35">
      <c r="A100" s="343"/>
      <c r="B100" s="344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343"/>
      <c r="AG100" s="343"/>
      <c r="AH100" s="343"/>
      <c r="AI100" s="343"/>
      <c r="AJ100" s="343"/>
      <c r="AK100" s="343"/>
    </row>
    <row r="101" spans="1:37" ht="14.5" x14ac:dyDescent="0.35">
      <c r="A101" s="343"/>
      <c r="B101" s="344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343"/>
      <c r="AG101" s="343"/>
      <c r="AH101" s="343"/>
      <c r="AI101" s="343"/>
      <c r="AJ101" s="343"/>
      <c r="AK101" s="343"/>
    </row>
    <row r="102" spans="1:37" ht="14.5" x14ac:dyDescent="0.35">
      <c r="A102" s="343"/>
      <c r="B102" s="344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343"/>
      <c r="AG102" s="343"/>
      <c r="AH102" s="343"/>
      <c r="AI102" s="343"/>
      <c r="AJ102" s="343"/>
      <c r="AK102" s="343"/>
    </row>
    <row r="103" spans="1:37" ht="14.5" x14ac:dyDescent="0.35">
      <c r="A103" s="343"/>
      <c r="B103" s="344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  <c r="AJ103" s="343"/>
      <c r="AK103" s="343"/>
    </row>
    <row r="104" spans="1:37" ht="14.5" x14ac:dyDescent="0.35">
      <c r="A104" s="343"/>
      <c r="B104" s="344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343"/>
      <c r="AG104" s="343"/>
      <c r="AH104" s="343"/>
      <c r="AI104" s="343"/>
      <c r="AJ104" s="343"/>
      <c r="AK104" s="343"/>
    </row>
    <row r="105" spans="1:37" ht="14.5" x14ac:dyDescent="0.35">
      <c r="A105" s="343"/>
      <c r="B105" s="344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343"/>
      <c r="AG105" s="343"/>
      <c r="AH105" s="343"/>
      <c r="AI105" s="343"/>
      <c r="AJ105" s="343"/>
      <c r="AK105" s="343"/>
    </row>
    <row r="106" spans="1:37" ht="14.5" x14ac:dyDescent="0.35">
      <c r="A106" s="343"/>
      <c r="B106" s="344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343"/>
      <c r="AG106" s="343"/>
      <c r="AH106" s="343"/>
      <c r="AI106" s="343"/>
      <c r="AJ106" s="343"/>
      <c r="AK106" s="343"/>
    </row>
    <row r="107" spans="1:37" ht="14.5" x14ac:dyDescent="0.35">
      <c r="A107" s="343"/>
      <c r="B107" s="344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343"/>
      <c r="AG107" s="343"/>
      <c r="AH107" s="343"/>
      <c r="AI107" s="343"/>
      <c r="AJ107" s="343"/>
      <c r="AK107" s="343"/>
    </row>
    <row r="108" spans="1:37" ht="14.5" x14ac:dyDescent="0.35">
      <c r="A108" s="343"/>
      <c r="B108" s="344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343"/>
      <c r="AG108" s="343"/>
      <c r="AH108" s="343"/>
      <c r="AI108" s="343"/>
      <c r="AJ108" s="343"/>
      <c r="AK108" s="343"/>
    </row>
    <row r="109" spans="1:37" ht="14.5" x14ac:dyDescent="0.35">
      <c r="A109" s="343"/>
      <c r="B109" s="344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  <c r="AJ109" s="343"/>
      <c r="AK109" s="343"/>
    </row>
    <row r="110" spans="1:37" ht="14.5" x14ac:dyDescent="0.35">
      <c r="A110" s="343"/>
      <c r="B110" s="344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  <c r="AB110" s="343"/>
      <c r="AC110" s="343"/>
      <c r="AD110" s="343"/>
      <c r="AE110" s="343"/>
      <c r="AF110" s="343"/>
      <c r="AG110" s="343"/>
      <c r="AH110" s="343"/>
      <c r="AI110" s="343"/>
      <c r="AJ110" s="343"/>
      <c r="AK110" s="343"/>
    </row>
    <row r="111" spans="1:37" ht="14.5" x14ac:dyDescent="0.35">
      <c r="A111" s="343"/>
      <c r="B111" s="344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343"/>
      <c r="AE111" s="343"/>
      <c r="AF111" s="343"/>
      <c r="AG111" s="343"/>
      <c r="AH111" s="343"/>
      <c r="AI111" s="343"/>
      <c r="AJ111" s="343"/>
      <c r="AK111" s="343"/>
    </row>
    <row r="112" spans="1:37" ht="14.5" x14ac:dyDescent="0.35">
      <c r="A112" s="343"/>
      <c r="B112" s="344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  <c r="AB112" s="343"/>
      <c r="AC112" s="343"/>
      <c r="AD112" s="343"/>
      <c r="AE112" s="343"/>
      <c r="AF112" s="343"/>
      <c r="AG112" s="343"/>
      <c r="AH112" s="343"/>
      <c r="AI112" s="343"/>
      <c r="AJ112" s="343"/>
      <c r="AK112" s="343"/>
    </row>
    <row r="113" spans="1:37" ht="14.5" x14ac:dyDescent="0.35">
      <c r="A113" s="343"/>
      <c r="B113" s="344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  <c r="AB113" s="343"/>
      <c r="AC113" s="343"/>
      <c r="AD113" s="343"/>
      <c r="AE113" s="343"/>
      <c r="AF113" s="343"/>
      <c r="AG113" s="343"/>
      <c r="AH113" s="343"/>
      <c r="AI113" s="343"/>
      <c r="AJ113" s="343"/>
      <c r="AK113" s="343"/>
    </row>
    <row r="114" spans="1:37" ht="14.5" x14ac:dyDescent="0.35">
      <c r="A114" s="343"/>
      <c r="B114" s="344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</row>
    <row r="115" spans="1:37" ht="14.5" x14ac:dyDescent="0.35">
      <c r="A115" s="343"/>
      <c r="B115" s="344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343"/>
      <c r="AG115" s="343"/>
      <c r="AH115" s="343"/>
      <c r="AI115" s="343"/>
      <c r="AJ115" s="343"/>
      <c r="AK115" s="343"/>
    </row>
    <row r="116" spans="1:37" ht="14.5" x14ac:dyDescent="0.35">
      <c r="A116" s="343"/>
      <c r="B116" s="344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  <c r="AJ116" s="343"/>
      <c r="AK116" s="343"/>
    </row>
    <row r="117" spans="1:37" ht="14.5" x14ac:dyDescent="0.35">
      <c r="A117" s="343"/>
      <c r="B117" s="344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343"/>
      <c r="AG117" s="343"/>
      <c r="AH117" s="343"/>
      <c r="AI117" s="343"/>
      <c r="AJ117" s="343"/>
      <c r="AK117" s="343"/>
    </row>
    <row r="118" spans="1:37" ht="14.5" x14ac:dyDescent="0.35">
      <c r="A118" s="343"/>
      <c r="B118" s="344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343"/>
      <c r="AG118" s="343"/>
      <c r="AH118" s="343"/>
      <c r="AI118" s="343"/>
      <c r="AJ118" s="343"/>
      <c r="AK118" s="343"/>
    </row>
    <row r="119" spans="1:37" ht="14.5" x14ac:dyDescent="0.35">
      <c r="A119" s="343"/>
      <c r="B119" s="344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343"/>
      <c r="AG119" s="343"/>
      <c r="AH119" s="343"/>
      <c r="AI119" s="343"/>
      <c r="AJ119" s="343"/>
      <c r="AK119" s="343"/>
    </row>
    <row r="120" spans="1:37" ht="14.5" x14ac:dyDescent="0.35">
      <c r="A120" s="343"/>
      <c r="B120" s="344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343"/>
      <c r="AG120" s="343"/>
      <c r="AH120" s="343"/>
      <c r="AI120" s="343"/>
      <c r="AJ120" s="343"/>
      <c r="AK120" s="343"/>
    </row>
    <row r="121" spans="1:37" ht="14.5" x14ac:dyDescent="0.35">
      <c r="A121" s="343"/>
      <c r="B121" s="344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343"/>
      <c r="AG121" s="343"/>
      <c r="AH121" s="343"/>
      <c r="AI121" s="343"/>
      <c r="AJ121" s="343"/>
      <c r="AK121" s="343"/>
    </row>
    <row r="122" spans="1:37" ht="14.5" x14ac:dyDescent="0.35">
      <c r="A122" s="343"/>
      <c r="B122" s="344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343"/>
      <c r="AG122" s="343"/>
      <c r="AH122" s="343"/>
      <c r="AI122" s="343"/>
      <c r="AJ122" s="343"/>
      <c r="AK122" s="343"/>
    </row>
    <row r="123" spans="1:37" ht="14.5" x14ac:dyDescent="0.35">
      <c r="A123" s="343"/>
      <c r="B123" s="344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343"/>
      <c r="AG123" s="343"/>
      <c r="AH123" s="343"/>
      <c r="AI123" s="343"/>
      <c r="AJ123" s="343"/>
      <c r="AK123" s="343"/>
    </row>
    <row r="124" spans="1:37" ht="14.5" x14ac:dyDescent="0.35">
      <c r="A124" s="343"/>
      <c r="B124" s="344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343"/>
      <c r="AG124" s="343"/>
      <c r="AH124" s="343"/>
      <c r="AI124" s="343"/>
      <c r="AJ124" s="343"/>
      <c r="AK124" s="343"/>
    </row>
    <row r="125" spans="1:37" ht="14.5" x14ac:dyDescent="0.35">
      <c r="A125" s="343"/>
      <c r="B125" s="344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343"/>
      <c r="AG125" s="343"/>
      <c r="AH125" s="343"/>
      <c r="AI125" s="343"/>
      <c r="AJ125" s="343"/>
      <c r="AK125" s="343"/>
    </row>
    <row r="126" spans="1:37" ht="14.5" x14ac:dyDescent="0.35">
      <c r="A126" s="343"/>
      <c r="B126" s="344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343"/>
      <c r="AG126" s="343"/>
      <c r="AH126" s="343"/>
      <c r="AI126" s="343"/>
      <c r="AJ126" s="343"/>
      <c r="AK126" s="343"/>
    </row>
    <row r="127" spans="1:37" ht="14.5" x14ac:dyDescent="0.35">
      <c r="A127" s="343"/>
      <c r="B127" s="344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343"/>
      <c r="AG127" s="343"/>
      <c r="AH127" s="343"/>
      <c r="AI127" s="343"/>
      <c r="AJ127" s="343"/>
      <c r="AK127" s="343"/>
    </row>
    <row r="128" spans="1:37" ht="14.5" x14ac:dyDescent="0.35">
      <c r="A128" s="343"/>
      <c r="B128" s="344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343"/>
      <c r="AG128" s="343"/>
      <c r="AH128" s="343"/>
      <c r="AI128" s="343"/>
      <c r="AJ128" s="343"/>
      <c r="AK128" s="343"/>
    </row>
    <row r="129" spans="1:37" ht="14.5" x14ac:dyDescent="0.35">
      <c r="A129" s="343"/>
      <c r="B129" s="344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  <c r="AJ129" s="343"/>
      <c r="AK129" s="343"/>
    </row>
    <row r="130" spans="1:37" ht="14.5" x14ac:dyDescent="0.35">
      <c r="A130" s="343"/>
      <c r="B130" s="344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343"/>
      <c r="AG130" s="343"/>
      <c r="AH130" s="343"/>
      <c r="AI130" s="343"/>
      <c r="AJ130" s="343"/>
      <c r="AK130" s="343"/>
    </row>
    <row r="131" spans="1:37" ht="14.5" x14ac:dyDescent="0.35">
      <c r="A131" s="343"/>
      <c r="B131" s="344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343"/>
      <c r="AG131" s="343"/>
      <c r="AH131" s="343"/>
      <c r="AI131" s="343"/>
      <c r="AJ131" s="343"/>
      <c r="AK131" s="343"/>
    </row>
    <row r="132" spans="1:37" ht="14.5" x14ac:dyDescent="0.35">
      <c r="A132" s="343"/>
      <c r="B132" s="344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343"/>
      <c r="AG132" s="343"/>
      <c r="AH132" s="343"/>
      <c r="AI132" s="343"/>
      <c r="AJ132" s="343"/>
      <c r="AK132" s="343"/>
    </row>
    <row r="133" spans="1:37" ht="14.5" x14ac:dyDescent="0.35">
      <c r="A133" s="343"/>
      <c r="B133" s="344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343"/>
      <c r="AG133" s="343"/>
      <c r="AH133" s="343"/>
      <c r="AI133" s="343"/>
      <c r="AJ133" s="343"/>
      <c r="AK133" s="343"/>
    </row>
    <row r="134" spans="1:37" ht="14.5" x14ac:dyDescent="0.35">
      <c r="A134" s="343"/>
      <c r="B134" s="344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343"/>
      <c r="AG134" s="343"/>
      <c r="AH134" s="343"/>
      <c r="AI134" s="343"/>
      <c r="AJ134" s="343"/>
      <c r="AK134" s="343"/>
    </row>
    <row r="135" spans="1:37" ht="14.5" x14ac:dyDescent="0.35">
      <c r="A135" s="343"/>
      <c r="B135" s="344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343"/>
      <c r="AG135" s="343"/>
      <c r="AH135" s="343"/>
      <c r="AI135" s="343"/>
      <c r="AJ135" s="343"/>
      <c r="AK135" s="343"/>
    </row>
    <row r="136" spans="1:37" ht="14.5" x14ac:dyDescent="0.35">
      <c r="A136" s="343"/>
      <c r="B136" s="344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343"/>
      <c r="AG136" s="343"/>
      <c r="AH136" s="343"/>
      <c r="AI136" s="343"/>
      <c r="AJ136" s="343"/>
      <c r="AK136" s="343"/>
    </row>
    <row r="137" spans="1:37" ht="14.5" x14ac:dyDescent="0.35">
      <c r="A137" s="343"/>
      <c r="B137" s="344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3"/>
      <c r="AK137" s="343"/>
    </row>
    <row r="138" spans="1:37" ht="14.5" x14ac:dyDescent="0.35">
      <c r="A138" s="343"/>
      <c r="B138" s="344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343"/>
      <c r="AG138" s="343"/>
      <c r="AH138" s="343"/>
      <c r="AI138" s="343"/>
      <c r="AJ138" s="343"/>
      <c r="AK138" s="343"/>
    </row>
    <row r="139" spans="1:37" ht="14.5" x14ac:dyDescent="0.35">
      <c r="A139" s="343"/>
      <c r="B139" s="344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343"/>
      <c r="AG139" s="343"/>
      <c r="AH139" s="343"/>
      <c r="AI139" s="343"/>
      <c r="AJ139" s="343"/>
      <c r="AK139" s="343"/>
    </row>
    <row r="140" spans="1:37" ht="14.5" x14ac:dyDescent="0.35">
      <c r="A140" s="343"/>
      <c r="B140" s="344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343"/>
      <c r="AG140" s="343"/>
      <c r="AH140" s="343"/>
      <c r="AI140" s="343"/>
      <c r="AJ140" s="343"/>
      <c r="AK140" s="343"/>
    </row>
    <row r="141" spans="1:37" ht="14.5" x14ac:dyDescent="0.35">
      <c r="A141" s="343"/>
      <c r="B141" s="344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343"/>
      <c r="AG141" s="343"/>
      <c r="AH141" s="343"/>
      <c r="AI141" s="343"/>
      <c r="AJ141" s="343"/>
      <c r="AK141" s="343"/>
    </row>
    <row r="142" spans="1:37" ht="14.5" x14ac:dyDescent="0.35">
      <c r="A142" s="343"/>
      <c r="B142" s="344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343"/>
      <c r="AG142" s="343"/>
      <c r="AH142" s="343"/>
      <c r="AI142" s="343"/>
      <c r="AJ142" s="343"/>
      <c r="AK142" s="343"/>
    </row>
    <row r="143" spans="1:37" ht="14.5" x14ac:dyDescent="0.35">
      <c r="A143" s="343"/>
      <c r="B143" s="344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343"/>
      <c r="AG143" s="343"/>
      <c r="AH143" s="343"/>
      <c r="AI143" s="343"/>
      <c r="AJ143" s="343"/>
      <c r="AK143" s="343"/>
    </row>
    <row r="144" spans="1:37" ht="14.5" x14ac:dyDescent="0.35">
      <c r="A144" s="343"/>
      <c r="B144" s="344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343"/>
      <c r="AG144" s="343"/>
      <c r="AH144" s="343"/>
      <c r="AI144" s="343"/>
      <c r="AJ144" s="343"/>
      <c r="AK144" s="343"/>
    </row>
    <row r="145" spans="1:37" ht="14.5" x14ac:dyDescent="0.35">
      <c r="A145" s="343"/>
      <c r="B145" s="344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343"/>
      <c r="AG145" s="343"/>
      <c r="AH145" s="343"/>
      <c r="AI145" s="343"/>
      <c r="AJ145" s="343"/>
      <c r="AK145" s="343"/>
    </row>
    <row r="146" spans="1:37" ht="14.5" x14ac:dyDescent="0.35">
      <c r="A146" s="343"/>
      <c r="B146" s="344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343"/>
      <c r="AG146" s="343"/>
      <c r="AH146" s="343"/>
      <c r="AI146" s="343"/>
      <c r="AJ146" s="343"/>
      <c r="AK146" s="343"/>
    </row>
    <row r="147" spans="1:37" ht="14.5" x14ac:dyDescent="0.35">
      <c r="A147" s="343"/>
      <c r="B147" s="344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343"/>
      <c r="AG147" s="343"/>
      <c r="AH147" s="343"/>
      <c r="AI147" s="343"/>
      <c r="AJ147" s="343"/>
      <c r="AK147" s="343"/>
    </row>
    <row r="148" spans="1:37" ht="14.5" x14ac:dyDescent="0.35">
      <c r="A148" s="343"/>
      <c r="B148" s="344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343"/>
      <c r="AG148" s="343"/>
      <c r="AH148" s="343"/>
      <c r="AI148" s="343"/>
      <c r="AJ148" s="343"/>
      <c r="AK148" s="343"/>
    </row>
    <row r="149" spans="1:37" ht="14.5" x14ac:dyDescent="0.35">
      <c r="A149" s="343"/>
      <c r="B149" s="344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3"/>
      <c r="AF149" s="343"/>
      <c r="AG149" s="343"/>
      <c r="AH149" s="343"/>
      <c r="AI149" s="343"/>
      <c r="AJ149" s="343"/>
      <c r="AK149" s="343"/>
    </row>
    <row r="150" spans="1:37" ht="14.5" x14ac:dyDescent="0.35">
      <c r="A150" s="343"/>
      <c r="B150" s="344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3"/>
      <c r="AF150" s="343"/>
      <c r="AG150" s="343"/>
      <c r="AH150" s="343"/>
      <c r="AI150" s="343"/>
      <c r="AJ150" s="343"/>
      <c r="AK150" s="343"/>
    </row>
    <row r="151" spans="1:37" ht="14.5" x14ac:dyDescent="0.35">
      <c r="A151" s="343"/>
      <c r="B151" s="344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3"/>
      <c r="AF151" s="343"/>
      <c r="AG151" s="343"/>
      <c r="AH151" s="343"/>
      <c r="AI151" s="343"/>
      <c r="AJ151" s="343"/>
      <c r="AK151" s="343"/>
    </row>
    <row r="152" spans="1:37" ht="14.5" x14ac:dyDescent="0.35">
      <c r="A152" s="343"/>
      <c r="B152" s="344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3"/>
      <c r="AF152" s="343"/>
      <c r="AG152" s="343"/>
      <c r="AH152" s="343"/>
      <c r="AI152" s="343"/>
      <c r="AJ152" s="343"/>
      <c r="AK152" s="343"/>
    </row>
    <row r="153" spans="1:37" ht="14.5" x14ac:dyDescent="0.35">
      <c r="A153" s="343"/>
      <c r="B153" s="344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343"/>
      <c r="AG153" s="343"/>
      <c r="AH153" s="343"/>
      <c r="AI153" s="343"/>
      <c r="AJ153" s="343"/>
      <c r="AK153" s="343"/>
    </row>
    <row r="154" spans="1:37" ht="14.5" x14ac:dyDescent="0.35">
      <c r="A154" s="343"/>
      <c r="B154" s="344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3"/>
      <c r="AF154" s="343"/>
      <c r="AG154" s="343"/>
      <c r="AH154" s="343"/>
      <c r="AI154" s="343"/>
      <c r="AJ154" s="343"/>
      <c r="AK154" s="343"/>
    </row>
    <row r="155" spans="1:37" ht="14.5" x14ac:dyDescent="0.35">
      <c r="A155" s="343"/>
      <c r="B155" s="344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3"/>
      <c r="W155" s="343"/>
      <c r="X155" s="343"/>
      <c r="Y155" s="343"/>
      <c r="Z155" s="343"/>
      <c r="AA155" s="343"/>
      <c r="AB155" s="343"/>
      <c r="AC155" s="343"/>
      <c r="AD155" s="343"/>
      <c r="AE155" s="343"/>
      <c r="AF155" s="343"/>
      <c r="AG155" s="343"/>
      <c r="AH155" s="343"/>
      <c r="AI155" s="343"/>
      <c r="AJ155" s="343"/>
      <c r="AK155" s="343"/>
    </row>
    <row r="156" spans="1:37" ht="14.5" x14ac:dyDescent="0.35">
      <c r="A156" s="343"/>
      <c r="B156" s="344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3"/>
      <c r="AB156" s="343"/>
      <c r="AC156" s="343"/>
      <c r="AD156" s="343"/>
      <c r="AE156" s="343"/>
      <c r="AF156" s="343"/>
      <c r="AG156" s="343"/>
      <c r="AH156" s="343"/>
      <c r="AI156" s="343"/>
      <c r="AJ156" s="343"/>
      <c r="AK156" s="343"/>
    </row>
    <row r="157" spans="1:37" ht="14.5" x14ac:dyDescent="0.35">
      <c r="A157" s="343"/>
      <c r="B157" s="344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3"/>
      <c r="W157" s="343"/>
      <c r="X157" s="343"/>
      <c r="Y157" s="343"/>
      <c r="Z157" s="343"/>
      <c r="AA157" s="343"/>
      <c r="AB157" s="343"/>
      <c r="AC157" s="343"/>
      <c r="AD157" s="343"/>
      <c r="AE157" s="343"/>
      <c r="AF157" s="343"/>
      <c r="AG157" s="343"/>
      <c r="AH157" s="343"/>
      <c r="AI157" s="343"/>
      <c r="AJ157" s="343"/>
      <c r="AK157" s="343"/>
    </row>
    <row r="158" spans="1:37" ht="14.5" x14ac:dyDescent="0.35">
      <c r="A158" s="343"/>
      <c r="B158" s="344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343"/>
      <c r="AB158" s="343"/>
      <c r="AC158" s="343"/>
      <c r="AD158" s="343"/>
      <c r="AE158" s="343"/>
      <c r="AF158" s="343"/>
      <c r="AG158" s="343"/>
      <c r="AH158" s="343"/>
      <c r="AI158" s="343"/>
      <c r="AJ158" s="343"/>
      <c r="AK158" s="343"/>
    </row>
    <row r="159" spans="1:37" ht="14.5" x14ac:dyDescent="0.35">
      <c r="A159" s="343"/>
      <c r="B159" s="344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343"/>
      <c r="AB159" s="343"/>
      <c r="AC159" s="343"/>
      <c r="AD159" s="343"/>
      <c r="AE159" s="343"/>
      <c r="AF159" s="343"/>
      <c r="AG159" s="343"/>
      <c r="AH159" s="343"/>
      <c r="AI159" s="343"/>
      <c r="AJ159" s="343"/>
      <c r="AK159" s="343"/>
    </row>
    <row r="160" spans="1:37" ht="14.5" x14ac:dyDescent="0.35">
      <c r="A160" s="343"/>
      <c r="B160" s="344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343"/>
      <c r="AG160" s="343"/>
      <c r="AH160" s="343"/>
      <c r="AI160" s="343"/>
      <c r="AJ160" s="343"/>
      <c r="AK160" s="343"/>
    </row>
    <row r="161" spans="1:37" ht="14.5" x14ac:dyDescent="0.35">
      <c r="A161" s="343"/>
      <c r="B161" s="344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343"/>
      <c r="AG161" s="343"/>
      <c r="AH161" s="343"/>
      <c r="AI161" s="343"/>
      <c r="AJ161" s="343"/>
      <c r="AK161" s="343"/>
    </row>
    <row r="162" spans="1:37" ht="14.5" x14ac:dyDescent="0.35">
      <c r="A162" s="343"/>
      <c r="B162" s="344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3"/>
      <c r="W162" s="343"/>
      <c r="X162" s="343"/>
      <c r="Y162" s="343"/>
      <c r="Z162" s="343"/>
      <c r="AA162" s="343"/>
      <c r="AB162" s="343"/>
      <c r="AC162" s="343"/>
      <c r="AD162" s="343"/>
      <c r="AE162" s="343"/>
      <c r="AF162" s="343"/>
      <c r="AG162" s="343"/>
      <c r="AH162" s="343"/>
      <c r="AI162" s="343"/>
      <c r="AJ162" s="343"/>
      <c r="AK162" s="343"/>
    </row>
    <row r="163" spans="1:37" ht="14.5" x14ac:dyDescent="0.35">
      <c r="A163" s="343"/>
      <c r="B163" s="344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343"/>
      <c r="AG163" s="343"/>
      <c r="AH163" s="343"/>
      <c r="AI163" s="343"/>
      <c r="AJ163" s="343"/>
      <c r="AK163" s="343"/>
    </row>
    <row r="164" spans="1:37" ht="14.5" x14ac:dyDescent="0.35">
      <c r="A164" s="343"/>
      <c r="B164" s="344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343"/>
      <c r="AG164" s="343"/>
      <c r="AH164" s="343"/>
      <c r="AI164" s="343"/>
      <c r="AJ164" s="343"/>
      <c r="AK164" s="343"/>
    </row>
    <row r="165" spans="1:37" ht="14.5" x14ac:dyDescent="0.35">
      <c r="A165" s="343"/>
      <c r="B165" s="344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3"/>
      <c r="W165" s="343"/>
      <c r="X165" s="343"/>
      <c r="Y165" s="343"/>
      <c r="Z165" s="343"/>
      <c r="AA165" s="343"/>
      <c r="AB165" s="343"/>
      <c r="AC165" s="343"/>
      <c r="AD165" s="343"/>
      <c r="AE165" s="343"/>
      <c r="AF165" s="343"/>
      <c r="AG165" s="343"/>
      <c r="AH165" s="343"/>
      <c r="AI165" s="343"/>
      <c r="AJ165" s="343"/>
      <c r="AK165" s="343"/>
    </row>
    <row r="166" spans="1:37" ht="14.5" x14ac:dyDescent="0.35">
      <c r="A166" s="343"/>
      <c r="B166" s="344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3"/>
      <c r="W166" s="343"/>
      <c r="X166" s="343"/>
      <c r="Y166" s="343"/>
      <c r="Z166" s="343"/>
      <c r="AA166" s="343"/>
      <c r="AB166" s="343"/>
      <c r="AC166" s="343"/>
      <c r="AD166" s="343"/>
      <c r="AE166" s="343"/>
      <c r="AF166" s="343"/>
      <c r="AG166" s="343"/>
      <c r="AH166" s="343"/>
      <c r="AI166" s="343"/>
      <c r="AJ166" s="343"/>
      <c r="AK166" s="343"/>
    </row>
    <row r="167" spans="1:37" ht="14.5" x14ac:dyDescent="0.35">
      <c r="A167" s="343"/>
      <c r="B167" s="344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3"/>
      <c r="W167" s="343"/>
      <c r="X167" s="343"/>
      <c r="Y167" s="343"/>
      <c r="Z167" s="343"/>
      <c r="AA167" s="343"/>
      <c r="AB167" s="343"/>
      <c r="AC167" s="343"/>
      <c r="AD167" s="343"/>
      <c r="AE167" s="343"/>
      <c r="AF167" s="343"/>
      <c r="AG167" s="343"/>
      <c r="AH167" s="343"/>
      <c r="AI167" s="343"/>
      <c r="AJ167" s="343"/>
      <c r="AK167" s="343"/>
    </row>
    <row r="168" spans="1:37" ht="14.5" x14ac:dyDescent="0.35">
      <c r="A168" s="343"/>
      <c r="B168" s="344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343"/>
      <c r="AG168" s="343"/>
      <c r="AH168" s="343"/>
      <c r="AI168" s="343"/>
      <c r="AJ168" s="343"/>
      <c r="AK168" s="343"/>
    </row>
    <row r="169" spans="1:37" ht="14.5" x14ac:dyDescent="0.35">
      <c r="A169" s="343"/>
      <c r="B169" s="344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343"/>
      <c r="AG169" s="343"/>
      <c r="AH169" s="343"/>
      <c r="AI169" s="343"/>
      <c r="AJ169" s="343"/>
      <c r="AK169" s="343"/>
    </row>
    <row r="170" spans="1:37" ht="14.5" x14ac:dyDescent="0.35">
      <c r="A170" s="343"/>
      <c r="B170" s="344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343"/>
      <c r="AG170" s="343"/>
      <c r="AH170" s="343"/>
      <c r="AI170" s="343"/>
      <c r="AJ170" s="343"/>
      <c r="AK170" s="343"/>
    </row>
    <row r="171" spans="1:37" ht="14.5" x14ac:dyDescent="0.35">
      <c r="A171" s="343"/>
      <c r="B171" s="344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3"/>
      <c r="W171" s="343"/>
      <c r="X171" s="343"/>
      <c r="Y171" s="343"/>
      <c r="Z171" s="343"/>
      <c r="AA171" s="343"/>
      <c r="AB171" s="343"/>
      <c r="AC171" s="343"/>
      <c r="AD171" s="343"/>
      <c r="AE171" s="343"/>
      <c r="AF171" s="343"/>
      <c r="AG171" s="343"/>
      <c r="AH171" s="343"/>
      <c r="AI171" s="343"/>
      <c r="AJ171" s="343"/>
      <c r="AK171" s="343"/>
    </row>
    <row r="172" spans="1:37" ht="14.5" x14ac:dyDescent="0.35">
      <c r="A172" s="343"/>
      <c r="B172" s="344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3"/>
      <c r="W172" s="343"/>
      <c r="X172" s="343"/>
      <c r="Y172" s="343"/>
      <c r="Z172" s="343"/>
      <c r="AA172" s="343"/>
      <c r="AB172" s="343"/>
      <c r="AC172" s="343"/>
      <c r="AD172" s="343"/>
      <c r="AE172" s="343"/>
      <c r="AF172" s="343"/>
      <c r="AG172" s="343"/>
      <c r="AH172" s="343"/>
      <c r="AI172" s="343"/>
      <c r="AJ172" s="343"/>
      <c r="AK172" s="343"/>
    </row>
    <row r="173" spans="1:37" ht="14.5" x14ac:dyDescent="0.35">
      <c r="A173" s="343"/>
      <c r="B173" s="344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3"/>
      <c r="W173" s="343"/>
      <c r="X173" s="343"/>
      <c r="Y173" s="343"/>
      <c r="Z173" s="343"/>
      <c r="AA173" s="343"/>
      <c r="AB173" s="343"/>
      <c r="AC173" s="343"/>
      <c r="AD173" s="343"/>
      <c r="AE173" s="343"/>
      <c r="AF173" s="343"/>
      <c r="AG173" s="343"/>
      <c r="AH173" s="343"/>
      <c r="AI173" s="343"/>
      <c r="AJ173" s="343"/>
      <c r="AK173" s="343"/>
    </row>
    <row r="174" spans="1:37" ht="14.5" x14ac:dyDescent="0.35">
      <c r="A174" s="343"/>
      <c r="B174" s="344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3"/>
      <c r="W174" s="343"/>
      <c r="X174" s="343"/>
      <c r="Y174" s="343"/>
      <c r="Z174" s="343"/>
      <c r="AA174" s="343"/>
      <c r="AB174" s="343"/>
      <c r="AC174" s="343"/>
      <c r="AD174" s="343"/>
      <c r="AE174" s="343"/>
      <c r="AF174" s="343"/>
      <c r="AG174" s="343"/>
      <c r="AH174" s="343"/>
      <c r="AI174" s="343"/>
      <c r="AJ174" s="343"/>
      <c r="AK174" s="343"/>
    </row>
    <row r="175" spans="1:37" ht="14.5" x14ac:dyDescent="0.35">
      <c r="A175" s="343"/>
      <c r="B175" s="344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343"/>
      <c r="AG175" s="343"/>
      <c r="AH175" s="343"/>
      <c r="AI175" s="343"/>
      <c r="AJ175" s="343"/>
      <c r="AK175" s="343"/>
    </row>
    <row r="176" spans="1:37" ht="14.5" x14ac:dyDescent="0.35">
      <c r="A176" s="343"/>
      <c r="B176" s="344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343"/>
      <c r="AG176" s="343"/>
      <c r="AH176" s="343"/>
      <c r="AI176" s="343"/>
      <c r="AJ176" s="343"/>
      <c r="AK176" s="343"/>
    </row>
    <row r="177" spans="1:37" ht="14.5" x14ac:dyDescent="0.35">
      <c r="A177" s="343"/>
      <c r="B177" s="344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343"/>
      <c r="AG177" s="343"/>
      <c r="AH177" s="343"/>
      <c r="AI177" s="343"/>
      <c r="AJ177" s="343"/>
      <c r="AK177" s="343"/>
    </row>
    <row r="178" spans="1:37" ht="14.5" x14ac:dyDescent="0.35">
      <c r="A178" s="343"/>
      <c r="B178" s="344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343"/>
      <c r="AG178" s="343"/>
      <c r="AH178" s="343"/>
      <c r="AI178" s="343"/>
      <c r="AJ178" s="343"/>
      <c r="AK178" s="343"/>
    </row>
    <row r="179" spans="1:37" ht="14.5" x14ac:dyDescent="0.35">
      <c r="A179" s="343"/>
      <c r="B179" s="344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3"/>
      <c r="W179" s="343"/>
      <c r="X179" s="343"/>
      <c r="Y179" s="343"/>
      <c r="Z179" s="343"/>
      <c r="AA179" s="343"/>
      <c r="AB179" s="343"/>
      <c r="AC179" s="343"/>
      <c r="AD179" s="343"/>
      <c r="AE179" s="343"/>
      <c r="AF179" s="343"/>
      <c r="AG179" s="343"/>
      <c r="AH179" s="343"/>
      <c r="AI179" s="343"/>
      <c r="AJ179" s="343"/>
      <c r="AK179" s="343"/>
    </row>
    <row r="180" spans="1:37" ht="14.5" x14ac:dyDescent="0.35">
      <c r="A180" s="343"/>
      <c r="B180" s="344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343"/>
      <c r="AE180" s="343"/>
      <c r="AF180" s="343"/>
      <c r="AG180" s="343"/>
      <c r="AH180" s="343"/>
      <c r="AI180" s="343"/>
      <c r="AJ180" s="343"/>
      <c r="AK180" s="343"/>
    </row>
    <row r="181" spans="1:37" ht="14.5" x14ac:dyDescent="0.35">
      <c r="A181" s="343"/>
      <c r="B181" s="344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3"/>
      <c r="AF181" s="343"/>
      <c r="AG181" s="343"/>
      <c r="AH181" s="343"/>
      <c r="AI181" s="343"/>
      <c r="AJ181" s="343"/>
      <c r="AK181" s="343"/>
    </row>
    <row r="182" spans="1:37" ht="14.5" x14ac:dyDescent="0.35">
      <c r="A182" s="343"/>
      <c r="B182" s="344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343"/>
      <c r="AG182" s="343"/>
      <c r="AH182" s="343"/>
      <c r="AI182" s="343"/>
      <c r="AJ182" s="343"/>
      <c r="AK182" s="343"/>
    </row>
    <row r="183" spans="1:37" ht="14.5" x14ac:dyDescent="0.35">
      <c r="A183" s="343"/>
      <c r="B183" s="344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3"/>
      <c r="AF183" s="343"/>
      <c r="AG183" s="343"/>
      <c r="AH183" s="343"/>
      <c r="AI183" s="343"/>
      <c r="AJ183" s="343"/>
      <c r="AK183" s="343"/>
    </row>
    <row r="184" spans="1:37" ht="14.5" x14ac:dyDescent="0.35">
      <c r="A184" s="343"/>
      <c r="B184" s="344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343"/>
      <c r="AB184" s="343"/>
      <c r="AC184" s="343"/>
      <c r="AD184" s="343"/>
      <c r="AE184" s="343"/>
      <c r="AF184" s="343"/>
      <c r="AG184" s="343"/>
      <c r="AH184" s="343"/>
      <c r="AI184" s="343"/>
      <c r="AJ184" s="343"/>
      <c r="AK184" s="343"/>
    </row>
    <row r="185" spans="1:37" ht="14.5" x14ac:dyDescent="0.35">
      <c r="A185" s="343"/>
      <c r="B185" s="344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3"/>
      <c r="W185" s="343"/>
      <c r="X185" s="343"/>
      <c r="Y185" s="343"/>
      <c r="Z185" s="343"/>
      <c r="AA185" s="343"/>
      <c r="AB185" s="343"/>
      <c r="AC185" s="343"/>
      <c r="AD185" s="343"/>
      <c r="AE185" s="343"/>
      <c r="AF185" s="343"/>
      <c r="AG185" s="343"/>
      <c r="AH185" s="343"/>
      <c r="AI185" s="343"/>
      <c r="AJ185" s="343"/>
      <c r="AK185" s="343"/>
    </row>
    <row r="186" spans="1:37" ht="14.5" x14ac:dyDescent="0.35">
      <c r="A186" s="343"/>
      <c r="B186" s="344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3"/>
      <c r="W186" s="343"/>
      <c r="X186" s="343"/>
      <c r="Y186" s="343"/>
      <c r="Z186" s="343"/>
      <c r="AA186" s="343"/>
      <c r="AB186" s="343"/>
      <c r="AC186" s="343"/>
      <c r="AD186" s="343"/>
      <c r="AE186" s="343"/>
      <c r="AF186" s="343"/>
      <c r="AG186" s="343"/>
      <c r="AH186" s="343"/>
      <c r="AI186" s="343"/>
      <c r="AJ186" s="343"/>
      <c r="AK186" s="343"/>
    </row>
    <row r="187" spans="1:37" ht="14.5" x14ac:dyDescent="0.35">
      <c r="A187" s="343"/>
      <c r="B187" s="344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343"/>
      <c r="AG187" s="343"/>
      <c r="AH187" s="343"/>
      <c r="AI187" s="343"/>
      <c r="AJ187" s="343"/>
      <c r="AK187" s="343"/>
    </row>
    <row r="188" spans="1:37" ht="14.5" x14ac:dyDescent="0.35">
      <c r="A188" s="343"/>
      <c r="B188" s="344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343"/>
      <c r="AB188" s="343"/>
      <c r="AC188" s="343"/>
      <c r="AD188" s="343"/>
      <c r="AE188" s="343"/>
      <c r="AF188" s="343"/>
      <c r="AG188" s="343"/>
      <c r="AH188" s="343"/>
      <c r="AI188" s="343"/>
      <c r="AJ188" s="343"/>
      <c r="AK188" s="343"/>
    </row>
    <row r="189" spans="1:37" ht="14.5" x14ac:dyDescent="0.35">
      <c r="A189" s="343"/>
      <c r="B189" s="344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343"/>
      <c r="AG189" s="343"/>
      <c r="AH189" s="343"/>
      <c r="AI189" s="343"/>
      <c r="AJ189" s="343"/>
      <c r="AK189" s="343"/>
    </row>
    <row r="190" spans="1:37" ht="14.5" x14ac:dyDescent="0.35">
      <c r="A190" s="343"/>
      <c r="B190" s="344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343"/>
      <c r="AG190" s="343"/>
      <c r="AH190" s="343"/>
      <c r="AI190" s="343"/>
      <c r="AJ190" s="343"/>
      <c r="AK190" s="343"/>
    </row>
    <row r="191" spans="1:37" ht="14.5" x14ac:dyDescent="0.35">
      <c r="A191" s="343"/>
      <c r="B191" s="344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343"/>
      <c r="AG191" s="343"/>
      <c r="AH191" s="343"/>
      <c r="AI191" s="343"/>
      <c r="AJ191" s="343"/>
      <c r="AK191" s="343"/>
    </row>
    <row r="192" spans="1:37" ht="14.5" x14ac:dyDescent="0.35">
      <c r="A192" s="343"/>
      <c r="B192" s="344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343"/>
      <c r="AB192" s="343"/>
      <c r="AC192" s="343"/>
      <c r="AD192" s="343"/>
      <c r="AE192" s="343"/>
      <c r="AF192" s="343"/>
      <c r="AG192" s="343"/>
      <c r="AH192" s="343"/>
      <c r="AI192" s="343"/>
      <c r="AJ192" s="343"/>
      <c r="AK192" s="343"/>
    </row>
    <row r="193" spans="1:37" ht="14.5" x14ac:dyDescent="0.35">
      <c r="A193" s="343"/>
      <c r="B193" s="344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343"/>
      <c r="AB193" s="343"/>
      <c r="AC193" s="343"/>
      <c r="AD193" s="343"/>
      <c r="AE193" s="343"/>
      <c r="AF193" s="343"/>
      <c r="AG193" s="343"/>
      <c r="AH193" s="343"/>
      <c r="AI193" s="343"/>
      <c r="AJ193" s="343"/>
      <c r="AK193" s="343"/>
    </row>
    <row r="194" spans="1:37" ht="14.5" x14ac:dyDescent="0.35">
      <c r="A194" s="343"/>
      <c r="B194" s="344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343"/>
      <c r="AB194" s="343"/>
      <c r="AC194" s="343"/>
      <c r="AD194" s="343"/>
      <c r="AE194" s="343"/>
      <c r="AF194" s="343"/>
      <c r="AG194" s="343"/>
      <c r="AH194" s="343"/>
      <c r="AI194" s="343"/>
      <c r="AJ194" s="343"/>
      <c r="AK194" s="343"/>
    </row>
    <row r="195" spans="1:37" ht="14.5" x14ac:dyDescent="0.35">
      <c r="A195" s="343"/>
      <c r="B195" s="344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3"/>
      <c r="W195" s="343"/>
      <c r="X195" s="343"/>
      <c r="Y195" s="343"/>
      <c r="Z195" s="343"/>
      <c r="AA195" s="343"/>
      <c r="AB195" s="343"/>
      <c r="AC195" s="343"/>
      <c r="AD195" s="343"/>
      <c r="AE195" s="343"/>
      <c r="AF195" s="343"/>
      <c r="AG195" s="343"/>
      <c r="AH195" s="343"/>
      <c r="AI195" s="343"/>
      <c r="AJ195" s="343"/>
      <c r="AK195" s="343"/>
    </row>
    <row r="196" spans="1:37" ht="14.5" x14ac:dyDescent="0.35">
      <c r="A196" s="343"/>
      <c r="B196" s="344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343"/>
      <c r="AG196" s="343"/>
      <c r="AH196" s="343"/>
      <c r="AI196" s="343"/>
      <c r="AJ196" s="343"/>
      <c r="AK196" s="343"/>
    </row>
    <row r="197" spans="1:37" ht="14.5" x14ac:dyDescent="0.35">
      <c r="A197" s="343"/>
      <c r="B197" s="344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3"/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343"/>
      <c r="AG197" s="343"/>
      <c r="AH197" s="343"/>
      <c r="AI197" s="343"/>
      <c r="AJ197" s="343"/>
      <c r="AK197" s="343"/>
    </row>
    <row r="198" spans="1:37" ht="14.5" x14ac:dyDescent="0.35">
      <c r="A198" s="343"/>
      <c r="B198" s="344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343"/>
      <c r="AG198" s="343"/>
      <c r="AH198" s="343"/>
      <c r="AI198" s="343"/>
      <c r="AJ198" s="343"/>
      <c r="AK198" s="343"/>
    </row>
    <row r="199" spans="1:37" ht="14.5" x14ac:dyDescent="0.35">
      <c r="A199" s="343"/>
      <c r="B199" s="344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343"/>
      <c r="AG199" s="343"/>
      <c r="AH199" s="343"/>
      <c r="AI199" s="343"/>
      <c r="AJ199" s="343"/>
      <c r="AK199" s="343"/>
    </row>
    <row r="200" spans="1:37" ht="14.5" x14ac:dyDescent="0.35">
      <c r="A200" s="343"/>
      <c r="B200" s="344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343"/>
      <c r="AG200" s="343"/>
      <c r="AH200" s="343"/>
      <c r="AI200" s="343"/>
      <c r="AJ200" s="343"/>
      <c r="AK200" s="343"/>
    </row>
    <row r="201" spans="1:37" ht="14.5" x14ac:dyDescent="0.35">
      <c r="A201" s="343"/>
      <c r="B201" s="344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343"/>
      <c r="AG201" s="343"/>
      <c r="AH201" s="343"/>
      <c r="AI201" s="343"/>
      <c r="AJ201" s="343"/>
      <c r="AK201" s="343"/>
    </row>
    <row r="202" spans="1:37" ht="14.5" x14ac:dyDescent="0.35">
      <c r="A202" s="343"/>
      <c r="B202" s="344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343"/>
      <c r="AB202" s="343"/>
      <c r="AC202" s="343"/>
      <c r="AD202" s="343"/>
      <c r="AE202" s="343"/>
      <c r="AF202" s="343"/>
      <c r="AG202" s="343"/>
      <c r="AH202" s="343"/>
      <c r="AI202" s="343"/>
      <c r="AJ202" s="343"/>
      <c r="AK202" s="343"/>
    </row>
    <row r="203" spans="1:37" ht="14.5" x14ac:dyDescent="0.35">
      <c r="A203" s="343"/>
      <c r="B203" s="344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343"/>
      <c r="AG203" s="343"/>
      <c r="AH203" s="343"/>
      <c r="AI203" s="343"/>
      <c r="AJ203" s="343"/>
      <c r="AK203" s="343"/>
    </row>
    <row r="204" spans="1:37" ht="14.5" x14ac:dyDescent="0.35">
      <c r="A204" s="343"/>
      <c r="B204" s="344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3"/>
      <c r="W204" s="343"/>
      <c r="X204" s="343"/>
      <c r="Y204" s="343"/>
      <c r="Z204" s="343"/>
      <c r="AA204" s="343"/>
      <c r="AB204" s="343"/>
      <c r="AC204" s="343"/>
      <c r="AD204" s="343"/>
      <c r="AE204" s="343"/>
      <c r="AF204" s="343"/>
      <c r="AG204" s="343"/>
      <c r="AH204" s="343"/>
      <c r="AI204" s="343"/>
      <c r="AJ204" s="343"/>
      <c r="AK204" s="343"/>
    </row>
    <row r="205" spans="1:37" ht="14.5" x14ac:dyDescent="0.35">
      <c r="A205" s="343"/>
      <c r="B205" s="344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343"/>
      <c r="AG205" s="343"/>
      <c r="AH205" s="343"/>
      <c r="AI205" s="343"/>
      <c r="AJ205" s="343"/>
      <c r="AK205" s="343"/>
    </row>
    <row r="206" spans="1:37" ht="14.5" x14ac:dyDescent="0.35">
      <c r="A206" s="343"/>
      <c r="B206" s="344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343"/>
      <c r="AG206" s="343"/>
      <c r="AH206" s="343"/>
      <c r="AI206" s="343"/>
      <c r="AJ206" s="343"/>
      <c r="AK206" s="343"/>
    </row>
    <row r="207" spans="1:37" ht="14.5" x14ac:dyDescent="0.35">
      <c r="A207" s="343"/>
      <c r="B207" s="344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343"/>
      <c r="AG207" s="343"/>
      <c r="AH207" s="343"/>
      <c r="AI207" s="343"/>
      <c r="AJ207" s="343"/>
      <c r="AK207" s="343"/>
    </row>
    <row r="208" spans="1:37" ht="14.5" x14ac:dyDescent="0.35">
      <c r="A208" s="343"/>
      <c r="B208" s="344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343"/>
      <c r="AG208" s="343"/>
      <c r="AH208" s="343"/>
      <c r="AI208" s="343"/>
      <c r="AJ208" s="343"/>
      <c r="AK208" s="343"/>
    </row>
    <row r="209" spans="1:37" ht="14.5" x14ac:dyDescent="0.35">
      <c r="A209" s="343"/>
      <c r="B209" s="344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343"/>
      <c r="AB209" s="343"/>
      <c r="AC209" s="343"/>
      <c r="AD209" s="343"/>
      <c r="AE209" s="343"/>
      <c r="AF209" s="343"/>
      <c r="AG209" s="343"/>
      <c r="AH209" s="343"/>
      <c r="AI209" s="343"/>
      <c r="AJ209" s="343"/>
      <c r="AK209" s="343"/>
    </row>
    <row r="210" spans="1:37" ht="14.5" x14ac:dyDescent="0.35">
      <c r="A210" s="343"/>
      <c r="B210" s="344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343"/>
      <c r="AG210" s="343"/>
      <c r="AH210" s="343"/>
      <c r="AI210" s="343"/>
      <c r="AJ210" s="343"/>
      <c r="AK210" s="343"/>
    </row>
    <row r="211" spans="1:37" ht="14.5" x14ac:dyDescent="0.35">
      <c r="A211" s="343"/>
      <c r="B211" s="344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343"/>
      <c r="AB211" s="343"/>
      <c r="AC211" s="343"/>
      <c r="AD211" s="343"/>
      <c r="AE211" s="343"/>
      <c r="AF211" s="343"/>
      <c r="AG211" s="343"/>
      <c r="AH211" s="343"/>
      <c r="AI211" s="343"/>
      <c r="AJ211" s="343"/>
      <c r="AK211" s="343"/>
    </row>
    <row r="212" spans="1:37" ht="14.5" x14ac:dyDescent="0.35">
      <c r="A212" s="343"/>
      <c r="B212" s="344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3"/>
      <c r="W212" s="343"/>
      <c r="X212" s="343"/>
      <c r="Y212" s="343"/>
      <c r="Z212" s="343"/>
      <c r="AA212" s="343"/>
      <c r="AB212" s="343"/>
      <c r="AC212" s="343"/>
      <c r="AD212" s="343"/>
      <c r="AE212" s="343"/>
      <c r="AF212" s="343"/>
      <c r="AG212" s="343"/>
      <c r="AH212" s="343"/>
      <c r="AI212" s="343"/>
      <c r="AJ212" s="343"/>
      <c r="AK212" s="343"/>
    </row>
    <row r="213" spans="1:37" ht="14.5" x14ac:dyDescent="0.35">
      <c r="A213" s="343"/>
      <c r="B213" s="344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3"/>
      <c r="W213" s="343"/>
      <c r="X213" s="343"/>
      <c r="Y213" s="343"/>
      <c r="Z213" s="343"/>
      <c r="AA213" s="343"/>
      <c r="AB213" s="343"/>
      <c r="AC213" s="343"/>
      <c r="AD213" s="343"/>
      <c r="AE213" s="343"/>
      <c r="AF213" s="343"/>
      <c r="AG213" s="343"/>
      <c r="AH213" s="343"/>
      <c r="AI213" s="343"/>
      <c r="AJ213" s="343"/>
      <c r="AK213" s="343"/>
    </row>
    <row r="214" spans="1:37" ht="14.5" x14ac:dyDescent="0.35">
      <c r="A214" s="343"/>
      <c r="B214" s="344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343"/>
      <c r="AB214" s="343"/>
      <c r="AC214" s="343"/>
      <c r="AD214" s="343"/>
      <c r="AE214" s="343"/>
      <c r="AF214" s="343"/>
      <c r="AG214" s="343"/>
      <c r="AH214" s="343"/>
      <c r="AI214" s="343"/>
      <c r="AJ214" s="343"/>
      <c r="AK214" s="343"/>
    </row>
    <row r="215" spans="1:37" ht="14.5" x14ac:dyDescent="0.35">
      <c r="A215" s="343"/>
      <c r="B215" s="344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  <c r="AB215" s="343"/>
      <c r="AC215" s="343"/>
      <c r="AD215" s="343"/>
      <c r="AE215" s="343"/>
      <c r="AF215" s="343"/>
      <c r="AG215" s="343"/>
      <c r="AH215" s="343"/>
      <c r="AI215" s="343"/>
      <c r="AJ215" s="343"/>
      <c r="AK215" s="343"/>
    </row>
    <row r="216" spans="1:37" ht="14.5" x14ac:dyDescent="0.35">
      <c r="A216" s="343"/>
      <c r="B216" s="344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  <c r="AB216" s="343"/>
      <c r="AC216" s="343"/>
      <c r="AD216" s="343"/>
      <c r="AE216" s="343"/>
      <c r="AF216" s="343"/>
      <c r="AG216" s="343"/>
      <c r="AH216" s="343"/>
      <c r="AI216" s="343"/>
      <c r="AJ216" s="343"/>
      <c r="AK216" s="343"/>
    </row>
    <row r="217" spans="1:37" ht="14.5" x14ac:dyDescent="0.35">
      <c r="A217" s="343"/>
      <c r="B217" s="344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343"/>
      <c r="AB217" s="343"/>
      <c r="AC217" s="343"/>
      <c r="AD217" s="343"/>
      <c r="AE217" s="343"/>
      <c r="AF217" s="343"/>
      <c r="AG217" s="343"/>
      <c r="AH217" s="343"/>
      <c r="AI217" s="343"/>
      <c r="AJ217" s="343"/>
      <c r="AK217" s="343"/>
    </row>
    <row r="218" spans="1:37" ht="14.5" x14ac:dyDescent="0.35">
      <c r="A218" s="343"/>
      <c r="B218" s="344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343"/>
      <c r="AB218" s="343"/>
      <c r="AC218" s="343"/>
      <c r="AD218" s="343"/>
      <c r="AE218" s="343"/>
      <c r="AF218" s="343"/>
      <c r="AG218" s="343"/>
      <c r="AH218" s="343"/>
      <c r="AI218" s="343"/>
      <c r="AJ218" s="343"/>
      <c r="AK218" s="343"/>
    </row>
    <row r="219" spans="1:37" ht="14.5" x14ac:dyDescent="0.35">
      <c r="A219" s="343"/>
      <c r="B219" s="344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3"/>
      <c r="W219" s="343"/>
      <c r="X219" s="343"/>
      <c r="Y219" s="343"/>
      <c r="Z219" s="343"/>
      <c r="AA219" s="343"/>
      <c r="AB219" s="343"/>
      <c r="AC219" s="343"/>
      <c r="AD219" s="343"/>
      <c r="AE219" s="343"/>
      <c r="AF219" s="343"/>
      <c r="AG219" s="343"/>
      <c r="AH219" s="343"/>
      <c r="AI219" s="343"/>
      <c r="AJ219" s="343"/>
      <c r="AK219" s="343"/>
    </row>
    <row r="220" spans="1:37" ht="14.5" x14ac:dyDescent="0.35">
      <c r="A220" s="343"/>
      <c r="B220" s="344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343"/>
      <c r="AG220" s="343"/>
      <c r="AH220" s="343"/>
      <c r="AI220" s="343"/>
      <c r="AJ220" s="343"/>
      <c r="AK220" s="343"/>
    </row>
    <row r="221" spans="1:37" ht="14.5" x14ac:dyDescent="0.35">
      <c r="A221" s="343"/>
      <c r="B221" s="344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343"/>
      <c r="AG221" s="343"/>
      <c r="AH221" s="343"/>
      <c r="AI221" s="343"/>
      <c r="AJ221" s="343"/>
      <c r="AK221" s="343"/>
    </row>
    <row r="222" spans="1:37" ht="14.5" x14ac:dyDescent="0.35">
      <c r="A222" s="343"/>
      <c r="B222" s="344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343"/>
      <c r="AB222" s="343"/>
      <c r="AC222" s="343"/>
      <c r="AD222" s="343"/>
      <c r="AE222" s="343"/>
      <c r="AF222" s="343"/>
      <c r="AG222" s="343"/>
      <c r="AH222" s="343"/>
      <c r="AI222" s="343"/>
      <c r="AJ222" s="343"/>
      <c r="AK222" s="343"/>
    </row>
    <row r="223" spans="1:37" ht="14.5" x14ac:dyDescent="0.35">
      <c r="A223" s="343"/>
      <c r="B223" s="344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343"/>
      <c r="AB223" s="343"/>
      <c r="AC223" s="343"/>
      <c r="AD223" s="343"/>
      <c r="AE223" s="343"/>
      <c r="AF223" s="343"/>
      <c r="AG223" s="343"/>
      <c r="AH223" s="343"/>
      <c r="AI223" s="343"/>
      <c r="AJ223" s="343"/>
      <c r="AK223" s="343"/>
    </row>
    <row r="224" spans="1:37" ht="14.5" x14ac:dyDescent="0.35">
      <c r="A224" s="343"/>
      <c r="B224" s="344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343"/>
      <c r="AB224" s="343"/>
      <c r="AC224" s="343"/>
      <c r="AD224" s="343"/>
      <c r="AE224" s="343"/>
      <c r="AF224" s="343"/>
      <c r="AG224" s="343"/>
      <c r="AH224" s="343"/>
      <c r="AI224" s="343"/>
      <c r="AJ224" s="343"/>
      <c r="AK224" s="343"/>
    </row>
    <row r="225" spans="1:37" ht="14.5" x14ac:dyDescent="0.35">
      <c r="A225" s="343"/>
      <c r="B225" s="344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3"/>
      <c r="W225" s="343"/>
      <c r="X225" s="343"/>
      <c r="Y225" s="343"/>
      <c r="Z225" s="343"/>
      <c r="AA225" s="343"/>
      <c r="AB225" s="343"/>
      <c r="AC225" s="343"/>
      <c r="AD225" s="343"/>
      <c r="AE225" s="343"/>
      <c r="AF225" s="343"/>
      <c r="AG225" s="343"/>
      <c r="AH225" s="343"/>
      <c r="AI225" s="343"/>
      <c r="AJ225" s="343"/>
      <c r="AK225" s="343"/>
    </row>
    <row r="226" spans="1:37" ht="14.5" x14ac:dyDescent="0.35">
      <c r="A226" s="343"/>
      <c r="B226" s="344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343"/>
      <c r="AB226" s="343"/>
      <c r="AC226" s="343"/>
      <c r="AD226" s="343"/>
      <c r="AE226" s="343"/>
      <c r="AF226" s="343"/>
      <c r="AG226" s="343"/>
      <c r="AH226" s="343"/>
      <c r="AI226" s="343"/>
      <c r="AJ226" s="343"/>
      <c r="AK226" s="343"/>
    </row>
    <row r="227" spans="1:37" ht="14.5" x14ac:dyDescent="0.35">
      <c r="A227" s="343"/>
      <c r="B227" s="344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343"/>
      <c r="AG227" s="343"/>
      <c r="AH227" s="343"/>
      <c r="AI227" s="343"/>
      <c r="AJ227" s="343"/>
      <c r="AK227" s="343"/>
    </row>
    <row r="228" spans="1:37" ht="14.5" x14ac:dyDescent="0.35">
      <c r="A228" s="343"/>
      <c r="B228" s="344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343"/>
      <c r="AG228" s="343"/>
      <c r="AH228" s="343"/>
      <c r="AI228" s="343"/>
      <c r="AJ228" s="343"/>
      <c r="AK228" s="343"/>
    </row>
    <row r="229" spans="1:37" ht="14.5" x14ac:dyDescent="0.35">
      <c r="A229" s="343"/>
      <c r="B229" s="344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343"/>
      <c r="AG229" s="343"/>
      <c r="AH229" s="343"/>
      <c r="AI229" s="343"/>
      <c r="AJ229" s="343"/>
      <c r="AK229" s="343"/>
    </row>
    <row r="230" spans="1:37" ht="14.5" x14ac:dyDescent="0.35">
      <c r="A230" s="343"/>
      <c r="B230" s="344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343"/>
      <c r="AG230" s="343"/>
      <c r="AH230" s="343"/>
      <c r="AI230" s="343"/>
      <c r="AJ230" s="343"/>
      <c r="AK230" s="343"/>
    </row>
    <row r="231" spans="1:37" ht="14.5" x14ac:dyDescent="0.35">
      <c r="A231" s="343"/>
      <c r="B231" s="344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343"/>
      <c r="AB231" s="343"/>
      <c r="AC231" s="343"/>
      <c r="AD231" s="343"/>
      <c r="AE231" s="343"/>
      <c r="AF231" s="343"/>
      <c r="AG231" s="343"/>
      <c r="AH231" s="343"/>
      <c r="AI231" s="343"/>
      <c r="AJ231" s="343"/>
      <c r="AK231" s="343"/>
    </row>
    <row r="232" spans="1:37" ht="14.5" x14ac:dyDescent="0.35">
      <c r="A232" s="343"/>
      <c r="B232" s="344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43"/>
      <c r="AC232" s="343"/>
      <c r="AD232" s="343"/>
      <c r="AE232" s="343"/>
      <c r="AF232" s="343"/>
      <c r="AG232" s="343"/>
      <c r="AH232" s="343"/>
      <c r="AI232" s="343"/>
      <c r="AJ232" s="343"/>
      <c r="AK232" s="343"/>
    </row>
    <row r="233" spans="1:37" ht="14.5" x14ac:dyDescent="0.35">
      <c r="A233" s="141"/>
      <c r="B233" s="289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  <c r="AE233" s="141"/>
      <c r="AF233" s="141"/>
      <c r="AG233" s="141"/>
      <c r="AH233" s="141"/>
      <c r="AI233" s="141"/>
      <c r="AJ233" s="141"/>
      <c r="AK233" s="141"/>
    </row>
    <row r="234" spans="1:37" ht="14.5" x14ac:dyDescent="0.35">
      <c r="A234" s="141"/>
      <c r="B234" s="289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  <c r="AE234" s="141"/>
      <c r="AF234" s="141"/>
      <c r="AG234" s="141"/>
      <c r="AH234" s="141"/>
      <c r="AI234" s="141"/>
      <c r="AJ234" s="141"/>
      <c r="AK234" s="141"/>
    </row>
    <row r="235" spans="1:37" ht="14.5" x14ac:dyDescent="0.35">
      <c r="A235" s="141"/>
      <c r="B235" s="289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  <c r="AE235" s="141"/>
      <c r="AF235" s="141"/>
      <c r="AG235" s="141"/>
      <c r="AH235" s="141"/>
      <c r="AI235" s="141"/>
      <c r="AJ235" s="141"/>
      <c r="AK235" s="141"/>
    </row>
    <row r="236" spans="1:37" ht="14.5" x14ac:dyDescent="0.35">
      <c r="A236" s="141"/>
      <c r="B236" s="289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  <c r="AE236" s="141"/>
      <c r="AF236" s="141"/>
      <c r="AG236" s="141"/>
      <c r="AH236" s="141"/>
      <c r="AI236" s="141"/>
      <c r="AJ236" s="141"/>
      <c r="AK236" s="141"/>
    </row>
    <row r="237" spans="1:37" ht="14.5" x14ac:dyDescent="0.35">
      <c r="A237" s="141"/>
      <c r="B237" s="289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  <c r="AE237" s="141"/>
      <c r="AF237" s="141"/>
      <c r="AG237" s="141"/>
      <c r="AH237" s="141"/>
      <c r="AI237" s="141"/>
      <c r="AJ237" s="141"/>
      <c r="AK237" s="141"/>
    </row>
    <row r="238" spans="1:37" ht="14.5" x14ac:dyDescent="0.35">
      <c r="A238" s="141"/>
      <c r="B238" s="289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  <c r="AE238" s="141"/>
      <c r="AF238" s="141"/>
      <c r="AG238" s="141"/>
      <c r="AH238" s="141"/>
      <c r="AI238" s="141"/>
      <c r="AJ238" s="141"/>
      <c r="AK238" s="141"/>
    </row>
    <row r="239" spans="1:37" ht="14.5" x14ac:dyDescent="0.35">
      <c r="A239" s="141"/>
      <c r="B239" s="289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  <c r="AE239" s="141"/>
      <c r="AF239" s="141"/>
      <c r="AG239" s="141"/>
      <c r="AH239" s="141"/>
      <c r="AI239" s="141"/>
      <c r="AJ239" s="141"/>
      <c r="AK239" s="141"/>
    </row>
    <row r="240" spans="1:37" ht="14.5" x14ac:dyDescent="0.35">
      <c r="A240" s="141"/>
      <c r="B240" s="289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  <c r="AE240" s="141"/>
      <c r="AF240" s="141"/>
      <c r="AG240" s="141"/>
      <c r="AH240" s="141"/>
      <c r="AI240" s="141"/>
      <c r="AJ240" s="141"/>
      <c r="AK240" s="141"/>
    </row>
    <row r="241" spans="1:37" ht="14.5" x14ac:dyDescent="0.35">
      <c r="A241" s="141"/>
      <c r="B241" s="289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  <c r="AJ241" s="141"/>
      <c r="AK241" s="141"/>
    </row>
    <row r="242" spans="1:37" ht="14.5" x14ac:dyDescent="0.35">
      <c r="A242" s="141"/>
      <c r="B242" s="289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41"/>
      <c r="AJ242" s="141"/>
      <c r="AK242" s="141"/>
    </row>
    <row r="243" spans="1:37" ht="14.5" x14ac:dyDescent="0.35">
      <c r="A243" s="141"/>
      <c r="B243" s="289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  <c r="AH243" s="141"/>
      <c r="AI243" s="141"/>
      <c r="AJ243" s="141"/>
      <c r="AK243" s="141"/>
    </row>
    <row r="244" spans="1:37" ht="14.5" x14ac:dyDescent="0.35">
      <c r="A244" s="141"/>
      <c r="B244" s="289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41"/>
      <c r="AJ244" s="141"/>
      <c r="AK244" s="141"/>
    </row>
    <row r="245" spans="1:37" ht="14.5" x14ac:dyDescent="0.35">
      <c r="A245" s="141"/>
      <c r="B245" s="289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  <c r="AJ245" s="141"/>
      <c r="AK245" s="141"/>
    </row>
    <row r="246" spans="1:37" ht="14.5" x14ac:dyDescent="0.35">
      <c r="A246" s="141"/>
      <c r="B246" s="289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41"/>
      <c r="AJ246" s="141"/>
      <c r="AK246" s="141"/>
    </row>
    <row r="247" spans="1:37" ht="14.5" x14ac:dyDescent="0.35">
      <c r="A247" s="141"/>
      <c r="B247" s="289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  <c r="AJ247" s="141"/>
      <c r="AK247" s="141"/>
    </row>
    <row r="248" spans="1:37" ht="14.5" x14ac:dyDescent="0.35">
      <c r="A248" s="141"/>
      <c r="B248" s="289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41"/>
      <c r="AJ248" s="141"/>
      <c r="AK248" s="141"/>
    </row>
    <row r="249" spans="1:37" ht="14.5" x14ac:dyDescent="0.35">
      <c r="A249" s="141"/>
      <c r="B249" s="289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</row>
    <row r="250" spans="1:37" ht="14.5" x14ac:dyDescent="0.35">
      <c r="A250" s="141"/>
      <c r="B250" s="289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  <c r="AJ250" s="141"/>
      <c r="AK250" s="141"/>
    </row>
    <row r="251" spans="1:37" ht="14.5" x14ac:dyDescent="0.35">
      <c r="A251" s="141"/>
      <c r="B251" s="289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</row>
    <row r="252" spans="1:37" ht="14.5" x14ac:dyDescent="0.35">
      <c r="A252" s="141"/>
      <c r="B252" s="289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</row>
    <row r="253" spans="1:37" ht="14.5" x14ac:dyDescent="0.35">
      <c r="A253" s="141"/>
      <c r="B253" s="289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</row>
    <row r="254" spans="1:37" ht="14.5" x14ac:dyDescent="0.35">
      <c r="A254" s="141"/>
      <c r="B254" s="289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</row>
    <row r="255" spans="1:37" ht="14.5" x14ac:dyDescent="0.35">
      <c r="A255" s="141"/>
      <c r="B255" s="289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</row>
    <row r="256" spans="1:37" ht="14.5" x14ac:dyDescent="0.35">
      <c r="A256" s="141"/>
      <c r="B256" s="289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</row>
    <row r="257" spans="1:37" ht="14.5" x14ac:dyDescent="0.35">
      <c r="A257" s="141"/>
      <c r="B257" s="289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</row>
    <row r="258" spans="1:37" ht="14.5" x14ac:dyDescent="0.35">
      <c r="A258" s="141"/>
      <c r="B258" s="289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</row>
    <row r="259" spans="1:37" ht="14.5" x14ac:dyDescent="0.35">
      <c r="A259" s="141"/>
      <c r="B259" s="289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  <c r="AJ259" s="141"/>
      <c r="AK259" s="141"/>
    </row>
    <row r="260" spans="1:37" ht="14.5" x14ac:dyDescent="0.35">
      <c r="A260" s="141"/>
      <c r="B260" s="289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</row>
    <row r="261" spans="1:37" ht="14.5" x14ac:dyDescent="0.35">
      <c r="A261" s="141"/>
      <c r="B261" s="289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</row>
    <row r="262" spans="1:37" ht="14.5" x14ac:dyDescent="0.35">
      <c r="A262" s="141"/>
      <c r="B262" s="289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</row>
    <row r="263" spans="1:37" ht="14.5" x14ac:dyDescent="0.35">
      <c r="A263" s="141"/>
      <c r="B263" s="289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</row>
    <row r="264" spans="1:37" ht="14.5" x14ac:dyDescent="0.35">
      <c r="A264" s="141"/>
      <c r="B264" s="289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</row>
    <row r="265" spans="1:37" ht="14.5" x14ac:dyDescent="0.35">
      <c r="A265" s="141"/>
      <c r="B265" s="289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</row>
    <row r="266" spans="1:37" ht="14.5" x14ac:dyDescent="0.35">
      <c r="A266" s="141"/>
      <c r="B266" s="289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</row>
    <row r="267" spans="1:37" ht="14.5" x14ac:dyDescent="0.35">
      <c r="A267" s="141"/>
      <c r="B267" s="289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</row>
    <row r="268" spans="1:37" ht="14.5" x14ac:dyDescent="0.35">
      <c r="A268" s="141"/>
      <c r="B268" s="289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</row>
    <row r="269" spans="1:37" ht="14.5" x14ac:dyDescent="0.35">
      <c r="A269" s="141"/>
      <c r="B269" s="289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</row>
    <row r="270" spans="1:37" ht="14.5" x14ac:dyDescent="0.35">
      <c r="A270" s="141"/>
      <c r="B270" s="289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</row>
    <row r="271" spans="1:37" ht="14.5" x14ac:dyDescent="0.35">
      <c r="A271" s="141"/>
      <c r="B271" s="289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</row>
    <row r="272" spans="1:37" ht="14.5" x14ac:dyDescent="0.35">
      <c r="A272" s="141"/>
      <c r="B272" s="289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</row>
    <row r="273" spans="1:37" ht="14.5" x14ac:dyDescent="0.35">
      <c r="A273" s="141"/>
      <c r="B273" s="289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</row>
    <row r="274" spans="1:37" ht="14.5" x14ac:dyDescent="0.35">
      <c r="A274" s="141"/>
      <c r="B274" s="289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</row>
    <row r="275" spans="1:37" ht="14.5" x14ac:dyDescent="0.35">
      <c r="A275" s="141"/>
      <c r="B275" s="289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</row>
    <row r="276" spans="1:37" ht="14.5" x14ac:dyDescent="0.35">
      <c r="A276" s="141"/>
      <c r="B276" s="289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</row>
    <row r="277" spans="1:37" ht="14.5" x14ac:dyDescent="0.35">
      <c r="A277" s="141"/>
      <c r="B277" s="289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</row>
    <row r="278" spans="1:37" ht="14.5" x14ac:dyDescent="0.35">
      <c r="A278" s="141"/>
      <c r="B278" s="289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</row>
    <row r="279" spans="1:37" ht="14.5" x14ac:dyDescent="0.35">
      <c r="A279" s="141"/>
      <c r="B279" s="289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</row>
    <row r="280" spans="1:37" ht="14.5" x14ac:dyDescent="0.35">
      <c r="A280" s="141"/>
      <c r="B280" s="289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</row>
    <row r="281" spans="1:37" ht="14.5" x14ac:dyDescent="0.35">
      <c r="A281" s="141"/>
      <c r="B281" s="289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</row>
    <row r="282" spans="1:37" ht="14.5" x14ac:dyDescent="0.35">
      <c r="A282" s="141"/>
      <c r="B282" s="289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</row>
    <row r="283" spans="1:37" ht="14.5" x14ac:dyDescent="0.35">
      <c r="A283" s="141"/>
      <c r="B283" s="289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</row>
    <row r="284" spans="1:37" ht="14.5" x14ac:dyDescent="0.35">
      <c r="A284" s="141"/>
      <c r="B284" s="289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</row>
    <row r="285" spans="1:37" ht="14.5" x14ac:dyDescent="0.35">
      <c r="A285" s="141"/>
      <c r="B285" s="289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</row>
    <row r="286" spans="1:37" ht="14.5" x14ac:dyDescent="0.35">
      <c r="A286" s="141"/>
      <c r="B286" s="289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</row>
    <row r="287" spans="1:37" ht="14.5" x14ac:dyDescent="0.35">
      <c r="A287" s="141"/>
      <c r="B287" s="289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</row>
    <row r="288" spans="1:37" ht="14.5" x14ac:dyDescent="0.35">
      <c r="A288" s="141"/>
      <c r="B288" s="289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</row>
    <row r="289" spans="1:37" ht="14.5" x14ac:dyDescent="0.35">
      <c r="A289" s="141"/>
      <c r="B289" s="289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</row>
    <row r="290" spans="1:37" ht="14.5" x14ac:dyDescent="0.35">
      <c r="A290" s="141"/>
      <c r="B290" s="289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</row>
    <row r="291" spans="1:37" ht="14.5" x14ac:dyDescent="0.35">
      <c r="A291" s="141"/>
      <c r="B291" s="289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</row>
    <row r="292" spans="1:37" ht="14.5" x14ac:dyDescent="0.35">
      <c r="A292" s="141"/>
      <c r="B292" s="289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</row>
    <row r="293" spans="1:37" ht="14.5" x14ac:dyDescent="0.35">
      <c r="A293" s="141"/>
      <c r="B293" s="289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</row>
    <row r="294" spans="1:37" ht="14.5" x14ac:dyDescent="0.35">
      <c r="A294" s="141"/>
      <c r="B294" s="289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</row>
    <row r="295" spans="1:37" ht="14.5" x14ac:dyDescent="0.35">
      <c r="A295" s="141"/>
      <c r="B295" s="289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</row>
    <row r="296" spans="1:37" ht="14.5" x14ac:dyDescent="0.35">
      <c r="A296" s="141"/>
      <c r="B296" s="289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</row>
    <row r="297" spans="1:37" ht="14.5" x14ac:dyDescent="0.35">
      <c r="A297" s="141"/>
      <c r="B297" s="289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</row>
    <row r="298" spans="1:37" ht="14.5" x14ac:dyDescent="0.35">
      <c r="A298" s="141"/>
      <c r="B298" s="289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</row>
    <row r="299" spans="1:37" ht="14.5" x14ac:dyDescent="0.35">
      <c r="A299" s="141"/>
      <c r="B299" s="289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</row>
    <row r="300" spans="1:37" ht="14.5" x14ac:dyDescent="0.35">
      <c r="A300" s="141"/>
      <c r="B300" s="289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</row>
    <row r="301" spans="1:37" ht="14.5" x14ac:dyDescent="0.35">
      <c r="A301" s="141"/>
      <c r="B301" s="289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</row>
    <row r="302" spans="1:37" ht="14.5" x14ac:dyDescent="0.35">
      <c r="A302" s="141"/>
      <c r="B302" s="289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</row>
    <row r="303" spans="1:37" ht="14.5" x14ac:dyDescent="0.35">
      <c r="A303" s="141"/>
      <c r="B303" s="289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</row>
    <row r="304" spans="1:37" ht="14.5" x14ac:dyDescent="0.35">
      <c r="A304" s="141"/>
      <c r="B304" s="289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</row>
    <row r="305" spans="1:37" ht="14.5" x14ac:dyDescent="0.35">
      <c r="A305" s="141"/>
      <c r="B305" s="289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</row>
    <row r="306" spans="1:37" ht="14.5" x14ac:dyDescent="0.35">
      <c r="A306" s="141"/>
      <c r="B306" s="289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</row>
    <row r="307" spans="1:37" ht="14.5" x14ac:dyDescent="0.35">
      <c r="A307" s="141"/>
      <c r="B307" s="289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</row>
    <row r="308" spans="1:37" ht="14.5" x14ac:dyDescent="0.35">
      <c r="A308" s="141"/>
      <c r="B308" s="289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</row>
    <row r="309" spans="1:37" ht="14.5" x14ac:dyDescent="0.35">
      <c r="A309" s="141"/>
      <c r="B309" s="289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</row>
    <row r="310" spans="1:37" ht="14.5" x14ac:dyDescent="0.35">
      <c r="A310" s="141"/>
      <c r="B310" s="289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</row>
    <row r="311" spans="1:37" ht="14.5" x14ac:dyDescent="0.35">
      <c r="A311" s="141"/>
      <c r="B311" s="289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  <c r="AJ311" s="141"/>
      <c r="AK311" s="141"/>
    </row>
    <row r="312" spans="1:37" ht="14.5" x14ac:dyDescent="0.35">
      <c r="A312" s="141"/>
      <c r="B312" s="289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</row>
    <row r="313" spans="1:37" ht="14.5" x14ac:dyDescent="0.35">
      <c r="A313" s="141"/>
      <c r="B313" s="289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/>
    </row>
    <row r="314" spans="1:37" ht="14.5" x14ac:dyDescent="0.35">
      <c r="A314" s="141"/>
      <c r="B314" s="289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</row>
    <row r="315" spans="1:37" ht="14.5" x14ac:dyDescent="0.35">
      <c r="A315" s="141"/>
      <c r="B315" s="289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/>
    </row>
    <row r="316" spans="1:37" ht="14.5" x14ac:dyDescent="0.35">
      <c r="A316" s="141"/>
      <c r="B316" s="289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</row>
    <row r="317" spans="1:37" ht="14.5" x14ac:dyDescent="0.35">
      <c r="A317" s="141"/>
      <c r="B317" s="289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  <c r="AJ317" s="141"/>
      <c r="AK317" s="141"/>
    </row>
    <row r="318" spans="1:37" ht="14.5" x14ac:dyDescent="0.35">
      <c r="A318" s="141"/>
      <c r="B318" s="289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</row>
    <row r="319" spans="1:37" ht="14.5" x14ac:dyDescent="0.35">
      <c r="A319" s="141"/>
      <c r="B319" s="289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</row>
    <row r="320" spans="1:37" ht="14.5" x14ac:dyDescent="0.35">
      <c r="A320" s="141"/>
      <c r="B320" s="289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</row>
    <row r="321" spans="1:37" ht="14.5" x14ac:dyDescent="0.35">
      <c r="A321" s="141"/>
      <c r="B321" s="289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</row>
    <row r="322" spans="1:37" ht="14.5" x14ac:dyDescent="0.35">
      <c r="A322" s="141"/>
      <c r="B322" s="289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  <c r="AJ322" s="141"/>
      <c r="AK322" s="141"/>
    </row>
    <row r="323" spans="1:37" ht="14.5" x14ac:dyDescent="0.35">
      <c r="A323" s="141"/>
      <c r="B323" s="289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  <c r="AJ323" s="141"/>
      <c r="AK323" s="141"/>
    </row>
    <row r="324" spans="1:37" ht="14.5" x14ac:dyDescent="0.35">
      <c r="A324" s="141"/>
      <c r="B324" s="289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</row>
    <row r="325" spans="1:37" ht="14.5" x14ac:dyDescent="0.35">
      <c r="A325" s="141"/>
      <c r="B325" s="289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</row>
    <row r="326" spans="1:37" ht="14.5" x14ac:dyDescent="0.35">
      <c r="A326" s="141"/>
      <c r="B326" s="289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</row>
    <row r="327" spans="1:37" ht="14.5" x14ac:dyDescent="0.35">
      <c r="A327" s="141"/>
      <c r="B327" s="289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</row>
    <row r="328" spans="1:37" ht="14.5" x14ac:dyDescent="0.35">
      <c r="A328" s="141"/>
      <c r="B328" s="289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</row>
    <row r="329" spans="1:37" ht="14.5" x14ac:dyDescent="0.35">
      <c r="A329" s="141"/>
      <c r="B329" s="289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</row>
    <row r="330" spans="1:37" ht="14.5" x14ac:dyDescent="0.35">
      <c r="A330" s="141"/>
      <c r="B330" s="289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</row>
    <row r="331" spans="1:37" ht="14.5" x14ac:dyDescent="0.35">
      <c r="A331" s="141"/>
      <c r="B331" s="289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</row>
    <row r="332" spans="1:37" ht="14.5" x14ac:dyDescent="0.35">
      <c r="A332" s="141"/>
      <c r="B332" s="289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</row>
    <row r="333" spans="1:37" ht="14.5" x14ac:dyDescent="0.35">
      <c r="A333" s="141"/>
      <c r="B333" s="289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</row>
    <row r="334" spans="1:37" ht="14.5" x14ac:dyDescent="0.35">
      <c r="A334" s="141"/>
      <c r="B334" s="289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</row>
    <row r="335" spans="1:37" ht="14.5" x14ac:dyDescent="0.35">
      <c r="A335" s="141"/>
      <c r="B335" s="289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</row>
    <row r="336" spans="1:37" ht="14.5" x14ac:dyDescent="0.35">
      <c r="A336" s="141"/>
      <c r="B336" s="289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  <c r="AJ336" s="141"/>
      <c r="AK336" s="141"/>
    </row>
    <row r="337" spans="1:37" ht="14.5" x14ac:dyDescent="0.35">
      <c r="A337" s="141"/>
      <c r="B337" s="289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</row>
    <row r="338" spans="1:37" ht="14.5" x14ac:dyDescent="0.35">
      <c r="A338" s="141"/>
      <c r="B338" s="289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</row>
    <row r="339" spans="1:37" ht="14.5" x14ac:dyDescent="0.35">
      <c r="A339" s="141"/>
      <c r="B339" s="289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</row>
    <row r="340" spans="1:37" ht="14.5" x14ac:dyDescent="0.35">
      <c r="A340" s="141"/>
      <c r="B340" s="289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</row>
    <row r="341" spans="1:37" ht="14.5" x14ac:dyDescent="0.35">
      <c r="A341" s="141"/>
      <c r="B341" s="289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</row>
    <row r="342" spans="1:37" ht="14.5" x14ac:dyDescent="0.35">
      <c r="A342" s="141"/>
      <c r="B342" s="289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</row>
    <row r="343" spans="1:37" ht="14.5" x14ac:dyDescent="0.35">
      <c r="A343" s="141"/>
      <c r="B343" s="289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</row>
    <row r="344" spans="1:37" ht="14.5" x14ac:dyDescent="0.35">
      <c r="A344" s="141"/>
      <c r="B344" s="289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</row>
    <row r="345" spans="1:37" ht="14.5" x14ac:dyDescent="0.35">
      <c r="A345" s="141"/>
      <c r="B345" s="289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</row>
    <row r="346" spans="1:37" ht="14.5" x14ac:dyDescent="0.35">
      <c r="A346" s="141"/>
      <c r="B346" s="289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</row>
    <row r="347" spans="1:37" ht="14.5" x14ac:dyDescent="0.35">
      <c r="A347" s="141"/>
      <c r="B347" s="289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</row>
    <row r="348" spans="1:37" ht="14.5" x14ac:dyDescent="0.35">
      <c r="A348" s="141"/>
      <c r="B348" s="289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</row>
    <row r="349" spans="1:37" ht="14.5" x14ac:dyDescent="0.35">
      <c r="A349" s="141"/>
      <c r="B349" s="289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</row>
    <row r="350" spans="1:37" ht="14.5" x14ac:dyDescent="0.35">
      <c r="A350" s="141"/>
      <c r="B350" s="289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</row>
    <row r="351" spans="1:37" ht="14.5" x14ac:dyDescent="0.35">
      <c r="A351" s="141"/>
      <c r="B351" s="289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</row>
    <row r="352" spans="1:37" ht="14.5" x14ac:dyDescent="0.35">
      <c r="A352" s="141"/>
      <c r="B352" s="289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</row>
    <row r="353" spans="1:37" ht="14.5" x14ac:dyDescent="0.35">
      <c r="A353" s="141"/>
      <c r="B353" s="289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  <c r="AJ353" s="141"/>
      <c r="AK353" s="141"/>
    </row>
    <row r="354" spans="1:37" ht="14.5" x14ac:dyDescent="0.35">
      <c r="A354" s="141"/>
      <c r="B354" s="289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</row>
    <row r="355" spans="1:37" ht="14.5" x14ac:dyDescent="0.35">
      <c r="A355" s="141"/>
      <c r="B355" s="289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</row>
    <row r="356" spans="1:37" ht="14.5" x14ac:dyDescent="0.35">
      <c r="A356" s="141"/>
      <c r="B356" s="289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</row>
    <row r="357" spans="1:37" ht="14.5" x14ac:dyDescent="0.35">
      <c r="A357" s="141"/>
      <c r="B357" s="289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</row>
    <row r="358" spans="1:37" ht="14.5" x14ac:dyDescent="0.35">
      <c r="A358" s="141"/>
      <c r="B358" s="289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</row>
    <row r="359" spans="1:37" ht="14.5" x14ac:dyDescent="0.35">
      <c r="A359" s="141"/>
      <c r="B359" s="289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</row>
    <row r="360" spans="1:37" ht="14.5" x14ac:dyDescent="0.35">
      <c r="A360" s="141"/>
      <c r="B360" s="289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</row>
    <row r="361" spans="1:37" ht="14.5" x14ac:dyDescent="0.35">
      <c r="A361" s="141"/>
      <c r="B361" s="289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</row>
    <row r="362" spans="1:37" ht="14.5" x14ac:dyDescent="0.35">
      <c r="A362" s="141"/>
      <c r="B362" s="289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</row>
    <row r="363" spans="1:37" ht="14.5" x14ac:dyDescent="0.35">
      <c r="A363" s="141"/>
      <c r="B363" s="289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</row>
    <row r="364" spans="1:37" ht="14.5" x14ac:dyDescent="0.35">
      <c r="A364" s="141"/>
      <c r="B364" s="289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</row>
    <row r="365" spans="1:37" ht="14.5" x14ac:dyDescent="0.35">
      <c r="A365" s="141"/>
      <c r="B365" s="289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</row>
    <row r="366" spans="1:37" ht="14.5" x14ac:dyDescent="0.35">
      <c r="A366" s="141"/>
      <c r="B366" s="289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</row>
    <row r="367" spans="1:37" ht="14.5" x14ac:dyDescent="0.35">
      <c r="A367" s="141"/>
      <c r="B367" s="289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</row>
    <row r="368" spans="1:37" ht="14.5" x14ac:dyDescent="0.35">
      <c r="A368" s="141"/>
      <c r="B368" s="289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</row>
    <row r="369" spans="1:37" ht="14.5" x14ac:dyDescent="0.35">
      <c r="A369" s="141"/>
      <c r="B369" s="289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</row>
    <row r="370" spans="1:37" ht="14.5" x14ac:dyDescent="0.35">
      <c r="A370" s="141"/>
      <c r="B370" s="289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</row>
    <row r="371" spans="1:37" ht="14.5" x14ac:dyDescent="0.35">
      <c r="A371" s="141"/>
      <c r="B371" s="289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</row>
    <row r="372" spans="1:37" ht="14.5" x14ac:dyDescent="0.35">
      <c r="A372" s="141"/>
      <c r="B372" s="289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  <c r="AJ372" s="141"/>
      <c r="AK372" s="141"/>
    </row>
    <row r="373" spans="1:37" ht="14.5" x14ac:dyDescent="0.35">
      <c r="A373" s="141"/>
      <c r="B373" s="289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  <c r="AJ373" s="141"/>
      <c r="AK373" s="141"/>
    </row>
    <row r="374" spans="1:37" ht="14.5" x14ac:dyDescent="0.35">
      <c r="A374" s="141"/>
      <c r="B374" s="289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  <c r="AJ374" s="141"/>
      <c r="AK374" s="141"/>
    </row>
    <row r="375" spans="1:37" ht="14.5" x14ac:dyDescent="0.35">
      <c r="A375" s="141"/>
      <c r="B375" s="289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</row>
    <row r="376" spans="1:37" ht="14.5" x14ac:dyDescent="0.35">
      <c r="A376" s="141"/>
      <c r="B376" s="289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  <c r="AJ376" s="141"/>
      <c r="AK376" s="141"/>
    </row>
    <row r="377" spans="1:37" ht="14.5" x14ac:dyDescent="0.35">
      <c r="A377" s="141"/>
      <c r="B377" s="289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</row>
    <row r="378" spans="1:37" ht="14.5" x14ac:dyDescent="0.35">
      <c r="A378" s="141"/>
      <c r="B378" s="289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  <c r="AJ378" s="141"/>
      <c r="AK378" s="141"/>
    </row>
    <row r="379" spans="1:37" ht="14.5" x14ac:dyDescent="0.35">
      <c r="A379" s="141"/>
      <c r="B379" s="289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</row>
    <row r="380" spans="1:37" ht="14.5" x14ac:dyDescent="0.35">
      <c r="A380" s="141"/>
      <c r="B380" s="289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</row>
    <row r="381" spans="1:37" ht="14.5" x14ac:dyDescent="0.35">
      <c r="A381" s="141"/>
      <c r="B381" s="289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/>
    </row>
    <row r="382" spans="1:37" ht="14.5" x14ac:dyDescent="0.35">
      <c r="A382" s="141"/>
      <c r="B382" s="289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  <c r="AJ382" s="141"/>
      <c r="AK382" s="141"/>
    </row>
    <row r="383" spans="1:37" ht="14.5" x14ac:dyDescent="0.35">
      <c r="A383" s="141"/>
      <c r="B383" s="289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  <c r="AJ383" s="141"/>
      <c r="AK383" s="141"/>
    </row>
    <row r="384" spans="1:37" ht="14.5" x14ac:dyDescent="0.35">
      <c r="A384" s="141"/>
      <c r="B384" s="289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  <c r="AJ384" s="141"/>
      <c r="AK384" s="141"/>
    </row>
    <row r="385" spans="1:37" ht="14.5" x14ac:dyDescent="0.35">
      <c r="A385" s="141"/>
      <c r="B385" s="289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/>
    </row>
    <row r="386" spans="1:37" ht="14.5" x14ac:dyDescent="0.35">
      <c r="A386" s="141"/>
      <c r="B386" s="289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</row>
    <row r="387" spans="1:37" ht="14.5" x14ac:dyDescent="0.35">
      <c r="A387" s="141"/>
      <c r="B387" s="289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</row>
    <row r="388" spans="1:37" ht="14.5" x14ac:dyDescent="0.35">
      <c r="A388" s="141"/>
      <c r="B388" s="289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</row>
    <row r="389" spans="1:37" ht="14.5" x14ac:dyDescent="0.35">
      <c r="A389" s="141"/>
      <c r="B389" s="289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/>
    </row>
    <row r="390" spans="1:37" ht="14.5" x14ac:dyDescent="0.35">
      <c r="A390" s="141"/>
      <c r="B390" s="289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</row>
    <row r="391" spans="1:37" ht="14.5" x14ac:dyDescent="0.35">
      <c r="A391" s="141"/>
      <c r="B391" s="289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</row>
    <row r="392" spans="1:37" ht="14.5" x14ac:dyDescent="0.35">
      <c r="A392" s="141"/>
      <c r="B392" s="289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</row>
    <row r="393" spans="1:37" ht="14.5" x14ac:dyDescent="0.35">
      <c r="A393" s="141"/>
      <c r="B393" s="289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</row>
    <row r="394" spans="1:37" ht="14.5" x14ac:dyDescent="0.35">
      <c r="A394" s="141"/>
      <c r="B394" s="289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</row>
    <row r="395" spans="1:37" ht="14.5" x14ac:dyDescent="0.35">
      <c r="A395" s="141"/>
      <c r="B395" s="289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</row>
    <row r="396" spans="1:37" ht="14.5" x14ac:dyDescent="0.35">
      <c r="A396" s="141"/>
      <c r="B396" s="289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</row>
    <row r="397" spans="1:37" ht="14.5" x14ac:dyDescent="0.35">
      <c r="A397" s="141"/>
      <c r="B397" s="289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</row>
    <row r="398" spans="1:37" ht="14.5" x14ac:dyDescent="0.35">
      <c r="A398" s="141"/>
      <c r="B398" s="289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</row>
    <row r="399" spans="1:37" ht="14.5" x14ac:dyDescent="0.35">
      <c r="A399" s="141"/>
      <c r="B399" s="289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</row>
    <row r="400" spans="1:37" ht="14.5" x14ac:dyDescent="0.35">
      <c r="A400" s="141"/>
      <c r="B400" s="289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  <c r="AJ400" s="141"/>
      <c r="AK400" s="141"/>
    </row>
    <row r="401" spans="1:37" ht="14.5" x14ac:dyDescent="0.35">
      <c r="A401" s="141"/>
      <c r="B401" s="289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  <c r="AJ401" s="141"/>
      <c r="AK401" s="141"/>
    </row>
    <row r="402" spans="1:37" ht="14.5" x14ac:dyDescent="0.35">
      <c r="A402" s="141"/>
      <c r="B402" s="289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  <c r="AJ402" s="141"/>
      <c r="AK402" s="141"/>
    </row>
    <row r="403" spans="1:37" ht="14.5" x14ac:dyDescent="0.35">
      <c r="A403" s="141"/>
      <c r="B403" s="289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</row>
    <row r="404" spans="1:37" ht="14.5" x14ac:dyDescent="0.35">
      <c r="A404" s="141"/>
      <c r="B404" s="289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</row>
    <row r="405" spans="1:37" ht="14.5" x14ac:dyDescent="0.35">
      <c r="A405" s="141"/>
      <c r="B405" s="289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</row>
    <row r="406" spans="1:37" ht="14.5" x14ac:dyDescent="0.35">
      <c r="A406" s="141"/>
      <c r="B406" s="289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</row>
    <row r="407" spans="1:37" ht="14.5" x14ac:dyDescent="0.35">
      <c r="A407" s="141"/>
      <c r="B407" s="289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  <c r="AJ407" s="141"/>
      <c r="AK407" s="141"/>
    </row>
    <row r="408" spans="1:37" ht="14.5" x14ac:dyDescent="0.35">
      <c r="A408" s="141"/>
      <c r="B408" s="289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  <c r="AJ408" s="141"/>
      <c r="AK408" s="141"/>
    </row>
    <row r="409" spans="1:37" ht="14.5" x14ac:dyDescent="0.35">
      <c r="A409" s="141"/>
      <c r="B409" s="289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</row>
    <row r="410" spans="1:37" ht="14.5" x14ac:dyDescent="0.35">
      <c r="A410" s="141"/>
      <c r="B410" s="289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</row>
    <row r="411" spans="1:37" ht="14.5" x14ac:dyDescent="0.35">
      <c r="A411" s="141"/>
      <c r="B411" s="289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</row>
    <row r="412" spans="1:37" ht="14.5" x14ac:dyDescent="0.35">
      <c r="A412" s="141"/>
      <c r="B412" s="289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</row>
    <row r="413" spans="1:37" ht="14.5" x14ac:dyDescent="0.35">
      <c r="A413" s="141"/>
      <c r="B413" s="289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</row>
    <row r="414" spans="1:37" ht="14.5" x14ac:dyDescent="0.35">
      <c r="A414" s="141"/>
      <c r="B414" s="289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</row>
    <row r="415" spans="1:37" ht="14.5" x14ac:dyDescent="0.35">
      <c r="A415" s="141"/>
      <c r="B415" s="289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  <c r="AJ415" s="141"/>
      <c r="AK415" s="141"/>
    </row>
    <row r="416" spans="1:37" ht="14.5" x14ac:dyDescent="0.35">
      <c r="A416" s="141"/>
      <c r="B416" s="289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</row>
    <row r="417" spans="1:37" ht="14.5" x14ac:dyDescent="0.35">
      <c r="A417" s="141"/>
      <c r="B417" s="289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  <c r="AJ417" s="141"/>
      <c r="AK417" s="141"/>
    </row>
    <row r="418" spans="1:37" ht="14.5" x14ac:dyDescent="0.35">
      <c r="A418" s="141"/>
      <c r="B418" s="289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</row>
    <row r="419" spans="1:37" ht="14.5" x14ac:dyDescent="0.35">
      <c r="A419" s="141"/>
      <c r="B419" s="289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  <c r="AJ419" s="141"/>
      <c r="AK419" s="141"/>
    </row>
    <row r="420" spans="1:37" ht="14.5" x14ac:dyDescent="0.35">
      <c r="A420" s="141"/>
      <c r="B420" s="289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</row>
    <row r="421" spans="1:37" ht="14.5" x14ac:dyDescent="0.35">
      <c r="A421" s="141"/>
      <c r="B421" s="289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</row>
    <row r="422" spans="1:37" ht="14.5" x14ac:dyDescent="0.35">
      <c r="A422" s="141"/>
      <c r="B422" s="289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</row>
    <row r="423" spans="1:37" ht="14.5" x14ac:dyDescent="0.35">
      <c r="A423" s="141"/>
      <c r="B423" s="289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</row>
    <row r="424" spans="1:37" ht="14.5" x14ac:dyDescent="0.35">
      <c r="A424" s="141"/>
      <c r="B424" s="289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</row>
    <row r="425" spans="1:37" ht="14.5" x14ac:dyDescent="0.35">
      <c r="A425" s="141"/>
      <c r="B425" s="289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</row>
    <row r="426" spans="1:37" ht="14.5" x14ac:dyDescent="0.35">
      <c r="A426" s="141"/>
      <c r="B426" s="289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</row>
    <row r="427" spans="1:37" ht="14.5" x14ac:dyDescent="0.35">
      <c r="A427" s="141"/>
      <c r="B427" s="289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</row>
    <row r="428" spans="1:37" ht="14.5" x14ac:dyDescent="0.35">
      <c r="A428" s="141"/>
      <c r="B428" s="289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</row>
    <row r="429" spans="1:37" ht="14.5" x14ac:dyDescent="0.35">
      <c r="A429" s="141"/>
      <c r="B429" s="289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</row>
    <row r="430" spans="1:37" ht="14.5" x14ac:dyDescent="0.35">
      <c r="A430" s="141"/>
      <c r="B430" s="289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</row>
    <row r="431" spans="1:37" ht="14.5" x14ac:dyDescent="0.35">
      <c r="A431" s="141"/>
      <c r="B431" s="289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</row>
    <row r="432" spans="1:37" ht="14.5" x14ac:dyDescent="0.35">
      <c r="A432" s="141"/>
      <c r="B432" s="289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</row>
    <row r="433" spans="1:37" ht="14.5" x14ac:dyDescent="0.35">
      <c r="A433" s="141"/>
      <c r="B433" s="289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</row>
    <row r="434" spans="1:37" ht="14.5" x14ac:dyDescent="0.35">
      <c r="A434" s="141"/>
      <c r="B434" s="289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</row>
    <row r="435" spans="1:37" ht="14.5" x14ac:dyDescent="0.35">
      <c r="A435" s="141"/>
      <c r="B435" s="289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</row>
    <row r="436" spans="1:37" ht="14.5" x14ac:dyDescent="0.35">
      <c r="A436" s="141"/>
      <c r="B436" s="289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</row>
    <row r="437" spans="1:37" ht="14.5" x14ac:dyDescent="0.35">
      <c r="A437" s="141"/>
      <c r="B437" s="289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</row>
    <row r="438" spans="1:37" ht="14.5" x14ac:dyDescent="0.35">
      <c r="A438" s="141"/>
      <c r="B438" s="289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</row>
    <row r="439" spans="1:37" ht="14.5" x14ac:dyDescent="0.35">
      <c r="A439" s="141"/>
      <c r="B439" s="289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</row>
    <row r="440" spans="1:37" ht="14.5" x14ac:dyDescent="0.35">
      <c r="A440" s="141"/>
      <c r="B440" s="289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</row>
    <row r="441" spans="1:37" ht="14.5" x14ac:dyDescent="0.35">
      <c r="A441" s="141"/>
      <c r="B441" s="289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</row>
    <row r="442" spans="1:37" ht="14.5" x14ac:dyDescent="0.35">
      <c r="A442" s="141"/>
      <c r="B442" s="289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</row>
    <row r="443" spans="1:37" ht="14.5" x14ac:dyDescent="0.35">
      <c r="A443" s="141"/>
      <c r="B443" s="289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</row>
    <row r="444" spans="1:37" ht="14.5" x14ac:dyDescent="0.35">
      <c r="A444" s="141"/>
      <c r="B444" s="289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</row>
    <row r="445" spans="1:37" ht="14.5" x14ac:dyDescent="0.35">
      <c r="A445" s="141"/>
      <c r="B445" s="289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</row>
    <row r="446" spans="1:37" ht="14.5" x14ac:dyDescent="0.35">
      <c r="A446" s="141"/>
      <c r="B446" s="289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  <c r="AJ446" s="141"/>
      <c r="AK446" s="141"/>
    </row>
    <row r="447" spans="1:37" ht="14.5" x14ac:dyDescent="0.35">
      <c r="A447" s="141"/>
      <c r="B447" s="289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/>
    </row>
    <row r="448" spans="1:37" ht="14.5" x14ac:dyDescent="0.35">
      <c r="A448" s="141"/>
      <c r="B448" s="289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</row>
    <row r="449" spans="1:37" ht="14.5" x14ac:dyDescent="0.35">
      <c r="A449" s="141"/>
      <c r="B449" s="289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</row>
    <row r="450" spans="1:37" ht="14.5" x14ac:dyDescent="0.35">
      <c r="A450" s="141"/>
      <c r="B450" s="289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</row>
    <row r="451" spans="1:37" ht="14.5" x14ac:dyDescent="0.35">
      <c r="A451" s="141"/>
      <c r="B451" s="289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</row>
    <row r="452" spans="1:37" ht="14.5" x14ac:dyDescent="0.35">
      <c r="A452" s="141"/>
      <c r="B452" s="289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</row>
    <row r="453" spans="1:37" ht="14.5" x14ac:dyDescent="0.35">
      <c r="A453" s="141"/>
      <c r="B453" s="289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</row>
    <row r="454" spans="1:37" ht="14.5" x14ac:dyDescent="0.35">
      <c r="A454" s="141"/>
      <c r="B454" s="289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</row>
    <row r="455" spans="1:37" ht="14.5" x14ac:dyDescent="0.35">
      <c r="A455" s="141"/>
      <c r="B455" s="289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</row>
    <row r="456" spans="1:37" ht="14.5" x14ac:dyDescent="0.35">
      <c r="A456" s="141"/>
      <c r="B456" s="289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</row>
    <row r="457" spans="1:37" ht="14.5" x14ac:dyDescent="0.35">
      <c r="A457" s="141"/>
      <c r="B457" s="289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</row>
    <row r="458" spans="1:37" ht="14.5" x14ac:dyDescent="0.35">
      <c r="A458" s="141"/>
      <c r="B458" s="289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</row>
    <row r="459" spans="1:37" ht="14.5" x14ac:dyDescent="0.35">
      <c r="A459" s="141"/>
      <c r="B459" s="289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</row>
    <row r="460" spans="1:37" ht="14.5" x14ac:dyDescent="0.35">
      <c r="A460" s="141"/>
      <c r="B460" s="289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</row>
    <row r="461" spans="1:37" ht="14.5" x14ac:dyDescent="0.35">
      <c r="A461" s="141"/>
      <c r="B461" s="289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</row>
    <row r="462" spans="1:37" ht="14.5" x14ac:dyDescent="0.35">
      <c r="A462" s="141"/>
      <c r="B462" s="289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</row>
    <row r="463" spans="1:37" ht="14.5" x14ac:dyDescent="0.35">
      <c r="A463" s="141"/>
      <c r="B463" s="289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</row>
    <row r="464" spans="1:37" ht="14.5" x14ac:dyDescent="0.35">
      <c r="A464" s="141"/>
      <c r="B464" s="289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</row>
    <row r="465" spans="1:37" ht="14.5" x14ac:dyDescent="0.35">
      <c r="A465" s="141"/>
      <c r="B465" s="289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</row>
    <row r="466" spans="1:37" ht="14.5" x14ac:dyDescent="0.35">
      <c r="A466" s="141"/>
      <c r="B466" s="289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</row>
    <row r="467" spans="1:37" ht="14.5" x14ac:dyDescent="0.35">
      <c r="A467" s="141"/>
      <c r="B467" s="289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</row>
    <row r="468" spans="1:37" ht="14.5" x14ac:dyDescent="0.35">
      <c r="A468" s="141"/>
      <c r="B468" s="289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</row>
    <row r="469" spans="1:37" ht="14.5" x14ac:dyDescent="0.35">
      <c r="A469" s="141"/>
      <c r="B469" s="289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</row>
    <row r="470" spans="1:37" ht="14.5" x14ac:dyDescent="0.35">
      <c r="A470" s="141"/>
      <c r="B470" s="289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</row>
    <row r="471" spans="1:37" ht="14.5" x14ac:dyDescent="0.35">
      <c r="A471" s="141"/>
      <c r="B471" s="289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</row>
    <row r="472" spans="1:37" ht="14.5" x14ac:dyDescent="0.35">
      <c r="A472" s="141"/>
      <c r="B472" s="289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</row>
    <row r="473" spans="1:37" ht="14.5" x14ac:dyDescent="0.35">
      <c r="A473" s="141"/>
      <c r="B473" s="289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</row>
    <row r="474" spans="1:37" ht="14.5" x14ac:dyDescent="0.35">
      <c r="A474" s="141"/>
      <c r="B474" s="289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</row>
    <row r="475" spans="1:37" ht="14.5" x14ac:dyDescent="0.35">
      <c r="A475" s="141"/>
      <c r="B475" s="289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</row>
    <row r="476" spans="1:37" ht="14.5" x14ac:dyDescent="0.35">
      <c r="A476" s="141"/>
      <c r="B476" s="289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</row>
    <row r="477" spans="1:37" ht="14.5" x14ac:dyDescent="0.35">
      <c r="A477" s="141"/>
      <c r="B477" s="289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</row>
    <row r="478" spans="1:37" ht="14.5" x14ac:dyDescent="0.35">
      <c r="A478" s="141"/>
      <c r="B478" s="289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</row>
    <row r="479" spans="1:37" ht="14.5" x14ac:dyDescent="0.35">
      <c r="A479" s="141"/>
      <c r="B479" s="289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</row>
    <row r="480" spans="1:37" ht="14.5" x14ac:dyDescent="0.35">
      <c r="A480" s="141"/>
      <c r="B480" s="289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</row>
    <row r="481" spans="1:37" ht="14.5" x14ac:dyDescent="0.35">
      <c r="A481" s="141"/>
      <c r="B481" s="289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</row>
    <row r="482" spans="1:37" ht="14.5" x14ac:dyDescent="0.35">
      <c r="A482" s="141"/>
      <c r="B482" s="289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</row>
    <row r="483" spans="1:37" ht="14.5" x14ac:dyDescent="0.35">
      <c r="A483" s="141"/>
      <c r="B483" s="289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</row>
    <row r="484" spans="1:37" ht="14.5" x14ac:dyDescent="0.35">
      <c r="A484" s="141"/>
      <c r="B484" s="289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</row>
    <row r="485" spans="1:37" ht="14.5" x14ac:dyDescent="0.35">
      <c r="A485" s="141"/>
      <c r="B485" s="289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</row>
    <row r="486" spans="1:37" ht="14.5" x14ac:dyDescent="0.35">
      <c r="A486" s="141"/>
      <c r="B486" s="289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</row>
    <row r="487" spans="1:37" ht="14.5" x14ac:dyDescent="0.35">
      <c r="A487" s="141"/>
      <c r="B487" s="289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</row>
    <row r="488" spans="1:37" ht="14.5" x14ac:dyDescent="0.35">
      <c r="A488" s="141"/>
      <c r="B488" s="289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</row>
    <row r="489" spans="1:37" ht="14.5" x14ac:dyDescent="0.35">
      <c r="A489" s="141"/>
      <c r="B489" s="289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</row>
    <row r="490" spans="1:37" ht="14.5" x14ac:dyDescent="0.35">
      <c r="A490" s="141"/>
      <c r="B490" s="289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</row>
    <row r="491" spans="1:37" ht="14.5" x14ac:dyDescent="0.35">
      <c r="A491" s="141"/>
      <c r="B491" s="289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</row>
    <row r="492" spans="1:37" ht="14.5" x14ac:dyDescent="0.35">
      <c r="A492" s="141"/>
      <c r="B492" s="289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</row>
    <row r="493" spans="1:37" ht="14.5" x14ac:dyDescent="0.35">
      <c r="A493" s="141"/>
      <c r="B493" s="289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</row>
    <row r="494" spans="1:37" ht="14.5" x14ac:dyDescent="0.35">
      <c r="A494" s="141"/>
      <c r="B494" s="289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</row>
    <row r="495" spans="1:37" ht="14.5" x14ac:dyDescent="0.35">
      <c r="A495" s="141"/>
      <c r="B495" s="289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</row>
    <row r="496" spans="1:37" ht="14.5" x14ac:dyDescent="0.35">
      <c r="A496" s="141"/>
      <c r="B496" s="289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</row>
    <row r="497" spans="1:37" ht="14.5" x14ac:dyDescent="0.35">
      <c r="A497" s="141"/>
      <c r="B497" s="289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</row>
    <row r="498" spans="1:37" ht="14.5" x14ac:dyDescent="0.35">
      <c r="A498" s="141"/>
      <c r="B498" s="289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</row>
    <row r="499" spans="1:37" ht="14.5" x14ac:dyDescent="0.35">
      <c r="A499" s="141"/>
      <c r="B499" s="289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</row>
    <row r="500" spans="1:37" ht="14.5" x14ac:dyDescent="0.35">
      <c r="A500" s="141"/>
      <c r="B500" s="289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</row>
    <row r="501" spans="1:37" ht="14.5" x14ac:dyDescent="0.35">
      <c r="A501" s="141"/>
      <c r="B501" s="289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</row>
    <row r="502" spans="1:37" ht="14.5" x14ac:dyDescent="0.35">
      <c r="A502" s="141"/>
      <c r="B502" s="289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</row>
    <row r="503" spans="1:37" ht="14.5" x14ac:dyDescent="0.35">
      <c r="A503" s="141"/>
      <c r="B503" s="289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</row>
    <row r="504" spans="1:37" ht="14.5" x14ac:dyDescent="0.35">
      <c r="A504" s="141"/>
      <c r="B504" s="289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</row>
    <row r="505" spans="1:37" ht="14.5" x14ac:dyDescent="0.35">
      <c r="A505" s="141"/>
      <c r="B505" s="289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</row>
    <row r="506" spans="1:37" ht="14.5" x14ac:dyDescent="0.35">
      <c r="A506" s="141"/>
      <c r="B506" s="289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</row>
    <row r="507" spans="1:37" ht="14.5" x14ac:dyDescent="0.35">
      <c r="A507" s="141"/>
      <c r="B507" s="289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</row>
    <row r="508" spans="1:37" ht="14.5" x14ac:dyDescent="0.35">
      <c r="A508" s="141"/>
      <c r="B508" s="289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</row>
    <row r="509" spans="1:37" ht="14.5" x14ac:dyDescent="0.35">
      <c r="A509" s="141"/>
      <c r="B509" s="289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</row>
    <row r="510" spans="1:37" ht="14.5" x14ac:dyDescent="0.35">
      <c r="A510" s="141"/>
      <c r="B510" s="289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</row>
    <row r="511" spans="1:37" ht="14.5" x14ac:dyDescent="0.35">
      <c r="A511" s="141"/>
      <c r="B511" s="289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</row>
    <row r="512" spans="1:37" ht="14.5" x14ac:dyDescent="0.35">
      <c r="A512" s="141"/>
      <c r="B512" s="289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</row>
    <row r="513" spans="1:37" ht="14.5" x14ac:dyDescent="0.35">
      <c r="A513" s="141"/>
      <c r="B513" s="289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</row>
    <row r="514" spans="1:37" ht="14.5" x14ac:dyDescent="0.35">
      <c r="A514" s="141"/>
      <c r="B514" s="289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</row>
    <row r="515" spans="1:37" ht="14.5" x14ac:dyDescent="0.35">
      <c r="A515" s="141"/>
      <c r="B515" s="289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</row>
    <row r="516" spans="1:37" ht="14.5" x14ac:dyDescent="0.35">
      <c r="A516" s="141"/>
      <c r="B516" s="289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</row>
    <row r="517" spans="1:37" ht="14.5" x14ac:dyDescent="0.35">
      <c r="A517" s="141"/>
      <c r="B517" s="289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</row>
    <row r="518" spans="1:37" ht="14.5" x14ac:dyDescent="0.35">
      <c r="A518" s="141"/>
      <c r="B518" s="289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</row>
    <row r="519" spans="1:37" ht="14.5" x14ac:dyDescent="0.35">
      <c r="A519" s="141"/>
      <c r="B519" s="289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</row>
    <row r="520" spans="1:37" ht="14.5" x14ac:dyDescent="0.35">
      <c r="A520" s="141"/>
      <c r="B520" s="289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</row>
    <row r="521" spans="1:37" ht="14.5" x14ac:dyDescent="0.35">
      <c r="A521" s="141"/>
      <c r="B521" s="289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</row>
    <row r="522" spans="1:37" ht="14.5" x14ac:dyDescent="0.35">
      <c r="A522" s="141"/>
      <c r="B522" s="289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</row>
    <row r="523" spans="1:37" ht="14.5" x14ac:dyDescent="0.35">
      <c r="A523" s="141"/>
      <c r="B523" s="289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</row>
    <row r="524" spans="1:37" ht="14.5" x14ac:dyDescent="0.35">
      <c r="A524" s="141"/>
      <c r="B524" s="289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</row>
    <row r="525" spans="1:37" ht="14.5" x14ac:dyDescent="0.35">
      <c r="A525" s="141"/>
      <c r="B525" s="289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</row>
    <row r="526" spans="1:37" ht="14.5" x14ac:dyDescent="0.35">
      <c r="A526" s="141"/>
      <c r="B526" s="289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</row>
    <row r="527" spans="1:37" ht="14.5" x14ac:dyDescent="0.35">
      <c r="A527" s="141"/>
      <c r="B527" s="289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</row>
    <row r="528" spans="1:37" ht="14.5" x14ac:dyDescent="0.35">
      <c r="A528" s="141"/>
      <c r="B528" s="289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</row>
    <row r="529" spans="1:37" ht="14.5" x14ac:dyDescent="0.35">
      <c r="A529" s="141"/>
      <c r="B529" s="289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</row>
    <row r="530" spans="1:37" ht="14.5" x14ac:dyDescent="0.35">
      <c r="A530" s="141"/>
      <c r="B530" s="289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</row>
    <row r="531" spans="1:37" ht="14.5" x14ac:dyDescent="0.35">
      <c r="A531" s="141"/>
      <c r="B531" s="289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</row>
    <row r="532" spans="1:37" ht="14.5" x14ac:dyDescent="0.35">
      <c r="A532" s="141"/>
      <c r="B532" s="289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</row>
    <row r="533" spans="1:37" ht="14.5" x14ac:dyDescent="0.35">
      <c r="A533" s="141"/>
      <c r="B533" s="289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</row>
    <row r="534" spans="1:37" ht="14.5" x14ac:dyDescent="0.35">
      <c r="A534" s="141"/>
      <c r="B534" s="289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</row>
    <row r="535" spans="1:37" ht="14.5" x14ac:dyDescent="0.35">
      <c r="A535" s="141"/>
      <c r="B535" s="289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</row>
    <row r="536" spans="1:37" ht="14.5" x14ac:dyDescent="0.35">
      <c r="A536" s="141"/>
      <c r="B536" s="289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</row>
    <row r="537" spans="1:37" ht="14.5" x14ac:dyDescent="0.35">
      <c r="A537" s="141"/>
      <c r="B537" s="289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</row>
    <row r="538" spans="1:37" ht="14.5" x14ac:dyDescent="0.35">
      <c r="A538" s="141"/>
      <c r="B538" s="289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</row>
    <row r="539" spans="1:37" ht="14.5" x14ac:dyDescent="0.35">
      <c r="A539" s="141"/>
      <c r="B539" s="289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</row>
    <row r="540" spans="1:37" ht="14.5" x14ac:dyDescent="0.35">
      <c r="A540" s="141"/>
      <c r="B540" s="289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</row>
    <row r="541" spans="1:37" ht="14.5" x14ac:dyDescent="0.35">
      <c r="A541" s="141"/>
      <c r="B541" s="289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</row>
    <row r="542" spans="1:37" ht="14.5" x14ac:dyDescent="0.35">
      <c r="A542" s="141"/>
      <c r="B542" s="289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</row>
    <row r="543" spans="1:37" ht="14.5" x14ac:dyDescent="0.35">
      <c r="A543" s="141"/>
      <c r="B543" s="289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</row>
    <row r="544" spans="1:37" ht="14.5" x14ac:dyDescent="0.35">
      <c r="A544" s="141"/>
      <c r="B544" s="289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</row>
    <row r="545" spans="1:37" ht="14.5" x14ac:dyDescent="0.35">
      <c r="A545" s="141"/>
      <c r="B545" s="289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</row>
    <row r="546" spans="1:37" ht="14.5" x14ac:dyDescent="0.35">
      <c r="A546" s="141"/>
      <c r="B546" s="289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</row>
    <row r="547" spans="1:37" ht="14.5" x14ac:dyDescent="0.35">
      <c r="A547" s="141"/>
      <c r="B547" s="289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</row>
    <row r="548" spans="1:37" ht="14.5" x14ac:dyDescent="0.35">
      <c r="A548" s="141"/>
      <c r="B548" s="289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</row>
    <row r="549" spans="1:37" ht="14.5" x14ac:dyDescent="0.35">
      <c r="A549" s="141"/>
      <c r="B549" s="289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</row>
    <row r="550" spans="1:37" ht="14.5" x14ac:dyDescent="0.35">
      <c r="A550" s="141"/>
      <c r="B550" s="289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</row>
    <row r="551" spans="1:37" ht="14.5" x14ac:dyDescent="0.35">
      <c r="A551" s="141"/>
      <c r="B551" s="289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</row>
    <row r="552" spans="1:37" ht="14.5" x14ac:dyDescent="0.35">
      <c r="A552" s="141"/>
      <c r="B552" s="289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</row>
    <row r="553" spans="1:37" ht="14.5" x14ac:dyDescent="0.35">
      <c r="A553" s="141"/>
      <c r="B553" s="289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</row>
    <row r="554" spans="1:37" ht="14.5" x14ac:dyDescent="0.35">
      <c r="A554" s="141"/>
      <c r="B554" s="289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</row>
    <row r="555" spans="1:37" ht="14.5" x14ac:dyDescent="0.35">
      <c r="A555" s="141"/>
      <c r="B555" s="289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</row>
    <row r="556" spans="1:37" ht="14.5" x14ac:dyDescent="0.35">
      <c r="A556" s="141"/>
      <c r="B556" s="289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</row>
    <row r="557" spans="1:37" ht="14.5" x14ac:dyDescent="0.35">
      <c r="A557" s="141"/>
      <c r="B557" s="289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</row>
    <row r="558" spans="1:37" ht="14.5" x14ac:dyDescent="0.35">
      <c r="A558" s="141"/>
      <c r="B558" s="289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</row>
    <row r="559" spans="1:37" ht="14.5" x14ac:dyDescent="0.35">
      <c r="A559" s="141"/>
      <c r="B559" s="289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</row>
    <row r="560" spans="1:37" ht="14.5" x14ac:dyDescent="0.35">
      <c r="A560" s="141"/>
      <c r="B560" s="289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</row>
    <row r="561" spans="1:37" ht="14.5" x14ac:dyDescent="0.35">
      <c r="A561" s="141"/>
      <c r="B561" s="289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</row>
    <row r="562" spans="1:37" ht="14.5" x14ac:dyDescent="0.35">
      <c r="A562" s="141"/>
      <c r="B562" s="289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</row>
    <row r="563" spans="1:37" ht="14.5" x14ac:dyDescent="0.35">
      <c r="A563" s="141"/>
      <c r="B563" s="289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</row>
    <row r="564" spans="1:37" ht="14.5" x14ac:dyDescent="0.35">
      <c r="A564" s="141"/>
      <c r="B564" s="289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</row>
    <row r="565" spans="1:37" ht="14.5" x14ac:dyDescent="0.35">
      <c r="A565" s="141"/>
      <c r="B565" s="289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</row>
    <row r="566" spans="1:37" ht="14.5" x14ac:dyDescent="0.35">
      <c r="A566" s="141"/>
      <c r="B566" s="289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</row>
    <row r="567" spans="1:37" ht="14.5" x14ac:dyDescent="0.35">
      <c r="A567" s="141"/>
      <c r="B567" s="289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</row>
    <row r="568" spans="1:37" ht="14.5" x14ac:dyDescent="0.35">
      <c r="A568" s="141"/>
      <c r="B568" s="289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</row>
    <row r="569" spans="1:37" ht="14.5" x14ac:dyDescent="0.35">
      <c r="A569" s="141"/>
      <c r="B569" s="289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</row>
    <row r="570" spans="1:37" ht="14.5" x14ac:dyDescent="0.35">
      <c r="A570" s="141"/>
      <c r="B570" s="289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</row>
    <row r="571" spans="1:37" ht="14.5" x14ac:dyDescent="0.35">
      <c r="A571" s="141"/>
      <c r="B571" s="289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</row>
    <row r="572" spans="1:37" ht="14.5" x14ac:dyDescent="0.35">
      <c r="A572" s="141"/>
      <c r="B572" s="289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</row>
    <row r="573" spans="1:37" ht="14.5" x14ac:dyDescent="0.35">
      <c r="A573" s="141"/>
      <c r="B573" s="289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</row>
    <row r="574" spans="1:37" ht="14.5" x14ac:dyDescent="0.35">
      <c r="A574" s="141"/>
      <c r="B574" s="289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</row>
    <row r="575" spans="1:37" ht="14.5" x14ac:dyDescent="0.35">
      <c r="A575" s="141"/>
      <c r="B575" s="289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</row>
    <row r="576" spans="1:37" ht="14.5" x14ac:dyDescent="0.35">
      <c r="A576" s="141"/>
      <c r="B576" s="289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</row>
    <row r="577" spans="1:37" ht="14.5" x14ac:dyDescent="0.35">
      <c r="A577" s="141"/>
      <c r="B577" s="289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</row>
    <row r="578" spans="1:37" ht="14.5" x14ac:dyDescent="0.35">
      <c r="A578" s="141"/>
      <c r="B578" s="289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</row>
    <row r="579" spans="1:37" ht="14.5" x14ac:dyDescent="0.35">
      <c r="A579" s="141"/>
      <c r="B579" s="289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</row>
    <row r="580" spans="1:37" ht="14.5" x14ac:dyDescent="0.35">
      <c r="A580" s="141"/>
      <c r="B580" s="289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</row>
    <row r="581" spans="1:37" ht="14.5" x14ac:dyDescent="0.35">
      <c r="A581" s="141"/>
      <c r="B581" s="289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</row>
    <row r="582" spans="1:37" ht="14.5" x14ac:dyDescent="0.35">
      <c r="A582" s="141"/>
      <c r="B582" s="289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</row>
    <row r="583" spans="1:37" ht="14.5" x14ac:dyDescent="0.35">
      <c r="A583" s="141"/>
      <c r="B583" s="289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</row>
    <row r="584" spans="1:37" ht="14.5" x14ac:dyDescent="0.35">
      <c r="A584" s="141"/>
      <c r="B584" s="289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</row>
    <row r="585" spans="1:37" ht="14.5" x14ac:dyDescent="0.35">
      <c r="A585" s="141"/>
      <c r="B585" s="289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</row>
    <row r="586" spans="1:37" ht="14.5" x14ac:dyDescent="0.35">
      <c r="A586" s="141"/>
      <c r="B586" s="289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</row>
    <row r="587" spans="1:37" ht="14.5" x14ac:dyDescent="0.35">
      <c r="A587" s="141"/>
      <c r="B587" s="289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</row>
    <row r="588" spans="1:37" ht="14.5" x14ac:dyDescent="0.35">
      <c r="A588" s="141"/>
      <c r="B588" s="289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</row>
    <row r="589" spans="1:37" ht="14.5" x14ac:dyDescent="0.35">
      <c r="A589" s="141"/>
      <c r="B589" s="289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</row>
    <row r="590" spans="1:37" ht="14.5" x14ac:dyDescent="0.35">
      <c r="A590" s="141"/>
      <c r="B590" s="289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</row>
    <row r="591" spans="1:37" ht="14.5" x14ac:dyDescent="0.35">
      <c r="A591" s="141"/>
      <c r="B591" s="289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</row>
    <row r="592" spans="1:37" ht="14.5" x14ac:dyDescent="0.35">
      <c r="A592" s="141"/>
      <c r="B592" s="289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</row>
    <row r="593" spans="1:37" ht="14.5" x14ac:dyDescent="0.35">
      <c r="A593" s="141"/>
      <c r="B593" s="289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</row>
    <row r="594" spans="1:37" ht="14.5" x14ac:dyDescent="0.35">
      <c r="A594" s="141"/>
      <c r="B594" s="289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</row>
    <row r="595" spans="1:37" ht="14.5" x14ac:dyDescent="0.35">
      <c r="A595" s="141"/>
      <c r="B595" s="289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</row>
    <row r="596" spans="1:37" ht="14.5" x14ac:dyDescent="0.35">
      <c r="A596" s="141"/>
      <c r="B596" s="289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</row>
    <row r="597" spans="1:37" ht="14.5" x14ac:dyDescent="0.35">
      <c r="A597" s="141"/>
      <c r="B597" s="289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</row>
    <row r="598" spans="1:37" ht="14.5" x14ac:dyDescent="0.35">
      <c r="A598" s="141"/>
      <c r="B598" s="289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</row>
    <row r="599" spans="1:37" ht="14.5" x14ac:dyDescent="0.35">
      <c r="A599" s="141"/>
      <c r="B599" s="289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</row>
    <row r="600" spans="1:37" ht="14.5" x14ac:dyDescent="0.35">
      <c r="A600" s="141"/>
      <c r="B600" s="289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</row>
    <row r="601" spans="1:37" ht="14.5" x14ac:dyDescent="0.35">
      <c r="A601" s="141"/>
      <c r="B601" s="289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</row>
    <row r="602" spans="1:37" ht="14.5" x14ac:dyDescent="0.35">
      <c r="A602" s="141"/>
      <c r="B602" s="289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</row>
    <row r="603" spans="1:37" ht="14.5" x14ac:dyDescent="0.35">
      <c r="A603" s="141"/>
      <c r="B603" s="289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</row>
    <row r="604" spans="1:37" ht="14.5" x14ac:dyDescent="0.35">
      <c r="A604" s="141"/>
      <c r="B604" s="289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</row>
    <row r="605" spans="1:37" ht="14.5" x14ac:dyDescent="0.35">
      <c r="A605" s="141"/>
      <c r="B605" s="289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</row>
    <row r="606" spans="1:37" ht="14.5" x14ac:dyDescent="0.35">
      <c r="A606" s="141"/>
      <c r="B606" s="289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</row>
    <row r="607" spans="1:37" ht="14.5" x14ac:dyDescent="0.35">
      <c r="A607" s="141"/>
      <c r="B607" s="289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</row>
    <row r="608" spans="1:37" ht="14.5" x14ac:dyDescent="0.35">
      <c r="A608" s="141"/>
      <c r="B608" s="289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</row>
    <row r="609" spans="1:37" ht="14.5" x14ac:dyDescent="0.35">
      <c r="A609" s="141"/>
      <c r="B609" s="289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</row>
    <row r="610" spans="1:37" ht="14.5" x14ac:dyDescent="0.35">
      <c r="A610" s="141"/>
      <c r="B610" s="289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</row>
    <row r="611" spans="1:37" ht="14.5" x14ac:dyDescent="0.35">
      <c r="A611" s="141"/>
      <c r="B611" s="289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</row>
    <row r="612" spans="1:37" ht="14.5" x14ac:dyDescent="0.35">
      <c r="A612" s="141"/>
      <c r="B612" s="289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</row>
    <row r="613" spans="1:37" ht="14.5" x14ac:dyDescent="0.35">
      <c r="A613" s="141"/>
      <c r="B613" s="289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</row>
    <row r="614" spans="1:37" ht="14.5" x14ac:dyDescent="0.35">
      <c r="A614" s="141"/>
      <c r="B614" s="289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</row>
    <row r="615" spans="1:37" ht="14.5" x14ac:dyDescent="0.35">
      <c r="A615" s="141"/>
      <c r="B615" s="289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</row>
    <row r="616" spans="1:37" ht="14.5" x14ac:dyDescent="0.35">
      <c r="A616" s="141"/>
      <c r="B616" s="289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</row>
    <row r="617" spans="1:37" ht="14.5" x14ac:dyDescent="0.35">
      <c r="A617" s="141"/>
      <c r="B617" s="289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</row>
    <row r="618" spans="1:37" ht="14.5" x14ac:dyDescent="0.35">
      <c r="A618" s="141"/>
      <c r="B618" s="289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</row>
    <row r="619" spans="1:37" ht="14.5" x14ac:dyDescent="0.35">
      <c r="A619" s="141"/>
      <c r="B619" s="289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</row>
    <row r="620" spans="1:37" ht="14.5" x14ac:dyDescent="0.35">
      <c r="A620" s="141"/>
      <c r="B620" s="289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</row>
    <row r="621" spans="1:37" ht="14.5" x14ac:dyDescent="0.35">
      <c r="A621" s="141"/>
      <c r="B621" s="289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</row>
    <row r="622" spans="1:37" ht="14.5" x14ac:dyDescent="0.35">
      <c r="A622" s="141"/>
      <c r="B622" s="289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</row>
    <row r="623" spans="1:37" ht="14.5" x14ac:dyDescent="0.35">
      <c r="A623" s="141"/>
      <c r="B623" s="289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</row>
    <row r="624" spans="1:37" ht="14.5" x14ac:dyDescent="0.35">
      <c r="A624" s="141"/>
      <c r="B624" s="289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</row>
    <row r="625" spans="1:37" ht="14.5" x14ac:dyDescent="0.35">
      <c r="A625" s="141"/>
      <c r="B625" s="289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</row>
    <row r="626" spans="1:37" ht="14.5" x14ac:dyDescent="0.35">
      <c r="A626" s="141"/>
      <c r="B626" s="289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</row>
    <row r="627" spans="1:37" ht="14.5" x14ac:dyDescent="0.35">
      <c r="A627" s="141"/>
      <c r="B627" s="289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</row>
    <row r="628" spans="1:37" ht="14.5" x14ac:dyDescent="0.35">
      <c r="A628" s="141"/>
      <c r="B628" s="289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</row>
    <row r="629" spans="1:37" ht="14.5" x14ac:dyDescent="0.35">
      <c r="A629" s="141"/>
      <c r="B629" s="289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</row>
    <row r="630" spans="1:37" ht="14.5" x14ac:dyDescent="0.35">
      <c r="A630" s="141"/>
      <c r="B630" s="289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</row>
    <row r="631" spans="1:37" ht="14.5" x14ac:dyDescent="0.35">
      <c r="A631" s="141"/>
      <c r="B631" s="289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</row>
    <row r="632" spans="1:37" ht="14.5" x14ac:dyDescent="0.35">
      <c r="A632" s="141"/>
      <c r="B632" s="289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</row>
    <row r="633" spans="1:37" ht="14.5" x14ac:dyDescent="0.35">
      <c r="A633" s="141"/>
      <c r="B633" s="289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</row>
    <row r="634" spans="1:37" ht="14.5" x14ac:dyDescent="0.35">
      <c r="A634" s="141"/>
      <c r="B634" s="289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</row>
    <row r="635" spans="1:37" ht="14.5" x14ac:dyDescent="0.35">
      <c r="A635" s="141"/>
      <c r="B635" s="289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</row>
    <row r="636" spans="1:37" ht="14.5" x14ac:dyDescent="0.35">
      <c r="A636" s="141"/>
      <c r="B636" s="289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</row>
    <row r="637" spans="1:37" ht="14.5" x14ac:dyDescent="0.35">
      <c r="A637" s="141"/>
      <c r="B637" s="289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</row>
    <row r="638" spans="1:37" ht="14.5" x14ac:dyDescent="0.35">
      <c r="A638" s="141"/>
      <c r="B638" s="289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</row>
    <row r="639" spans="1:37" ht="14.5" x14ac:dyDescent="0.35">
      <c r="A639" s="141"/>
      <c r="B639" s="289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</row>
    <row r="640" spans="1:37" ht="14.5" x14ac:dyDescent="0.35">
      <c r="A640" s="141"/>
      <c r="B640" s="289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</row>
    <row r="641" spans="1:37" ht="14.5" x14ac:dyDescent="0.35">
      <c r="A641" s="141"/>
      <c r="B641" s="289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</row>
    <row r="642" spans="1:37" ht="14.5" x14ac:dyDescent="0.35">
      <c r="A642" s="141"/>
      <c r="B642" s="289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</row>
    <row r="643" spans="1:37" ht="14.5" x14ac:dyDescent="0.35">
      <c r="A643" s="141"/>
      <c r="B643" s="289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</row>
    <row r="644" spans="1:37" ht="14.5" x14ac:dyDescent="0.35">
      <c r="A644" s="141"/>
      <c r="B644" s="289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</row>
    <row r="645" spans="1:37" ht="14.5" x14ac:dyDescent="0.35">
      <c r="A645" s="141"/>
      <c r="B645" s="289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</row>
    <row r="646" spans="1:37" ht="14.5" x14ac:dyDescent="0.35">
      <c r="A646" s="141"/>
      <c r="B646" s="289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</row>
    <row r="647" spans="1:37" ht="14.5" x14ac:dyDescent="0.35">
      <c r="A647" s="141"/>
      <c r="B647" s="289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</row>
    <row r="648" spans="1:37" ht="14.5" x14ac:dyDescent="0.35">
      <c r="A648" s="141"/>
      <c r="B648" s="289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</row>
    <row r="649" spans="1:37" ht="14.5" x14ac:dyDescent="0.35">
      <c r="A649" s="141"/>
      <c r="B649" s="289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</row>
    <row r="650" spans="1:37" ht="14.5" x14ac:dyDescent="0.35">
      <c r="A650" s="141"/>
      <c r="B650" s="289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  <c r="AJ650" s="141"/>
      <c r="AK650" s="141"/>
    </row>
    <row r="651" spans="1:37" ht="14.5" x14ac:dyDescent="0.35">
      <c r="A651" s="141"/>
      <c r="B651" s="289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  <c r="AJ651" s="141"/>
      <c r="AK651" s="141"/>
    </row>
    <row r="652" spans="1:37" ht="14.5" x14ac:dyDescent="0.35">
      <c r="A652" s="141"/>
      <c r="B652" s="289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/>
    </row>
    <row r="653" spans="1:37" ht="14.5" x14ac:dyDescent="0.35">
      <c r="A653" s="141"/>
      <c r="B653" s="289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  <c r="AJ653" s="141"/>
      <c r="AK653" s="141"/>
    </row>
    <row r="654" spans="1:37" ht="14.5" x14ac:dyDescent="0.35">
      <c r="A654" s="141"/>
      <c r="B654" s="289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/>
    </row>
    <row r="655" spans="1:37" ht="14.5" x14ac:dyDescent="0.35">
      <c r="A655" s="141"/>
      <c r="B655" s="289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  <c r="AJ655" s="141"/>
      <c r="AK655" s="141"/>
    </row>
    <row r="656" spans="1:37" ht="14.5" x14ac:dyDescent="0.35">
      <c r="A656" s="141"/>
      <c r="B656" s="289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</row>
    <row r="657" spans="1:37" ht="14.5" x14ac:dyDescent="0.35">
      <c r="A657" s="141"/>
      <c r="B657" s="289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  <c r="AJ657" s="141"/>
      <c r="AK657" s="141"/>
    </row>
    <row r="658" spans="1:37" ht="14.5" x14ac:dyDescent="0.35">
      <c r="A658" s="141"/>
      <c r="B658" s="289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</row>
    <row r="659" spans="1:37" ht="14.5" x14ac:dyDescent="0.35">
      <c r="A659" s="141"/>
      <c r="B659" s="289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  <c r="AJ659" s="141"/>
      <c r="AK659" s="141"/>
    </row>
    <row r="660" spans="1:37" ht="14.5" x14ac:dyDescent="0.35">
      <c r="A660" s="141"/>
      <c r="B660" s="289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</row>
    <row r="661" spans="1:37" ht="14.5" x14ac:dyDescent="0.35">
      <c r="A661" s="141"/>
      <c r="B661" s="289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  <c r="AJ661" s="141"/>
      <c r="AK661" s="141"/>
    </row>
    <row r="662" spans="1:37" ht="14.5" x14ac:dyDescent="0.35">
      <c r="A662" s="141"/>
      <c r="B662" s="289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</row>
    <row r="663" spans="1:37" ht="14.5" x14ac:dyDescent="0.35">
      <c r="A663" s="141"/>
      <c r="B663" s="289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  <c r="AJ663" s="141"/>
      <c r="AK663" s="141"/>
    </row>
    <row r="664" spans="1:37" ht="14.5" x14ac:dyDescent="0.35">
      <c r="A664" s="141"/>
      <c r="B664" s="289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</row>
    <row r="665" spans="1:37" ht="14.5" x14ac:dyDescent="0.35">
      <c r="A665" s="141"/>
      <c r="B665" s="289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  <c r="AJ665" s="141"/>
      <c r="AK665" s="141"/>
    </row>
    <row r="666" spans="1:37" ht="14.5" x14ac:dyDescent="0.35">
      <c r="A666" s="141"/>
      <c r="B666" s="289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</row>
    <row r="667" spans="1:37" ht="14.5" x14ac:dyDescent="0.35">
      <c r="A667" s="141"/>
      <c r="B667" s="289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  <c r="AJ667" s="141"/>
      <c r="AK667" s="141"/>
    </row>
    <row r="668" spans="1:37" ht="14.5" x14ac:dyDescent="0.35">
      <c r="A668" s="141"/>
      <c r="B668" s="289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  <c r="AJ668" s="141"/>
      <c r="AK668" s="141"/>
    </row>
    <row r="669" spans="1:37" ht="14.5" x14ac:dyDescent="0.35">
      <c r="A669" s="141"/>
      <c r="B669" s="289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  <c r="AJ669" s="141"/>
      <c r="AK669" s="141"/>
    </row>
    <row r="670" spans="1:37" ht="14.5" x14ac:dyDescent="0.35">
      <c r="A670" s="141"/>
      <c r="B670" s="289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/>
    </row>
    <row r="671" spans="1:37" ht="14.5" x14ac:dyDescent="0.35">
      <c r="A671" s="141"/>
      <c r="B671" s="289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  <c r="AJ671" s="141"/>
      <c r="AK671" s="141"/>
    </row>
    <row r="672" spans="1:37" ht="14.5" x14ac:dyDescent="0.35">
      <c r="A672" s="141"/>
      <c r="B672" s="289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  <c r="AJ672" s="141"/>
      <c r="AK672" s="141"/>
    </row>
    <row r="673" spans="1:37" ht="14.5" x14ac:dyDescent="0.35">
      <c r="A673" s="141"/>
      <c r="B673" s="289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  <c r="AJ673" s="141"/>
      <c r="AK673" s="141"/>
    </row>
    <row r="674" spans="1:37" ht="14.5" x14ac:dyDescent="0.35">
      <c r="A674" s="141"/>
      <c r="B674" s="289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</row>
    <row r="675" spans="1:37" ht="14.5" x14ac:dyDescent="0.35">
      <c r="A675" s="141"/>
      <c r="B675" s="289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  <c r="AJ675" s="141"/>
      <c r="AK675" s="141"/>
    </row>
    <row r="676" spans="1:37" ht="14.5" x14ac:dyDescent="0.35">
      <c r="A676" s="141"/>
      <c r="B676" s="289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  <c r="AJ676" s="141"/>
      <c r="AK676" s="141"/>
    </row>
    <row r="677" spans="1:37" ht="14.5" x14ac:dyDescent="0.35">
      <c r="A677" s="141"/>
      <c r="B677" s="289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  <c r="AJ677" s="141"/>
      <c r="AK677" s="141"/>
    </row>
    <row r="678" spans="1:37" ht="14.5" x14ac:dyDescent="0.35">
      <c r="A678" s="141"/>
      <c r="B678" s="289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</row>
    <row r="679" spans="1:37" ht="14.5" x14ac:dyDescent="0.35">
      <c r="A679" s="141"/>
      <c r="B679" s="289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  <c r="AJ679" s="141"/>
      <c r="AK679" s="141"/>
    </row>
    <row r="680" spans="1:37" ht="14.5" x14ac:dyDescent="0.35">
      <c r="A680" s="141"/>
      <c r="B680" s="289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/>
    </row>
    <row r="681" spans="1:37" ht="14.5" x14ac:dyDescent="0.35">
      <c r="A681" s="141"/>
      <c r="B681" s="289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  <c r="AJ681" s="141"/>
      <c r="AK681" s="141"/>
    </row>
    <row r="682" spans="1:37" ht="14.5" x14ac:dyDescent="0.35">
      <c r="A682" s="141"/>
      <c r="B682" s="289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  <c r="AJ682" s="141"/>
      <c r="AK682" s="141"/>
    </row>
    <row r="683" spans="1:37" ht="14.5" x14ac:dyDescent="0.35">
      <c r="A683" s="141"/>
      <c r="B683" s="289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/>
    </row>
    <row r="684" spans="1:37" ht="14.5" x14ac:dyDescent="0.35">
      <c r="A684" s="141"/>
      <c r="B684" s="289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  <c r="AJ684" s="141"/>
      <c r="AK684" s="141"/>
    </row>
    <row r="685" spans="1:37" ht="14.5" x14ac:dyDescent="0.35">
      <c r="A685" s="141"/>
      <c r="B685" s="289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/>
    </row>
    <row r="686" spans="1:37" ht="14.5" x14ac:dyDescent="0.35">
      <c r="A686" s="141"/>
      <c r="B686" s="289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  <c r="AJ686" s="141"/>
      <c r="AK686" s="141"/>
    </row>
    <row r="687" spans="1:37" ht="14.5" x14ac:dyDescent="0.35">
      <c r="A687" s="141"/>
      <c r="B687" s="289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</row>
    <row r="688" spans="1:37" ht="14.5" x14ac:dyDescent="0.35">
      <c r="A688" s="141"/>
      <c r="B688" s="289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</row>
    <row r="689" spans="1:37" ht="14.5" x14ac:dyDescent="0.35">
      <c r="A689" s="141"/>
      <c r="B689" s="289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</row>
    <row r="690" spans="1:37" ht="14.5" x14ac:dyDescent="0.35">
      <c r="A690" s="141"/>
      <c r="B690" s="289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</row>
    <row r="691" spans="1:37" ht="14.5" x14ac:dyDescent="0.35">
      <c r="A691" s="141"/>
      <c r="B691" s="289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</row>
    <row r="692" spans="1:37" ht="14.5" x14ac:dyDescent="0.35">
      <c r="A692" s="141"/>
      <c r="B692" s="289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</row>
    <row r="693" spans="1:37" ht="14.5" x14ac:dyDescent="0.35">
      <c r="A693" s="141"/>
      <c r="B693" s="289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</row>
    <row r="694" spans="1:37" ht="14.5" x14ac:dyDescent="0.35">
      <c r="A694" s="141"/>
      <c r="B694" s="289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</row>
    <row r="695" spans="1:37" ht="14.5" x14ac:dyDescent="0.35">
      <c r="A695" s="141"/>
      <c r="B695" s="289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</row>
    <row r="696" spans="1:37" ht="14.5" x14ac:dyDescent="0.35">
      <c r="A696" s="141"/>
      <c r="B696" s="289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</row>
    <row r="697" spans="1:37" ht="14.5" x14ac:dyDescent="0.35">
      <c r="A697" s="141"/>
      <c r="B697" s="289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</row>
    <row r="698" spans="1:37" ht="14.5" x14ac:dyDescent="0.35">
      <c r="A698" s="141"/>
      <c r="B698" s="289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</row>
    <row r="699" spans="1:37" ht="14.5" x14ac:dyDescent="0.35">
      <c r="A699" s="141"/>
      <c r="B699" s="289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</row>
    <row r="700" spans="1:37" ht="14.5" x14ac:dyDescent="0.35">
      <c r="A700" s="141"/>
      <c r="B700" s="289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</row>
    <row r="701" spans="1:37" ht="14.5" x14ac:dyDescent="0.35">
      <c r="A701" s="141"/>
      <c r="B701" s="289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</row>
    <row r="702" spans="1:37" ht="14.5" x14ac:dyDescent="0.35">
      <c r="A702" s="141"/>
      <c r="B702" s="289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</row>
    <row r="703" spans="1:37" ht="14.5" x14ac:dyDescent="0.35">
      <c r="A703" s="141"/>
      <c r="B703" s="289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</row>
    <row r="704" spans="1:37" ht="14.5" x14ac:dyDescent="0.35">
      <c r="A704" s="141"/>
      <c r="B704" s="289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</row>
    <row r="705" spans="1:37" ht="14.5" x14ac:dyDescent="0.35">
      <c r="A705" s="141"/>
      <c r="B705" s="289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</row>
    <row r="706" spans="1:37" ht="14.5" x14ac:dyDescent="0.35">
      <c r="A706" s="141"/>
      <c r="B706" s="289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</row>
    <row r="707" spans="1:37" ht="14.5" x14ac:dyDescent="0.35">
      <c r="A707" s="141"/>
      <c r="B707" s="289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</row>
    <row r="708" spans="1:37" ht="14.5" x14ac:dyDescent="0.35">
      <c r="A708" s="141"/>
      <c r="B708" s="289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</row>
    <row r="709" spans="1:37" ht="14.5" x14ac:dyDescent="0.35">
      <c r="A709" s="141"/>
      <c r="B709" s="289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</row>
    <row r="710" spans="1:37" ht="14.5" x14ac:dyDescent="0.35">
      <c r="A710" s="141"/>
      <c r="B710" s="289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</row>
    <row r="711" spans="1:37" ht="14.5" x14ac:dyDescent="0.35">
      <c r="A711" s="141"/>
      <c r="B711" s="289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</row>
    <row r="712" spans="1:37" ht="14.5" x14ac:dyDescent="0.35">
      <c r="A712" s="141"/>
      <c r="B712" s="289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</row>
    <row r="713" spans="1:37" ht="14.5" x14ac:dyDescent="0.35">
      <c r="A713" s="141"/>
      <c r="B713" s="289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</row>
    <row r="714" spans="1:37" ht="14.5" x14ac:dyDescent="0.35">
      <c r="A714" s="141"/>
      <c r="B714" s="289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</row>
    <row r="715" spans="1:37" ht="14.5" x14ac:dyDescent="0.35">
      <c r="A715" s="141"/>
      <c r="B715" s="289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</row>
    <row r="716" spans="1:37" ht="14.5" x14ac:dyDescent="0.35">
      <c r="A716" s="141"/>
      <c r="B716" s="289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</row>
    <row r="717" spans="1:37" ht="14.5" x14ac:dyDescent="0.35">
      <c r="A717" s="141"/>
      <c r="B717" s="289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</row>
    <row r="718" spans="1:37" ht="14.5" x14ac:dyDescent="0.35">
      <c r="A718" s="141"/>
      <c r="B718" s="289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</row>
    <row r="719" spans="1:37" ht="14.5" x14ac:dyDescent="0.35">
      <c r="A719" s="141"/>
      <c r="B719" s="289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</row>
    <row r="720" spans="1:37" ht="14.5" x14ac:dyDescent="0.35">
      <c r="A720" s="141"/>
      <c r="B720" s="289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</row>
    <row r="721" spans="1:37" ht="14.5" x14ac:dyDescent="0.35">
      <c r="A721" s="141"/>
      <c r="B721" s="289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</row>
    <row r="722" spans="1:37" ht="14.5" x14ac:dyDescent="0.35">
      <c r="A722" s="141"/>
      <c r="B722" s="289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</row>
    <row r="723" spans="1:37" ht="14.5" x14ac:dyDescent="0.35">
      <c r="A723" s="141"/>
      <c r="B723" s="289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</row>
    <row r="724" spans="1:37" ht="14.5" x14ac:dyDescent="0.35">
      <c r="A724" s="141"/>
      <c r="B724" s="289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</row>
    <row r="725" spans="1:37" ht="14.5" x14ac:dyDescent="0.35">
      <c r="A725" s="141"/>
      <c r="B725" s="289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</row>
    <row r="726" spans="1:37" ht="14.5" x14ac:dyDescent="0.35">
      <c r="A726" s="141"/>
      <c r="B726" s="289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</row>
    <row r="727" spans="1:37" ht="14.5" x14ac:dyDescent="0.35">
      <c r="A727" s="141"/>
      <c r="B727" s="289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</row>
    <row r="728" spans="1:37" ht="14.5" x14ac:dyDescent="0.35">
      <c r="A728" s="141"/>
      <c r="B728" s="289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</row>
    <row r="729" spans="1:37" ht="14.5" x14ac:dyDescent="0.35">
      <c r="A729" s="141"/>
      <c r="B729" s="289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  <c r="AJ729" s="141"/>
      <c r="AK729" s="141"/>
    </row>
    <row r="730" spans="1:37" ht="14.5" x14ac:dyDescent="0.35">
      <c r="A730" s="141"/>
      <c r="B730" s="289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/>
    </row>
    <row r="731" spans="1:37" ht="14.5" x14ac:dyDescent="0.35">
      <c r="A731" s="141"/>
      <c r="B731" s="289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  <c r="AJ731" s="141"/>
      <c r="AK731" s="141"/>
    </row>
    <row r="732" spans="1:37" ht="14.5" x14ac:dyDescent="0.35">
      <c r="A732" s="141"/>
      <c r="B732" s="289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/>
    </row>
    <row r="733" spans="1:37" ht="14.5" x14ac:dyDescent="0.35">
      <c r="A733" s="141"/>
      <c r="B733" s="289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  <c r="AJ733" s="141"/>
      <c r="AK733" s="141"/>
    </row>
    <row r="734" spans="1:37" ht="14.5" x14ac:dyDescent="0.35">
      <c r="A734" s="141"/>
      <c r="B734" s="289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/>
    </row>
    <row r="735" spans="1:37" ht="14.5" x14ac:dyDescent="0.35">
      <c r="A735" s="141"/>
      <c r="B735" s="289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  <c r="AJ735" s="141"/>
      <c r="AK735" s="141"/>
    </row>
    <row r="736" spans="1:37" ht="14.5" x14ac:dyDescent="0.35">
      <c r="A736" s="141"/>
      <c r="B736" s="289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/>
    </row>
    <row r="737" spans="1:37" ht="14.5" x14ac:dyDescent="0.35">
      <c r="A737" s="141"/>
      <c r="B737" s="289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  <c r="AJ737" s="141"/>
      <c r="AK737" s="141"/>
    </row>
    <row r="738" spans="1:37" ht="14.5" x14ac:dyDescent="0.35">
      <c r="A738" s="141"/>
      <c r="B738" s="289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</row>
    <row r="739" spans="1:37" ht="14.5" x14ac:dyDescent="0.35">
      <c r="A739" s="141"/>
      <c r="B739" s="289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  <c r="AJ739" s="141"/>
      <c r="AK739" s="141"/>
    </row>
    <row r="740" spans="1:37" ht="14.5" x14ac:dyDescent="0.35">
      <c r="A740" s="141"/>
      <c r="B740" s="289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/>
    </row>
    <row r="741" spans="1:37" ht="14.5" x14ac:dyDescent="0.35">
      <c r="A741" s="141"/>
      <c r="B741" s="289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  <c r="AJ741" s="141"/>
      <c r="AK741" s="141"/>
    </row>
    <row r="742" spans="1:37" ht="14.5" x14ac:dyDescent="0.35">
      <c r="A742" s="141"/>
      <c r="B742" s="289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</row>
    <row r="743" spans="1:37" ht="14.5" x14ac:dyDescent="0.35">
      <c r="A743" s="141"/>
      <c r="B743" s="289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/>
    </row>
    <row r="744" spans="1:37" ht="14.5" x14ac:dyDescent="0.35">
      <c r="A744" s="141"/>
      <c r="B744" s="289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  <c r="AJ744" s="141"/>
      <c r="AK744" s="141"/>
    </row>
    <row r="745" spans="1:37" ht="14.5" x14ac:dyDescent="0.35">
      <c r="A745" s="141"/>
      <c r="B745" s="289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/>
    </row>
    <row r="746" spans="1:37" ht="14.5" x14ac:dyDescent="0.35">
      <c r="A746" s="141"/>
      <c r="B746" s="289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  <c r="AJ746" s="141"/>
      <c r="AK746" s="141"/>
    </row>
    <row r="747" spans="1:37" ht="14.5" x14ac:dyDescent="0.35">
      <c r="A747" s="141"/>
      <c r="B747" s="289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</row>
    <row r="748" spans="1:37" ht="14.5" x14ac:dyDescent="0.35">
      <c r="A748" s="141"/>
      <c r="B748" s="289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  <c r="AJ748" s="141"/>
      <c r="AK748" s="141"/>
    </row>
    <row r="749" spans="1:37" ht="14.5" x14ac:dyDescent="0.35">
      <c r="A749" s="141"/>
      <c r="B749" s="289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  <c r="AJ749" s="141"/>
      <c r="AK749" s="141"/>
    </row>
    <row r="750" spans="1:37" ht="14.5" x14ac:dyDescent="0.35">
      <c r="A750" s="141"/>
      <c r="B750" s="289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  <c r="AH750" s="141"/>
      <c r="AI750" s="141"/>
      <c r="AJ750" s="141"/>
      <c r="AK750" s="141"/>
    </row>
    <row r="751" spans="1:37" ht="14.5" x14ac:dyDescent="0.35">
      <c r="A751" s="141"/>
      <c r="B751" s="289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  <c r="AJ751" s="141"/>
      <c r="AK751" s="141"/>
    </row>
    <row r="752" spans="1:37" ht="14.5" x14ac:dyDescent="0.35">
      <c r="A752" s="141"/>
      <c r="B752" s="289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  <c r="AH752" s="141"/>
      <c r="AI752" s="141"/>
      <c r="AJ752" s="141"/>
      <c r="AK752" s="141"/>
    </row>
    <row r="753" spans="1:37" ht="14.5" x14ac:dyDescent="0.35">
      <c r="A753" s="141"/>
      <c r="B753" s="289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  <c r="AH753" s="141"/>
      <c r="AI753" s="141"/>
      <c r="AJ753" s="141"/>
      <c r="AK753" s="141"/>
    </row>
    <row r="754" spans="1:37" ht="14.5" x14ac:dyDescent="0.35">
      <c r="A754" s="141"/>
      <c r="B754" s="289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  <c r="AH754" s="141"/>
      <c r="AI754" s="141"/>
      <c r="AJ754" s="141"/>
      <c r="AK754" s="141"/>
    </row>
    <row r="755" spans="1:37" ht="14.5" x14ac:dyDescent="0.35">
      <c r="A755" s="141"/>
      <c r="B755" s="289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  <c r="AJ755" s="141"/>
      <c r="AK755" s="141"/>
    </row>
    <row r="756" spans="1:37" ht="14.5" x14ac:dyDescent="0.35">
      <c r="A756" s="141"/>
      <c r="B756" s="289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  <c r="AH756" s="141"/>
      <c r="AI756" s="141"/>
      <c r="AJ756" s="141"/>
      <c r="AK756" s="141"/>
    </row>
    <row r="757" spans="1:37" ht="14.5" x14ac:dyDescent="0.35">
      <c r="A757" s="141"/>
      <c r="B757" s="289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  <c r="AH757" s="141"/>
      <c r="AI757" s="141"/>
      <c r="AJ757" s="141"/>
      <c r="AK757" s="141"/>
    </row>
    <row r="758" spans="1:37" ht="14.5" x14ac:dyDescent="0.35">
      <c r="A758" s="141"/>
      <c r="B758" s="289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  <c r="AH758" s="141"/>
      <c r="AI758" s="141"/>
      <c r="AJ758" s="141"/>
      <c r="AK758" s="141"/>
    </row>
    <row r="759" spans="1:37" ht="14.5" x14ac:dyDescent="0.35">
      <c r="A759" s="141"/>
      <c r="B759" s="289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  <c r="AH759" s="141"/>
      <c r="AI759" s="141"/>
      <c r="AJ759" s="141"/>
      <c r="AK759" s="141"/>
    </row>
    <row r="760" spans="1:37" ht="14.5" x14ac:dyDescent="0.35">
      <c r="A760" s="141"/>
      <c r="B760" s="289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  <c r="AH760" s="141"/>
      <c r="AI760" s="141"/>
      <c r="AJ760" s="141"/>
      <c r="AK760" s="141"/>
    </row>
    <row r="761" spans="1:37" ht="14.5" x14ac:dyDescent="0.35">
      <c r="A761" s="141"/>
      <c r="B761" s="289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  <c r="AJ761" s="141"/>
      <c r="AK761" s="141"/>
    </row>
    <row r="762" spans="1:37" ht="14.5" x14ac:dyDescent="0.35">
      <c r="A762" s="141"/>
      <c r="B762" s="289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  <c r="AH762" s="141"/>
      <c r="AI762" s="141"/>
      <c r="AJ762" s="141"/>
      <c r="AK762" s="141"/>
    </row>
    <row r="763" spans="1:37" ht="14.5" x14ac:dyDescent="0.35">
      <c r="A763" s="141"/>
      <c r="B763" s="289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  <c r="AJ763" s="141"/>
      <c r="AK763" s="141"/>
    </row>
    <row r="764" spans="1:37" ht="14.5" x14ac:dyDescent="0.35">
      <c r="A764" s="141"/>
      <c r="B764" s="289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  <c r="AH764" s="141"/>
      <c r="AI764" s="141"/>
      <c r="AJ764" s="141"/>
      <c r="AK764" s="141"/>
    </row>
    <row r="765" spans="1:37" ht="14.5" x14ac:dyDescent="0.35">
      <c r="A765" s="141"/>
      <c r="B765" s="289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  <c r="AJ765" s="141"/>
      <c r="AK765" s="141"/>
    </row>
    <row r="766" spans="1:37" ht="14.5" x14ac:dyDescent="0.35">
      <c r="A766" s="141"/>
      <c r="B766" s="289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  <c r="AH766" s="141"/>
      <c r="AI766" s="141"/>
      <c r="AJ766" s="141"/>
      <c r="AK766" s="141"/>
    </row>
    <row r="767" spans="1:37" ht="14.5" x14ac:dyDescent="0.35">
      <c r="A767" s="141"/>
      <c r="B767" s="289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  <c r="AJ767" s="141"/>
      <c r="AK767" s="141"/>
    </row>
    <row r="768" spans="1:37" ht="14.5" x14ac:dyDescent="0.35">
      <c r="A768" s="141"/>
      <c r="B768" s="289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  <c r="AH768" s="141"/>
      <c r="AI768" s="141"/>
      <c r="AJ768" s="141"/>
      <c r="AK768" s="141"/>
    </row>
    <row r="769" spans="1:37" ht="14.5" x14ac:dyDescent="0.35">
      <c r="A769" s="141"/>
      <c r="B769" s="289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  <c r="AJ769" s="141"/>
      <c r="AK769" s="141"/>
    </row>
    <row r="770" spans="1:37" ht="14.5" x14ac:dyDescent="0.35">
      <c r="A770" s="141"/>
      <c r="B770" s="289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  <c r="AH770" s="141"/>
      <c r="AI770" s="141"/>
      <c r="AJ770" s="141"/>
      <c r="AK770" s="141"/>
    </row>
    <row r="771" spans="1:37" ht="14.5" x14ac:dyDescent="0.35">
      <c r="A771" s="141"/>
      <c r="B771" s="289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  <c r="AJ771" s="141"/>
      <c r="AK771" s="141"/>
    </row>
    <row r="772" spans="1:37" ht="14.5" x14ac:dyDescent="0.35">
      <c r="A772" s="141"/>
      <c r="B772" s="289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  <c r="AH772" s="141"/>
      <c r="AI772" s="141"/>
      <c r="AJ772" s="141"/>
      <c r="AK772" s="141"/>
    </row>
    <row r="773" spans="1:37" ht="14.5" x14ac:dyDescent="0.35">
      <c r="A773" s="141"/>
      <c r="B773" s="289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  <c r="AJ773" s="141"/>
      <c r="AK773" s="141"/>
    </row>
    <row r="774" spans="1:37" ht="14.5" x14ac:dyDescent="0.35">
      <c r="A774" s="141"/>
      <c r="B774" s="289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  <c r="AH774" s="141"/>
      <c r="AI774" s="141"/>
      <c r="AJ774" s="141"/>
      <c r="AK774" s="141"/>
    </row>
    <row r="775" spans="1:37" ht="14.5" x14ac:dyDescent="0.35">
      <c r="A775" s="141"/>
      <c r="B775" s="289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  <c r="AJ775" s="141"/>
      <c r="AK775" s="141"/>
    </row>
    <row r="776" spans="1:37" ht="14.5" x14ac:dyDescent="0.35">
      <c r="A776" s="141"/>
      <c r="B776" s="289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  <c r="AH776" s="141"/>
      <c r="AI776" s="141"/>
      <c r="AJ776" s="141"/>
      <c r="AK776" s="141"/>
    </row>
    <row r="777" spans="1:37" ht="14.5" x14ac:dyDescent="0.35">
      <c r="A777" s="141"/>
      <c r="B777" s="289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  <c r="AJ777" s="141"/>
      <c r="AK777" s="141"/>
    </row>
    <row r="778" spans="1:37" ht="14.5" x14ac:dyDescent="0.35">
      <c r="A778" s="141"/>
      <c r="B778" s="289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  <c r="AH778" s="141"/>
      <c r="AI778" s="141"/>
      <c r="AJ778" s="141"/>
      <c r="AK778" s="141"/>
    </row>
    <row r="779" spans="1:37" ht="14.5" x14ac:dyDescent="0.35">
      <c r="A779" s="141"/>
      <c r="B779" s="289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  <c r="AH779" s="141"/>
      <c r="AI779" s="141"/>
      <c r="AJ779" s="141"/>
      <c r="AK779" s="141"/>
    </row>
    <row r="780" spans="1:37" ht="14.5" x14ac:dyDescent="0.35">
      <c r="A780" s="141"/>
      <c r="B780" s="289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  <c r="AH780" s="141"/>
      <c r="AI780" s="141"/>
      <c r="AJ780" s="141"/>
      <c r="AK780" s="141"/>
    </row>
    <row r="781" spans="1:37" ht="14.5" x14ac:dyDescent="0.35">
      <c r="A781" s="141"/>
      <c r="B781" s="289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  <c r="AJ781" s="141"/>
      <c r="AK781" s="141"/>
    </row>
    <row r="782" spans="1:37" ht="14.5" x14ac:dyDescent="0.35">
      <c r="A782" s="141"/>
      <c r="B782" s="289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  <c r="AH782" s="141"/>
      <c r="AI782" s="141"/>
      <c r="AJ782" s="141"/>
      <c r="AK782" s="141"/>
    </row>
    <row r="783" spans="1:37" ht="14.5" x14ac:dyDescent="0.35">
      <c r="A783" s="141"/>
      <c r="B783" s="289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  <c r="AJ783" s="141"/>
      <c r="AK783" s="141"/>
    </row>
    <row r="784" spans="1:37" ht="14.5" x14ac:dyDescent="0.35">
      <c r="A784" s="141"/>
      <c r="B784" s="289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  <c r="AH784" s="141"/>
      <c r="AI784" s="141"/>
      <c r="AJ784" s="141"/>
      <c r="AK784" s="141"/>
    </row>
    <row r="785" spans="1:37" ht="14.5" x14ac:dyDescent="0.35">
      <c r="A785" s="141"/>
      <c r="B785" s="289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  <c r="AH785" s="141"/>
      <c r="AI785" s="141"/>
      <c r="AJ785" s="141"/>
      <c r="AK785" s="141"/>
    </row>
    <row r="786" spans="1:37" ht="14.5" x14ac:dyDescent="0.35">
      <c r="A786" s="141"/>
      <c r="B786" s="289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  <c r="AH786" s="141"/>
      <c r="AI786" s="141"/>
      <c r="AJ786" s="141"/>
      <c r="AK786" s="141"/>
    </row>
    <row r="787" spans="1:37" ht="14.5" x14ac:dyDescent="0.35">
      <c r="A787" s="141"/>
      <c r="B787" s="289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</row>
    <row r="788" spans="1:37" ht="14.5" x14ac:dyDescent="0.35">
      <c r="A788" s="141"/>
      <c r="B788" s="289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  <c r="AJ788" s="141"/>
      <c r="AK788" s="141"/>
    </row>
    <row r="789" spans="1:37" ht="14.5" x14ac:dyDescent="0.35">
      <c r="A789" s="141"/>
      <c r="B789" s="289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/>
    </row>
    <row r="790" spans="1:37" ht="14.5" x14ac:dyDescent="0.35">
      <c r="A790" s="141"/>
      <c r="B790" s="289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  <c r="AJ790" s="141"/>
      <c r="AK790" s="141"/>
    </row>
    <row r="791" spans="1:37" ht="14.5" x14ac:dyDescent="0.35">
      <c r="A791" s="141"/>
      <c r="B791" s="289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/>
    </row>
    <row r="792" spans="1:37" ht="14.5" x14ac:dyDescent="0.35">
      <c r="A792" s="141"/>
      <c r="B792" s="289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  <c r="AJ792" s="141"/>
      <c r="AK792" s="141"/>
    </row>
    <row r="793" spans="1:37" ht="14.5" x14ac:dyDescent="0.35">
      <c r="A793" s="141"/>
      <c r="B793" s="289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  <c r="AJ793" s="141"/>
      <c r="AK793" s="141"/>
    </row>
    <row r="794" spans="1:37" ht="14.5" x14ac:dyDescent="0.35">
      <c r="A794" s="141"/>
      <c r="B794" s="289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  <c r="AJ794" s="141"/>
      <c r="AK794" s="141"/>
    </row>
    <row r="795" spans="1:37" ht="14.5" x14ac:dyDescent="0.35">
      <c r="A795" s="141"/>
      <c r="B795" s="289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/>
    </row>
    <row r="796" spans="1:37" ht="14.5" x14ac:dyDescent="0.35">
      <c r="A796" s="141"/>
      <c r="B796" s="289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  <c r="AJ796" s="141"/>
      <c r="AK796" s="141"/>
    </row>
    <row r="797" spans="1:37" ht="14.5" x14ac:dyDescent="0.35">
      <c r="A797" s="141"/>
      <c r="B797" s="289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  <c r="AJ797" s="141"/>
      <c r="AK797" s="141"/>
    </row>
    <row r="798" spans="1:37" ht="14.5" x14ac:dyDescent="0.35">
      <c r="A798" s="141"/>
      <c r="B798" s="289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  <c r="AH798" s="141"/>
      <c r="AI798" s="141"/>
      <c r="AJ798" s="141"/>
      <c r="AK798" s="141"/>
    </row>
    <row r="799" spans="1:37" ht="14.5" x14ac:dyDescent="0.35">
      <c r="A799" s="141"/>
      <c r="B799" s="289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  <c r="AJ799" s="141"/>
      <c r="AK799" s="141"/>
    </row>
    <row r="800" spans="1:37" ht="14.5" x14ac:dyDescent="0.35">
      <c r="A800" s="141"/>
      <c r="B800" s="289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  <c r="AH800" s="141"/>
      <c r="AI800" s="141"/>
      <c r="AJ800" s="141"/>
      <c r="AK800" s="141"/>
    </row>
    <row r="801" spans="1:37" ht="14.5" x14ac:dyDescent="0.35">
      <c r="A801" s="141"/>
      <c r="B801" s="289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  <c r="AJ801" s="141"/>
      <c r="AK801" s="141"/>
    </row>
    <row r="802" spans="1:37" ht="14.5" x14ac:dyDescent="0.35">
      <c r="A802" s="141"/>
      <c r="B802" s="289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  <c r="AH802" s="141"/>
      <c r="AI802" s="141"/>
      <c r="AJ802" s="141"/>
      <c r="AK802" s="141"/>
    </row>
    <row r="803" spans="1:37" ht="14.5" x14ac:dyDescent="0.35">
      <c r="A803" s="141"/>
      <c r="B803" s="289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  <c r="AJ803" s="141"/>
      <c r="AK803" s="141"/>
    </row>
    <row r="804" spans="1:37" ht="14.5" x14ac:dyDescent="0.35">
      <c r="A804" s="141"/>
      <c r="B804" s="289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  <c r="AH804" s="141"/>
      <c r="AI804" s="141"/>
      <c r="AJ804" s="141"/>
      <c r="AK804" s="141"/>
    </row>
    <row r="805" spans="1:37" ht="14.5" x14ac:dyDescent="0.35">
      <c r="A805" s="141"/>
      <c r="B805" s="289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  <c r="AJ805" s="141"/>
      <c r="AK805" s="141"/>
    </row>
    <row r="806" spans="1:37" ht="14.5" x14ac:dyDescent="0.35">
      <c r="A806" s="141"/>
      <c r="B806" s="289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  <c r="AH806" s="141"/>
      <c r="AI806" s="141"/>
      <c r="AJ806" s="141"/>
      <c r="AK806" s="141"/>
    </row>
    <row r="807" spans="1:37" ht="14.5" x14ac:dyDescent="0.35">
      <c r="A807" s="141"/>
      <c r="B807" s="289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  <c r="AJ807" s="141"/>
      <c r="AK807" s="141"/>
    </row>
    <row r="808" spans="1:37" ht="14.5" x14ac:dyDescent="0.35">
      <c r="A808" s="141"/>
      <c r="B808" s="289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  <c r="AH808" s="141"/>
      <c r="AI808" s="141"/>
      <c r="AJ808" s="141"/>
      <c r="AK808" s="141"/>
    </row>
    <row r="809" spans="1:37" ht="14.5" x14ac:dyDescent="0.35">
      <c r="A809" s="141"/>
      <c r="B809" s="289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  <c r="AH809" s="141"/>
      <c r="AI809" s="141"/>
      <c r="AJ809" s="141"/>
      <c r="AK809" s="141"/>
    </row>
    <row r="810" spans="1:37" ht="14.5" x14ac:dyDescent="0.35">
      <c r="A810" s="141"/>
      <c r="B810" s="289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  <c r="AH810" s="141"/>
      <c r="AI810" s="141"/>
      <c r="AJ810" s="141"/>
      <c r="AK810" s="141"/>
    </row>
    <row r="811" spans="1:37" ht="14.5" x14ac:dyDescent="0.35">
      <c r="A811" s="141"/>
      <c r="B811" s="289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  <c r="AJ811" s="141"/>
      <c r="AK811" s="141"/>
    </row>
    <row r="812" spans="1:37" ht="14.5" x14ac:dyDescent="0.35">
      <c r="A812" s="141"/>
      <c r="B812" s="289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  <c r="AH812" s="141"/>
      <c r="AI812" s="141"/>
      <c r="AJ812" s="141"/>
      <c r="AK812" s="141"/>
    </row>
    <row r="813" spans="1:37" ht="14.5" x14ac:dyDescent="0.35">
      <c r="A813" s="141"/>
      <c r="B813" s="289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  <c r="AH813" s="141"/>
      <c r="AI813" s="141"/>
      <c r="AJ813" s="141"/>
      <c r="AK813" s="141"/>
    </row>
    <row r="814" spans="1:37" ht="14.5" x14ac:dyDescent="0.35">
      <c r="A814" s="141"/>
      <c r="B814" s="289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  <c r="AH814" s="141"/>
      <c r="AI814" s="141"/>
      <c r="AJ814" s="141"/>
      <c r="AK814" s="141"/>
    </row>
    <row r="815" spans="1:37" ht="14.5" x14ac:dyDescent="0.35">
      <c r="A815" s="141"/>
      <c r="B815" s="289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  <c r="AH815" s="141"/>
      <c r="AI815" s="141"/>
      <c r="AJ815" s="141"/>
      <c r="AK815" s="141"/>
    </row>
    <row r="816" spans="1:37" ht="14.5" x14ac:dyDescent="0.35">
      <c r="A816" s="141"/>
      <c r="B816" s="289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  <c r="AJ816" s="141"/>
      <c r="AK816" s="141"/>
    </row>
    <row r="817" spans="1:37" ht="14.5" x14ac:dyDescent="0.35">
      <c r="A817" s="141"/>
      <c r="B817" s="289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  <c r="AH817" s="141"/>
      <c r="AI817" s="141"/>
      <c r="AJ817" s="141"/>
      <c r="AK817" s="141"/>
    </row>
    <row r="818" spans="1:37" ht="14.5" x14ac:dyDescent="0.35">
      <c r="A818" s="141"/>
      <c r="B818" s="289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  <c r="AJ818" s="141"/>
      <c r="AK818" s="141"/>
    </row>
    <row r="819" spans="1:37" ht="14.5" x14ac:dyDescent="0.35">
      <c r="A819" s="141"/>
      <c r="B819" s="289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  <c r="AH819" s="141"/>
      <c r="AI819" s="141"/>
      <c r="AJ819" s="141"/>
      <c r="AK819" s="141"/>
    </row>
    <row r="820" spans="1:37" ht="14.5" x14ac:dyDescent="0.35">
      <c r="A820" s="141"/>
      <c r="B820" s="289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  <c r="AJ820" s="141"/>
      <c r="AK820" s="141"/>
    </row>
    <row r="821" spans="1:37" ht="14.5" x14ac:dyDescent="0.35">
      <c r="A821" s="141"/>
      <c r="B821" s="289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  <c r="AH821" s="141"/>
      <c r="AI821" s="141"/>
      <c r="AJ821" s="141"/>
      <c r="AK821" s="141"/>
    </row>
    <row r="822" spans="1:37" ht="14.5" x14ac:dyDescent="0.35">
      <c r="A822" s="141"/>
      <c r="B822" s="289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</row>
    <row r="823" spans="1:37" ht="14.5" x14ac:dyDescent="0.35">
      <c r="A823" s="141"/>
      <c r="B823" s="289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  <c r="AH823" s="141"/>
      <c r="AI823" s="141"/>
      <c r="AJ823" s="141"/>
      <c r="AK823" s="141"/>
    </row>
    <row r="824" spans="1:37" ht="14.5" x14ac:dyDescent="0.35">
      <c r="A824" s="141"/>
      <c r="B824" s="289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  <c r="AJ824" s="141"/>
      <c r="AK824" s="141"/>
    </row>
    <row r="825" spans="1:37" ht="14.5" x14ac:dyDescent="0.35">
      <c r="A825" s="141"/>
      <c r="B825" s="289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  <c r="AH825" s="141"/>
      <c r="AI825" s="141"/>
      <c r="AJ825" s="141"/>
      <c r="AK825" s="141"/>
    </row>
    <row r="826" spans="1:37" ht="14.5" x14ac:dyDescent="0.35">
      <c r="A826" s="141"/>
      <c r="B826" s="289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  <c r="AJ826" s="141"/>
      <c r="AK826" s="141"/>
    </row>
    <row r="827" spans="1:37" ht="14.5" x14ac:dyDescent="0.35">
      <c r="A827" s="141"/>
      <c r="B827" s="289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  <c r="AH827" s="141"/>
      <c r="AI827" s="141"/>
      <c r="AJ827" s="141"/>
      <c r="AK827" s="141"/>
    </row>
    <row r="828" spans="1:37" ht="14.5" x14ac:dyDescent="0.35">
      <c r="A828" s="141"/>
      <c r="B828" s="289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  <c r="AH828" s="141"/>
      <c r="AI828" s="141"/>
      <c r="AJ828" s="141"/>
      <c r="AK828" s="141"/>
    </row>
    <row r="829" spans="1:37" ht="14.5" x14ac:dyDescent="0.35">
      <c r="A829" s="141"/>
      <c r="B829" s="289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  <c r="AH829" s="141"/>
      <c r="AI829" s="141"/>
      <c r="AJ829" s="141"/>
      <c r="AK829" s="141"/>
    </row>
    <row r="830" spans="1:37" ht="14.5" x14ac:dyDescent="0.35">
      <c r="A830" s="141"/>
      <c r="B830" s="289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  <c r="AJ830" s="141"/>
      <c r="AK830" s="141"/>
    </row>
    <row r="831" spans="1:37" ht="14.5" x14ac:dyDescent="0.35">
      <c r="A831" s="141"/>
      <c r="B831" s="289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  <c r="AH831" s="141"/>
      <c r="AI831" s="141"/>
      <c r="AJ831" s="141"/>
      <c r="AK831" s="141"/>
    </row>
    <row r="832" spans="1:37" ht="14.5" x14ac:dyDescent="0.35">
      <c r="A832" s="141"/>
      <c r="B832" s="289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  <c r="AH832" s="141"/>
      <c r="AI832" s="141"/>
      <c r="AJ832" s="141"/>
      <c r="AK832" s="141"/>
    </row>
    <row r="833" spans="1:37" ht="14.5" x14ac:dyDescent="0.35">
      <c r="A833" s="141"/>
      <c r="B833" s="289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  <c r="AJ833" s="141"/>
      <c r="AK833" s="141"/>
    </row>
    <row r="834" spans="1:37" ht="14.5" x14ac:dyDescent="0.35">
      <c r="A834" s="141"/>
      <c r="B834" s="289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  <c r="AH834" s="141"/>
      <c r="AI834" s="141"/>
      <c r="AJ834" s="141"/>
      <c r="AK834" s="141"/>
    </row>
    <row r="835" spans="1:37" ht="14.5" x14ac:dyDescent="0.35">
      <c r="A835" s="141"/>
      <c r="B835" s="289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  <c r="AJ835" s="141"/>
      <c r="AK835" s="141"/>
    </row>
    <row r="836" spans="1:37" ht="14.5" x14ac:dyDescent="0.35">
      <c r="A836" s="141"/>
      <c r="B836" s="289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  <c r="AH836" s="141"/>
      <c r="AI836" s="141"/>
      <c r="AJ836" s="141"/>
      <c r="AK836" s="141"/>
    </row>
    <row r="837" spans="1:37" ht="14.5" x14ac:dyDescent="0.35">
      <c r="A837" s="141"/>
      <c r="B837" s="289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  <c r="AJ837" s="141"/>
      <c r="AK837" s="141"/>
    </row>
    <row r="838" spans="1:37" ht="14.5" x14ac:dyDescent="0.35">
      <c r="A838" s="141"/>
      <c r="B838" s="289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  <c r="AH838" s="141"/>
      <c r="AI838" s="141"/>
      <c r="AJ838" s="141"/>
      <c r="AK838" s="141"/>
    </row>
    <row r="839" spans="1:37" ht="14.5" x14ac:dyDescent="0.35">
      <c r="A839" s="141"/>
      <c r="B839" s="289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  <c r="AH839" s="141"/>
      <c r="AI839" s="141"/>
      <c r="AJ839" s="141"/>
      <c r="AK839" s="141"/>
    </row>
    <row r="840" spans="1:37" ht="14.5" x14ac:dyDescent="0.35">
      <c r="A840" s="141"/>
      <c r="B840" s="289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  <c r="AH840" s="141"/>
      <c r="AI840" s="141"/>
      <c r="AJ840" s="141"/>
      <c r="AK840" s="141"/>
    </row>
    <row r="841" spans="1:37" ht="14.5" x14ac:dyDescent="0.35">
      <c r="A841" s="141"/>
      <c r="B841" s="289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  <c r="AH841" s="141"/>
      <c r="AI841" s="141"/>
      <c r="AJ841" s="141"/>
      <c r="AK841" s="141"/>
    </row>
    <row r="842" spans="1:37" ht="14.5" x14ac:dyDescent="0.35">
      <c r="A842" s="141"/>
      <c r="B842" s="289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  <c r="AJ842" s="141"/>
      <c r="AK842" s="141"/>
    </row>
    <row r="843" spans="1:37" ht="14.5" x14ac:dyDescent="0.35">
      <c r="A843" s="141"/>
      <c r="B843" s="289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  <c r="AH843" s="141"/>
      <c r="AI843" s="141"/>
      <c r="AJ843" s="141"/>
      <c r="AK843" s="141"/>
    </row>
    <row r="844" spans="1:37" ht="14.5" x14ac:dyDescent="0.35">
      <c r="A844" s="141"/>
      <c r="B844" s="289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  <c r="AJ844" s="141"/>
      <c r="AK844" s="141"/>
    </row>
    <row r="845" spans="1:37" ht="14.5" x14ac:dyDescent="0.35">
      <c r="A845" s="141"/>
      <c r="B845" s="289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  <c r="AH845" s="141"/>
      <c r="AI845" s="141"/>
      <c r="AJ845" s="141"/>
      <c r="AK845" s="141"/>
    </row>
    <row r="846" spans="1:37" ht="14.5" x14ac:dyDescent="0.35">
      <c r="A846" s="141"/>
      <c r="B846" s="289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  <c r="AH846" s="141"/>
      <c r="AI846" s="141"/>
      <c r="AJ846" s="141"/>
      <c r="AK846" s="141"/>
    </row>
    <row r="847" spans="1:37" ht="14.5" x14ac:dyDescent="0.35">
      <c r="A847" s="141"/>
      <c r="B847" s="289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  <c r="AH847" s="141"/>
      <c r="AI847" s="141"/>
      <c r="AJ847" s="141"/>
      <c r="AK847" s="141"/>
    </row>
    <row r="848" spans="1:37" ht="14.5" x14ac:dyDescent="0.35">
      <c r="A848" s="141"/>
      <c r="B848" s="289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  <c r="AJ848" s="141"/>
      <c r="AK848" s="141"/>
    </row>
    <row r="849" spans="1:37" ht="14.5" x14ac:dyDescent="0.35">
      <c r="A849" s="141"/>
      <c r="B849" s="289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  <c r="AH849" s="141"/>
      <c r="AI849" s="141"/>
      <c r="AJ849" s="141"/>
      <c r="AK849" s="141"/>
    </row>
    <row r="850" spans="1:37" ht="14.5" x14ac:dyDescent="0.35">
      <c r="A850" s="141"/>
      <c r="B850" s="289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  <c r="AH850" s="141"/>
      <c r="AI850" s="141"/>
      <c r="AJ850" s="141"/>
      <c r="AK850" s="141"/>
    </row>
    <row r="851" spans="1:37" ht="14.5" x14ac:dyDescent="0.35">
      <c r="A851" s="141"/>
      <c r="B851" s="289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  <c r="AJ851" s="141"/>
      <c r="AK851" s="141"/>
    </row>
    <row r="852" spans="1:37" ht="14.5" x14ac:dyDescent="0.35">
      <c r="A852" s="141"/>
      <c r="B852" s="289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  <c r="AH852" s="141"/>
      <c r="AI852" s="141"/>
      <c r="AJ852" s="141"/>
      <c r="AK852" s="141"/>
    </row>
    <row r="853" spans="1:37" ht="14.5" x14ac:dyDescent="0.35">
      <c r="A853" s="141"/>
      <c r="B853" s="289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  <c r="AJ853" s="141"/>
      <c r="AK853" s="141"/>
    </row>
    <row r="854" spans="1:37" ht="14.5" x14ac:dyDescent="0.35">
      <c r="A854" s="141"/>
      <c r="B854" s="289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  <c r="AH854" s="141"/>
      <c r="AI854" s="141"/>
      <c r="AJ854" s="141"/>
      <c r="AK854" s="141"/>
    </row>
    <row r="855" spans="1:37" ht="14.5" x14ac:dyDescent="0.35">
      <c r="A855" s="141"/>
      <c r="B855" s="289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  <c r="AH855" s="141"/>
      <c r="AI855" s="141"/>
      <c r="AJ855" s="141"/>
      <c r="AK855" s="141"/>
    </row>
    <row r="856" spans="1:37" ht="14.5" x14ac:dyDescent="0.35">
      <c r="A856" s="141"/>
      <c r="B856" s="289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  <c r="AH856" s="141"/>
      <c r="AI856" s="141"/>
      <c r="AJ856" s="141"/>
      <c r="AK856" s="141"/>
    </row>
    <row r="857" spans="1:37" ht="14.5" x14ac:dyDescent="0.35">
      <c r="A857" s="141"/>
      <c r="B857" s="289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  <c r="AJ857" s="141"/>
      <c r="AK857" s="141"/>
    </row>
    <row r="858" spans="1:37" ht="14.5" x14ac:dyDescent="0.35">
      <c r="A858" s="141"/>
      <c r="B858" s="289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  <c r="AH858" s="141"/>
      <c r="AI858" s="141"/>
      <c r="AJ858" s="141"/>
      <c r="AK858" s="141"/>
    </row>
    <row r="859" spans="1:37" ht="14.5" x14ac:dyDescent="0.35">
      <c r="A859" s="141"/>
      <c r="B859" s="289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  <c r="AJ859" s="141"/>
      <c r="AK859" s="141"/>
    </row>
    <row r="860" spans="1:37" ht="14.5" x14ac:dyDescent="0.35">
      <c r="A860" s="141"/>
      <c r="B860" s="289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  <c r="AH860" s="141"/>
      <c r="AI860" s="141"/>
      <c r="AJ860" s="141"/>
      <c r="AK860" s="141"/>
    </row>
    <row r="861" spans="1:37" ht="14.5" x14ac:dyDescent="0.35">
      <c r="A861" s="141"/>
      <c r="B861" s="289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  <c r="AJ861" s="141"/>
      <c r="AK861" s="141"/>
    </row>
    <row r="862" spans="1:37" ht="14.5" x14ac:dyDescent="0.35">
      <c r="A862" s="141"/>
      <c r="B862" s="289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  <c r="AH862" s="141"/>
      <c r="AI862" s="141"/>
      <c r="AJ862" s="141"/>
      <c r="AK862" s="141"/>
    </row>
    <row r="863" spans="1:37" ht="14.5" x14ac:dyDescent="0.35">
      <c r="A863" s="141"/>
      <c r="B863" s="289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  <c r="AH863" s="141"/>
      <c r="AI863" s="141"/>
      <c r="AJ863" s="141"/>
      <c r="AK863" s="141"/>
    </row>
    <row r="864" spans="1:37" ht="14.5" x14ac:dyDescent="0.35">
      <c r="A864" s="141"/>
      <c r="B864" s="289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  <c r="AJ864" s="141"/>
      <c r="AK864" s="141"/>
    </row>
    <row r="865" spans="1:37" ht="14.5" x14ac:dyDescent="0.35">
      <c r="A865" s="141"/>
      <c r="B865" s="289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  <c r="AH865" s="141"/>
      <c r="AI865" s="141"/>
      <c r="AJ865" s="141"/>
      <c r="AK865" s="141"/>
    </row>
    <row r="866" spans="1:37" ht="14.5" x14ac:dyDescent="0.35">
      <c r="A866" s="141"/>
      <c r="B866" s="289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  <c r="AJ866" s="141"/>
      <c r="AK866" s="141"/>
    </row>
    <row r="867" spans="1:37" ht="14.5" x14ac:dyDescent="0.35">
      <c r="A867" s="141"/>
      <c r="B867" s="289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  <c r="AH867" s="141"/>
      <c r="AI867" s="141"/>
      <c r="AJ867" s="141"/>
      <c r="AK867" s="141"/>
    </row>
    <row r="868" spans="1:37" ht="14.5" x14ac:dyDescent="0.35">
      <c r="A868" s="141"/>
      <c r="B868" s="289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  <c r="AH868" s="141"/>
      <c r="AI868" s="141"/>
      <c r="AJ868" s="141"/>
      <c r="AK868" s="141"/>
    </row>
    <row r="869" spans="1:37" ht="14.5" x14ac:dyDescent="0.35">
      <c r="A869" s="141"/>
      <c r="B869" s="289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  <c r="AH869" s="141"/>
      <c r="AI869" s="141"/>
      <c r="AJ869" s="141"/>
      <c r="AK869" s="141"/>
    </row>
    <row r="870" spans="1:37" ht="14.5" x14ac:dyDescent="0.35">
      <c r="A870" s="141"/>
      <c r="B870" s="289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  <c r="AH870" s="141"/>
      <c r="AI870" s="141"/>
      <c r="AJ870" s="141"/>
      <c r="AK870" s="141"/>
    </row>
    <row r="871" spans="1:37" ht="14.5" x14ac:dyDescent="0.35">
      <c r="A871" s="141"/>
      <c r="B871" s="289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  <c r="AJ871" s="141"/>
      <c r="AK871" s="141"/>
    </row>
    <row r="872" spans="1:37" ht="14.5" x14ac:dyDescent="0.35">
      <c r="A872" s="141"/>
      <c r="B872" s="289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  <c r="AH872" s="141"/>
      <c r="AI872" s="141"/>
      <c r="AJ872" s="141"/>
      <c r="AK872" s="141"/>
    </row>
    <row r="873" spans="1:37" ht="14.5" x14ac:dyDescent="0.35">
      <c r="A873" s="141"/>
      <c r="B873" s="289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  <c r="AH873" s="141"/>
      <c r="AI873" s="141"/>
      <c r="AJ873" s="141"/>
      <c r="AK873" s="141"/>
    </row>
    <row r="874" spans="1:37" ht="14.5" x14ac:dyDescent="0.35">
      <c r="A874" s="141"/>
      <c r="B874" s="289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  <c r="AH874" s="141"/>
      <c r="AI874" s="141"/>
      <c r="AJ874" s="141"/>
      <c r="AK874" s="141"/>
    </row>
    <row r="875" spans="1:37" ht="14.5" x14ac:dyDescent="0.35">
      <c r="A875" s="141"/>
      <c r="B875" s="289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  <c r="AJ875" s="141"/>
      <c r="AK875" s="141"/>
    </row>
    <row r="876" spans="1:37" ht="14.5" x14ac:dyDescent="0.35">
      <c r="A876" s="141"/>
      <c r="B876" s="289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  <c r="AH876" s="141"/>
      <c r="AI876" s="141"/>
      <c r="AJ876" s="141"/>
      <c r="AK876" s="141"/>
    </row>
    <row r="877" spans="1:37" ht="14.5" x14ac:dyDescent="0.35">
      <c r="A877" s="141"/>
      <c r="B877" s="289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  <c r="AJ877" s="141"/>
      <c r="AK877" s="141"/>
    </row>
    <row r="878" spans="1:37" ht="14.5" x14ac:dyDescent="0.35">
      <c r="A878" s="141"/>
      <c r="B878" s="289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  <c r="AH878" s="141"/>
      <c r="AI878" s="141"/>
      <c r="AJ878" s="141"/>
      <c r="AK878" s="141"/>
    </row>
    <row r="879" spans="1:37" ht="14.5" x14ac:dyDescent="0.35">
      <c r="A879" s="141"/>
      <c r="B879" s="289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  <c r="AJ879" s="141"/>
      <c r="AK879" s="141"/>
    </row>
    <row r="880" spans="1:37" ht="14.5" x14ac:dyDescent="0.35">
      <c r="A880" s="141"/>
      <c r="B880" s="289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  <c r="AH880" s="141"/>
      <c r="AI880" s="141"/>
      <c r="AJ880" s="141"/>
      <c r="AK880" s="141"/>
    </row>
    <row r="881" spans="1:37" ht="14.5" x14ac:dyDescent="0.35">
      <c r="A881" s="141"/>
      <c r="B881" s="289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  <c r="AH881" s="141"/>
      <c r="AI881" s="141"/>
      <c r="AJ881" s="141"/>
      <c r="AK881" s="141"/>
    </row>
    <row r="882" spans="1:37" ht="14.5" x14ac:dyDescent="0.35">
      <c r="A882" s="141"/>
      <c r="B882" s="289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  <c r="AH882" s="141"/>
      <c r="AI882" s="141"/>
      <c r="AJ882" s="141"/>
      <c r="AK882" s="141"/>
    </row>
    <row r="883" spans="1:37" ht="14.5" x14ac:dyDescent="0.35">
      <c r="A883" s="141"/>
      <c r="B883" s="289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  <c r="AJ883" s="141"/>
      <c r="AK883" s="141"/>
    </row>
    <row r="884" spans="1:37" ht="14.5" x14ac:dyDescent="0.35">
      <c r="A884" s="141"/>
      <c r="B884" s="289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  <c r="AH884" s="141"/>
      <c r="AI884" s="141"/>
      <c r="AJ884" s="141"/>
      <c r="AK884" s="141"/>
    </row>
    <row r="885" spans="1:37" ht="14.5" x14ac:dyDescent="0.35">
      <c r="A885" s="141"/>
      <c r="B885" s="289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  <c r="AJ885" s="141"/>
      <c r="AK885" s="141"/>
    </row>
    <row r="886" spans="1:37" ht="14.5" x14ac:dyDescent="0.35">
      <c r="A886" s="141"/>
      <c r="B886" s="289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  <c r="AH886" s="141"/>
      <c r="AI886" s="141"/>
      <c r="AJ886" s="141"/>
      <c r="AK886" s="141"/>
    </row>
    <row r="887" spans="1:37" ht="14.5" x14ac:dyDescent="0.35">
      <c r="A887" s="141"/>
      <c r="B887" s="289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  <c r="AJ887" s="141"/>
      <c r="AK887" s="141"/>
    </row>
    <row r="888" spans="1:37" ht="14.5" x14ac:dyDescent="0.35">
      <c r="A888" s="141"/>
      <c r="B888" s="289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  <c r="AH888" s="141"/>
      <c r="AI888" s="141"/>
      <c r="AJ888" s="141"/>
      <c r="AK888" s="141"/>
    </row>
    <row r="889" spans="1:37" ht="14.5" x14ac:dyDescent="0.35">
      <c r="A889" s="141"/>
      <c r="B889" s="289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  <c r="AJ889" s="141"/>
      <c r="AK889" s="141"/>
    </row>
    <row r="890" spans="1:37" ht="14.5" x14ac:dyDescent="0.35">
      <c r="A890" s="141"/>
      <c r="B890" s="289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  <c r="AH890" s="141"/>
      <c r="AI890" s="141"/>
      <c r="AJ890" s="141"/>
      <c r="AK890" s="141"/>
    </row>
    <row r="891" spans="1:37" ht="14.5" x14ac:dyDescent="0.35">
      <c r="A891" s="141"/>
      <c r="B891" s="289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  <c r="AJ891" s="141"/>
      <c r="AK891" s="141"/>
    </row>
    <row r="892" spans="1:37" ht="14.5" x14ac:dyDescent="0.35">
      <c r="A892" s="141"/>
      <c r="B892" s="289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  <c r="AH892" s="141"/>
      <c r="AI892" s="141"/>
      <c r="AJ892" s="141"/>
      <c r="AK892" s="141"/>
    </row>
    <row r="893" spans="1:37" ht="14.5" x14ac:dyDescent="0.35">
      <c r="A893" s="141"/>
      <c r="B893" s="289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  <c r="AJ893" s="141"/>
      <c r="AK893" s="141"/>
    </row>
    <row r="894" spans="1:37" ht="14.5" x14ac:dyDescent="0.35">
      <c r="A894" s="141"/>
      <c r="B894" s="289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  <c r="AH894" s="141"/>
      <c r="AI894" s="141"/>
      <c r="AJ894" s="141"/>
      <c r="AK894" s="141"/>
    </row>
    <row r="895" spans="1:37" ht="14.5" x14ac:dyDescent="0.35">
      <c r="A895" s="141"/>
      <c r="B895" s="289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  <c r="AH895" s="141"/>
      <c r="AI895" s="141"/>
      <c r="AJ895" s="141"/>
      <c r="AK895" s="141"/>
    </row>
    <row r="896" spans="1:37" ht="14.5" x14ac:dyDescent="0.35">
      <c r="A896" s="141"/>
      <c r="B896" s="289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  <c r="AH896" s="141"/>
      <c r="AI896" s="141"/>
      <c r="AJ896" s="141"/>
      <c r="AK896" s="141"/>
    </row>
    <row r="897" spans="1:37" ht="14.5" x14ac:dyDescent="0.35">
      <c r="A897" s="141"/>
      <c r="B897" s="289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  <c r="AJ897" s="141"/>
      <c r="AK897" s="141"/>
    </row>
    <row r="898" spans="1:37" ht="14.5" x14ac:dyDescent="0.35">
      <c r="A898" s="141"/>
      <c r="B898" s="289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  <c r="AH898" s="141"/>
      <c r="AI898" s="141"/>
      <c r="AJ898" s="141"/>
      <c r="AK898" s="141"/>
    </row>
    <row r="899" spans="1:37" ht="14.5" x14ac:dyDescent="0.35">
      <c r="A899" s="141"/>
      <c r="B899" s="289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  <c r="AJ899" s="141"/>
      <c r="AK899" s="141"/>
    </row>
    <row r="900" spans="1:37" ht="14.5" x14ac:dyDescent="0.35">
      <c r="A900" s="141"/>
      <c r="B900" s="289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  <c r="AH900" s="141"/>
      <c r="AI900" s="141"/>
      <c r="AJ900" s="141"/>
      <c r="AK900" s="141"/>
    </row>
    <row r="901" spans="1:37" ht="14.5" x14ac:dyDescent="0.35">
      <c r="A901" s="141"/>
      <c r="B901" s="289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  <c r="AJ901" s="141"/>
      <c r="AK901" s="141"/>
    </row>
    <row r="902" spans="1:37" ht="14.5" x14ac:dyDescent="0.35">
      <c r="A902" s="141"/>
      <c r="B902" s="289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  <c r="AH902" s="141"/>
      <c r="AI902" s="141"/>
      <c r="AJ902" s="141"/>
      <c r="AK902" s="141"/>
    </row>
    <row r="903" spans="1:37" ht="14.5" x14ac:dyDescent="0.35">
      <c r="A903" s="141"/>
      <c r="B903" s="289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  <c r="AH903" s="141"/>
      <c r="AI903" s="141"/>
      <c r="AJ903" s="141"/>
      <c r="AK903" s="141"/>
    </row>
    <row r="904" spans="1:37" ht="14.5" x14ac:dyDescent="0.35">
      <c r="A904" s="141"/>
      <c r="B904" s="289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  <c r="AH904" s="141"/>
      <c r="AI904" s="141"/>
      <c r="AJ904" s="141"/>
      <c r="AK904" s="141"/>
    </row>
    <row r="905" spans="1:37" ht="14.5" x14ac:dyDescent="0.35">
      <c r="A905" s="141"/>
      <c r="B905" s="289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  <c r="AH905" s="141"/>
      <c r="AI905" s="141"/>
      <c r="AJ905" s="141"/>
      <c r="AK905" s="141"/>
    </row>
    <row r="906" spans="1:37" ht="14.5" x14ac:dyDescent="0.35">
      <c r="A906" s="141"/>
      <c r="B906" s="289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  <c r="AH906" s="141"/>
      <c r="AI906" s="141"/>
      <c r="AJ906" s="141"/>
      <c r="AK906" s="141"/>
    </row>
    <row r="907" spans="1:37" ht="14.5" x14ac:dyDescent="0.35">
      <c r="A907" s="141"/>
      <c r="B907" s="289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  <c r="AJ907" s="141"/>
      <c r="AK907" s="141"/>
    </row>
    <row r="908" spans="1:37" ht="14.5" x14ac:dyDescent="0.35">
      <c r="A908" s="141"/>
      <c r="B908" s="289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  <c r="AH908" s="141"/>
      <c r="AI908" s="141"/>
      <c r="AJ908" s="141"/>
      <c r="AK908" s="141"/>
    </row>
    <row r="909" spans="1:37" ht="14.5" x14ac:dyDescent="0.35">
      <c r="A909" s="141"/>
      <c r="B909" s="289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  <c r="AJ909" s="141"/>
      <c r="AK909" s="141"/>
    </row>
    <row r="910" spans="1:37" ht="14.5" x14ac:dyDescent="0.35">
      <c r="A910" s="141"/>
      <c r="B910" s="289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  <c r="AH910" s="141"/>
      <c r="AI910" s="141"/>
      <c r="AJ910" s="141"/>
      <c r="AK910" s="141"/>
    </row>
    <row r="911" spans="1:37" ht="14.5" x14ac:dyDescent="0.35">
      <c r="A911" s="141"/>
      <c r="B911" s="289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  <c r="AH911" s="141"/>
      <c r="AI911" s="141"/>
      <c r="AJ911" s="141"/>
      <c r="AK911" s="141"/>
    </row>
    <row r="912" spans="1:37" ht="14.5" x14ac:dyDescent="0.35">
      <c r="A912" s="141"/>
      <c r="B912" s="289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  <c r="AH912" s="141"/>
      <c r="AI912" s="141"/>
      <c r="AJ912" s="141"/>
      <c r="AK912" s="141"/>
    </row>
    <row r="913" spans="1:37" ht="14.5" x14ac:dyDescent="0.35">
      <c r="A913" s="141"/>
      <c r="B913" s="289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  <c r="AH913" s="141"/>
      <c r="AI913" s="141"/>
      <c r="AJ913" s="141"/>
      <c r="AK913" s="141"/>
    </row>
    <row r="914" spans="1:37" ht="14.5" x14ac:dyDescent="0.35">
      <c r="A914" s="141"/>
      <c r="B914" s="289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  <c r="AH914" s="141"/>
      <c r="AI914" s="141"/>
      <c r="AJ914" s="141"/>
      <c r="AK914" s="141"/>
    </row>
    <row r="915" spans="1:37" ht="14.5" x14ac:dyDescent="0.35">
      <c r="A915" s="141"/>
      <c r="B915" s="289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  <c r="AJ915" s="141"/>
      <c r="AK915" s="141"/>
    </row>
    <row r="916" spans="1:37" ht="14.5" x14ac:dyDescent="0.35">
      <c r="A916" s="141"/>
      <c r="B916" s="289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  <c r="AH916" s="141"/>
      <c r="AI916" s="141"/>
      <c r="AJ916" s="141"/>
      <c r="AK916" s="141"/>
    </row>
    <row r="917" spans="1:37" ht="14.5" x14ac:dyDescent="0.35">
      <c r="A917" s="141"/>
      <c r="B917" s="289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  <c r="AH917" s="141"/>
      <c r="AI917" s="141"/>
      <c r="AJ917" s="141"/>
      <c r="AK917" s="141"/>
    </row>
    <row r="918" spans="1:37" ht="14.5" x14ac:dyDescent="0.35">
      <c r="A918" s="141"/>
      <c r="B918" s="289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  <c r="AH918" s="141"/>
      <c r="AI918" s="141"/>
      <c r="AJ918" s="141"/>
      <c r="AK918" s="141"/>
    </row>
    <row r="919" spans="1:37" ht="14.5" x14ac:dyDescent="0.35">
      <c r="A919" s="141"/>
      <c r="B919" s="289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  <c r="AH919" s="141"/>
      <c r="AI919" s="141"/>
      <c r="AJ919" s="141"/>
      <c r="AK919" s="141"/>
    </row>
    <row r="920" spans="1:37" ht="14.5" x14ac:dyDescent="0.35">
      <c r="A920" s="141"/>
      <c r="B920" s="289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  <c r="AH920" s="141"/>
      <c r="AI920" s="141"/>
      <c r="AJ920" s="141"/>
      <c r="AK920" s="141"/>
    </row>
    <row r="921" spans="1:37" ht="14.5" x14ac:dyDescent="0.35">
      <c r="A921" s="141"/>
      <c r="B921" s="289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  <c r="AJ921" s="141"/>
      <c r="AK921" s="141"/>
    </row>
    <row r="922" spans="1:37" ht="14.5" x14ac:dyDescent="0.35">
      <c r="A922" s="141"/>
      <c r="B922" s="289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  <c r="AH922" s="141"/>
      <c r="AI922" s="141"/>
      <c r="AJ922" s="141"/>
      <c r="AK922" s="141"/>
    </row>
    <row r="923" spans="1:37" ht="14.5" x14ac:dyDescent="0.35">
      <c r="A923" s="141"/>
      <c r="B923" s="289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  <c r="AJ923" s="141"/>
      <c r="AK923" s="141"/>
    </row>
    <row r="924" spans="1:37" ht="14.5" x14ac:dyDescent="0.35">
      <c r="A924" s="141"/>
      <c r="B924" s="289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  <c r="AH924" s="141"/>
      <c r="AI924" s="141"/>
      <c r="AJ924" s="141"/>
      <c r="AK924" s="141"/>
    </row>
    <row r="925" spans="1:37" ht="14.5" x14ac:dyDescent="0.35">
      <c r="A925" s="141"/>
      <c r="B925" s="289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  <c r="AH925" s="141"/>
      <c r="AI925" s="141"/>
      <c r="AJ925" s="141"/>
      <c r="AK925" s="141"/>
    </row>
    <row r="926" spans="1:37" ht="14.5" x14ac:dyDescent="0.35">
      <c r="A926" s="141"/>
      <c r="B926" s="289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  <c r="AH926" s="141"/>
      <c r="AI926" s="141"/>
      <c r="AJ926" s="141"/>
      <c r="AK926" s="141"/>
    </row>
    <row r="927" spans="1:37" ht="14.5" x14ac:dyDescent="0.35">
      <c r="A927" s="141"/>
      <c r="B927" s="289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  <c r="AH927" s="141"/>
      <c r="AI927" s="141"/>
      <c r="AJ927" s="141"/>
      <c r="AK927" s="141"/>
    </row>
    <row r="928" spans="1:37" ht="14.5" x14ac:dyDescent="0.35">
      <c r="A928" s="141"/>
      <c r="B928" s="289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  <c r="AH928" s="141"/>
      <c r="AI928" s="141"/>
      <c r="AJ928" s="141"/>
      <c r="AK928" s="141"/>
    </row>
    <row r="929" spans="1:37" ht="14.5" x14ac:dyDescent="0.35">
      <c r="A929" s="141"/>
      <c r="B929" s="289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  <c r="AJ929" s="141"/>
      <c r="AK929" s="141"/>
    </row>
    <row r="930" spans="1:37" ht="14.5" x14ac:dyDescent="0.35">
      <c r="A930" s="141"/>
      <c r="B930" s="289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  <c r="AH930" s="141"/>
      <c r="AI930" s="141"/>
      <c r="AJ930" s="141"/>
      <c r="AK930" s="141"/>
    </row>
    <row r="931" spans="1:37" ht="14.5" x14ac:dyDescent="0.35">
      <c r="A931" s="141"/>
      <c r="B931" s="289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  <c r="AJ931" s="141"/>
      <c r="AK931" s="141"/>
    </row>
    <row r="932" spans="1:37" ht="14.5" x14ac:dyDescent="0.35">
      <c r="A932" s="141"/>
      <c r="B932" s="289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  <c r="AH932" s="141"/>
      <c r="AI932" s="141"/>
      <c r="AJ932" s="141"/>
      <c r="AK932" s="141"/>
    </row>
    <row r="933" spans="1:37" ht="14.5" x14ac:dyDescent="0.35">
      <c r="A933" s="141"/>
      <c r="B933" s="289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  <c r="AJ933" s="141"/>
      <c r="AK933" s="141"/>
    </row>
    <row r="934" spans="1:37" ht="14.5" x14ac:dyDescent="0.35">
      <c r="A934" s="141"/>
      <c r="B934" s="289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  <c r="AH934" s="141"/>
      <c r="AI934" s="141"/>
      <c r="AJ934" s="141"/>
      <c r="AK934" s="141"/>
    </row>
    <row r="935" spans="1:37" ht="14.5" x14ac:dyDescent="0.35">
      <c r="A935" s="141"/>
      <c r="B935" s="289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  <c r="AJ935" s="141"/>
      <c r="AK935" s="141"/>
    </row>
    <row r="936" spans="1:37" ht="14.5" x14ac:dyDescent="0.35">
      <c r="A936" s="141"/>
      <c r="B936" s="289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  <c r="AH936" s="141"/>
      <c r="AI936" s="141"/>
      <c r="AJ936" s="141"/>
      <c r="AK936" s="141"/>
    </row>
    <row r="937" spans="1:37" ht="14.5" x14ac:dyDescent="0.35">
      <c r="A937" s="141"/>
      <c r="B937" s="289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  <c r="AH937" s="141"/>
      <c r="AI937" s="141"/>
      <c r="AJ937" s="141"/>
      <c r="AK937" s="141"/>
    </row>
    <row r="938" spans="1:37" ht="14.5" x14ac:dyDescent="0.35">
      <c r="A938" s="141"/>
      <c r="B938" s="289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  <c r="AH938" s="141"/>
      <c r="AI938" s="141"/>
      <c r="AJ938" s="141"/>
      <c r="AK938" s="141"/>
    </row>
    <row r="939" spans="1:37" ht="14.5" x14ac:dyDescent="0.35">
      <c r="A939" s="141"/>
      <c r="B939" s="289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  <c r="AH939" s="141"/>
      <c r="AI939" s="141"/>
      <c r="AJ939" s="141"/>
      <c r="AK939" s="141"/>
    </row>
    <row r="940" spans="1:37" ht="14.5" x14ac:dyDescent="0.35">
      <c r="A940" s="141"/>
      <c r="B940" s="289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  <c r="AH940" s="141"/>
      <c r="AI940" s="141"/>
      <c r="AJ940" s="141"/>
      <c r="AK940" s="141"/>
    </row>
    <row r="941" spans="1:37" ht="14.5" x14ac:dyDescent="0.35">
      <c r="A941" s="141"/>
      <c r="B941" s="289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  <c r="AH941" s="141"/>
      <c r="AI941" s="141"/>
      <c r="AJ941" s="141"/>
      <c r="AK941" s="141"/>
    </row>
    <row r="942" spans="1:37" ht="14.5" x14ac:dyDescent="0.35">
      <c r="A942" s="141"/>
      <c r="B942" s="289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  <c r="AJ942" s="141"/>
      <c r="AK942" s="141"/>
    </row>
    <row r="943" spans="1:37" ht="14.5" x14ac:dyDescent="0.35">
      <c r="A943" s="141"/>
      <c r="B943" s="289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  <c r="AH943" s="141"/>
      <c r="AI943" s="141"/>
      <c r="AJ943" s="141"/>
      <c r="AK943" s="141"/>
    </row>
    <row r="944" spans="1:37" ht="14.5" x14ac:dyDescent="0.35">
      <c r="A944" s="141"/>
      <c r="B944" s="289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  <c r="AJ944" s="141"/>
      <c r="AK944" s="141"/>
    </row>
    <row r="945" spans="1:37" ht="14.5" x14ac:dyDescent="0.35">
      <c r="A945" s="141"/>
      <c r="B945" s="289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  <c r="AH945" s="141"/>
      <c r="AI945" s="141"/>
      <c r="AJ945" s="141"/>
      <c r="AK945" s="141"/>
    </row>
    <row r="946" spans="1:37" ht="14.5" x14ac:dyDescent="0.35">
      <c r="A946" s="141"/>
      <c r="B946" s="289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  <c r="AJ946" s="141"/>
      <c r="AK946" s="141"/>
    </row>
    <row r="947" spans="1:37" ht="14.5" x14ac:dyDescent="0.35">
      <c r="A947" s="141"/>
      <c r="B947" s="289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  <c r="AH947" s="141"/>
      <c r="AI947" s="141"/>
      <c r="AJ947" s="141"/>
      <c r="AK947" s="141"/>
    </row>
    <row r="948" spans="1:37" ht="14.5" x14ac:dyDescent="0.35">
      <c r="A948" s="141"/>
      <c r="B948" s="289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/>
      <c r="AI948" s="141"/>
      <c r="AJ948" s="141"/>
      <c r="AK948" s="141"/>
    </row>
    <row r="949" spans="1:37" ht="14.5" x14ac:dyDescent="0.35">
      <c r="A949" s="141"/>
      <c r="B949" s="289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  <c r="AH949" s="141"/>
      <c r="AI949" s="141"/>
      <c r="AJ949" s="141"/>
      <c r="AK949" s="141"/>
    </row>
    <row r="950" spans="1:37" ht="14.5" x14ac:dyDescent="0.35">
      <c r="A950" s="141"/>
      <c r="B950" s="289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  <c r="AJ950" s="141"/>
      <c r="AK950" s="141"/>
    </row>
    <row r="951" spans="1:37" ht="14.5" x14ac:dyDescent="0.35">
      <c r="A951" s="141"/>
      <c r="B951" s="289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  <c r="AH951" s="141"/>
      <c r="AI951" s="141"/>
      <c r="AJ951" s="141"/>
      <c r="AK951" s="141"/>
    </row>
    <row r="952" spans="1:37" ht="14.5" x14ac:dyDescent="0.35">
      <c r="A952" s="141"/>
      <c r="B952" s="289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  <c r="AJ952" s="141"/>
      <c r="AK952" s="141"/>
    </row>
    <row r="953" spans="1:37" ht="14.5" x14ac:dyDescent="0.35">
      <c r="A953" s="141"/>
      <c r="B953" s="289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  <c r="AH953" s="141"/>
      <c r="AI953" s="141"/>
      <c r="AJ953" s="141"/>
      <c r="AK953" s="141"/>
    </row>
    <row r="954" spans="1:37" ht="14.5" x14ac:dyDescent="0.35">
      <c r="A954" s="141"/>
      <c r="B954" s="289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  <c r="AJ954" s="141"/>
      <c r="AK954" s="141"/>
    </row>
    <row r="955" spans="1:37" ht="14.5" x14ac:dyDescent="0.35">
      <c r="A955" s="141"/>
      <c r="B955" s="289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  <c r="AH955" s="141"/>
      <c r="AI955" s="141"/>
      <c r="AJ955" s="141"/>
      <c r="AK955" s="141"/>
    </row>
    <row r="956" spans="1:37" ht="14.5" x14ac:dyDescent="0.35">
      <c r="A956" s="141"/>
      <c r="B956" s="289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  <c r="AJ956" s="141"/>
      <c r="AK956" s="141"/>
    </row>
    <row r="957" spans="1:37" ht="14.5" x14ac:dyDescent="0.35">
      <c r="A957" s="141"/>
      <c r="B957" s="289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  <c r="AH957" s="141"/>
      <c r="AI957" s="141"/>
      <c r="AJ957" s="141"/>
      <c r="AK957" s="141"/>
    </row>
    <row r="958" spans="1:37" ht="14.5" x14ac:dyDescent="0.35">
      <c r="A958" s="141"/>
      <c r="B958" s="289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  <c r="AJ958" s="141"/>
      <c r="AK958" s="141"/>
    </row>
    <row r="959" spans="1:37" ht="14.5" x14ac:dyDescent="0.35">
      <c r="A959" s="141"/>
      <c r="B959" s="289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  <c r="AH959" s="141"/>
      <c r="AI959" s="141"/>
      <c r="AJ959" s="141"/>
      <c r="AK959" s="141"/>
    </row>
    <row r="960" spans="1:37" ht="14.5" x14ac:dyDescent="0.35">
      <c r="A960" s="141"/>
      <c r="B960" s="289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/>
      <c r="AI960" s="141"/>
      <c r="AJ960" s="141"/>
      <c r="AK960" s="141"/>
    </row>
    <row r="961" spans="1:37" ht="14.5" x14ac:dyDescent="0.35">
      <c r="A961" s="141"/>
      <c r="B961" s="289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  <c r="AH961" s="141"/>
      <c r="AI961" s="141"/>
      <c r="AJ961" s="141"/>
      <c r="AK961" s="141"/>
    </row>
    <row r="962" spans="1:37" ht="14.5" x14ac:dyDescent="0.35">
      <c r="A962" s="141"/>
      <c r="B962" s="289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  <c r="AH962" s="141"/>
      <c r="AI962" s="141"/>
      <c r="AJ962" s="141"/>
      <c r="AK962" s="141"/>
    </row>
    <row r="963" spans="1:37" ht="14.5" x14ac:dyDescent="0.35">
      <c r="A963" s="141"/>
      <c r="B963" s="289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  <c r="AH963" s="141"/>
      <c r="AI963" s="141"/>
      <c r="AJ963" s="141"/>
      <c r="AK963" s="141"/>
    </row>
    <row r="964" spans="1:37" ht="14.5" x14ac:dyDescent="0.35">
      <c r="A964" s="141"/>
      <c r="B964" s="289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  <c r="AJ964" s="141"/>
      <c r="AK964" s="141"/>
    </row>
    <row r="965" spans="1:37" ht="14.5" x14ac:dyDescent="0.35">
      <c r="A965" s="141"/>
      <c r="B965" s="289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  <c r="AH965" s="141"/>
      <c r="AI965" s="141"/>
      <c r="AJ965" s="141"/>
      <c r="AK965" s="141"/>
    </row>
    <row r="966" spans="1:37" ht="14.5" x14ac:dyDescent="0.35">
      <c r="A966" s="141"/>
      <c r="B966" s="289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  <c r="AH966" s="141"/>
      <c r="AI966" s="141"/>
      <c r="AJ966" s="141"/>
      <c r="AK966" s="141"/>
    </row>
    <row r="967" spans="1:37" ht="14.5" x14ac:dyDescent="0.35">
      <c r="A967" s="141"/>
      <c r="B967" s="289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  <c r="AH967" s="141"/>
      <c r="AI967" s="141"/>
      <c r="AJ967" s="141"/>
      <c r="AK967" s="141"/>
    </row>
    <row r="968" spans="1:37" ht="14.5" x14ac:dyDescent="0.35">
      <c r="A968" s="141"/>
      <c r="B968" s="289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  <c r="AJ968" s="141"/>
      <c r="AK968" s="141"/>
    </row>
    <row r="969" spans="1:37" ht="14.5" x14ac:dyDescent="0.35">
      <c r="A969" s="141"/>
      <c r="B969" s="289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  <c r="AH969" s="141"/>
      <c r="AI969" s="141"/>
      <c r="AJ969" s="141"/>
      <c r="AK969" s="141"/>
    </row>
    <row r="970" spans="1:37" ht="14.5" x14ac:dyDescent="0.35">
      <c r="A970" s="141"/>
      <c r="B970" s="289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  <c r="AH970" s="141"/>
      <c r="AI970" s="141"/>
      <c r="AJ970" s="141"/>
      <c r="AK970" s="141"/>
    </row>
    <row r="971" spans="1:37" ht="14.5" x14ac:dyDescent="0.35">
      <c r="A971" s="141"/>
      <c r="B971" s="289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  <c r="AH971" s="141"/>
      <c r="AI971" s="141"/>
      <c r="AJ971" s="141"/>
      <c r="AK971" s="141"/>
    </row>
    <row r="972" spans="1:37" ht="14.5" x14ac:dyDescent="0.35">
      <c r="A972" s="141"/>
      <c r="B972" s="289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  <c r="AH972" s="141"/>
      <c r="AI972" s="141"/>
      <c r="AJ972" s="141"/>
      <c r="AK972" s="141"/>
    </row>
    <row r="973" spans="1:37" ht="14.5" x14ac:dyDescent="0.35">
      <c r="A973" s="141"/>
      <c r="B973" s="289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  <c r="AH973" s="141"/>
      <c r="AI973" s="141"/>
      <c r="AJ973" s="141"/>
      <c r="AK973" s="141"/>
    </row>
    <row r="974" spans="1:37" ht="14.5" x14ac:dyDescent="0.35">
      <c r="A974" s="141"/>
      <c r="B974" s="289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  <c r="AH974" s="141"/>
      <c r="AI974" s="141"/>
      <c r="AJ974" s="141"/>
      <c r="AK974" s="141"/>
    </row>
    <row r="975" spans="1:37" ht="14.5" x14ac:dyDescent="0.35">
      <c r="A975" s="141"/>
      <c r="B975" s="289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  <c r="AH975" s="141"/>
      <c r="AI975" s="141"/>
      <c r="AJ975" s="141"/>
      <c r="AK975" s="141"/>
    </row>
    <row r="976" spans="1:37" ht="14.5" x14ac:dyDescent="0.35">
      <c r="A976" s="141"/>
      <c r="B976" s="289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  <c r="AH976" s="141"/>
      <c r="AI976" s="141"/>
      <c r="AJ976" s="141"/>
      <c r="AK976" s="14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I984"/>
  <sheetViews>
    <sheetView workbookViewId="0"/>
  </sheetViews>
  <sheetFormatPr defaultColWidth="14.453125" defaultRowHeight="15" customHeight="1" x14ac:dyDescent="0.35"/>
  <cols>
    <col min="1" max="1" width="24.7265625" customWidth="1"/>
  </cols>
  <sheetData>
    <row r="1" spans="1:35" x14ac:dyDescent="0.35">
      <c r="A1" s="286" t="s">
        <v>298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</row>
    <row r="2" spans="1:35" x14ac:dyDescent="0.35">
      <c r="A2" s="141"/>
      <c r="B2" s="141"/>
      <c r="C2" s="141"/>
      <c r="D2" s="141"/>
      <c r="E2" s="287" t="s">
        <v>1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</row>
    <row r="3" spans="1:35" x14ac:dyDescent="0.35">
      <c r="A3" s="141"/>
      <c r="B3" s="141"/>
      <c r="C3" s="141"/>
      <c r="D3" s="141"/>
      <c r="E3" s="288" t="s">
        <v>299</v>
      </c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</row>
    <row r="4" spans="1:35" x14ac:dyDescent="0.3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</row>
    <row r="5" spans="1:35" x14ac:dyDescent="0.35">
      <c r="A5" s="289"/>
      <c r="B5" s="289"/>
      <c r="C5" s="289"/>
      <c r="D5" s="289"/>
      <c r="E5" s="290" t="s">
        <v>300</v>
      </c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</row>
    <row r="6" spans="1:35" x14ac:dyDescent="0.35">
      <c r="A6" s="289"/>
      <c r="B6" s="291" t="b">
        <v>1</v>
      </c>
      <c r="C6" s="292" t="b">
        <v>1</v>
      </c>
      <c r="D6" s="292" t="b">
        <v>1</v>
      </c>
      <c r="E6" s="292" t="b">
        <v>1</v>
      </c>
      <c r="F6" s="292" t="b">
        <v>1</v>
      </c>
      <c r="G6" s="292" t="b">
        <v>1</v>
      </c>
      <c r="H6" s="292" t="b">
        <v>1</v>
      </c>
      <c r="I6" s="292" t="b">
        <v>1</v>
      </c>
      <c r="J6" s="292" t="b">
        <v>1</v>
      </c>
      <c r="K6" s="292" t="b">
        <v>1</v>
      </c>
      <c r="L6" s="292" t="b">
        <v>1</v>
      </c>
      <c r="M6" s="292" t="b">
        <v>1</v>
      </c>
      <c r="N6" s="292" t="b">
        <v>1</v>
      </c>
      <c r="O6" s="292" t="b">
        <v>1</v>
      </c>
      <c r="P6" s="292" t="b">
        <v>1</v>
      </c>
      <c r="Q6" s="292" t="b">
        <v>1</v>
      </c>
      <c r="R6" s="292" t="b">
        <v>1</v>
      </c>
      <c r="S6" s="292" t="b">
        <v>1</v>
      </c>
      <c r="T6" s="292" t="b">
        <v>1</v>
      </c>
      <c r="U6" s="292" t="b">
        <v>1</v>
      </c>
      <c r="V6" s="292" t="b">
        <v>1</v>
      </c>
      <c r="W6" s="292" t="b">
        <v>1</v>
      </c>
      <c r="X6" s="292" t="b">
        <v>1</v>
      </c>
      <c r="Y6" s="292" t="b">
        <v>1</v>
      </c>
      <c r="Z6" s="292" t="b">
        <v>1</v>
      </c>
      <c r="AA6" s="292" t="b">
        <v>1</v>
      </c>
      <c r="AB6" s="292" t="b">
        <v>1</v>
      </c>
      <c r="AC6" s="292" t="b">
        <v>1</v>
      </c>
      <c r="AD6" s="292" t="b">
        <v>1</v>
      </c>
      <c r="AE6" s="292" t="b">
        <v>1</v>
      </c>
      <c r="AF6" s="292" t="b">
        <v>1</v>
      </c>
      <c r="AG6" s="292" t="b">
        <v>1</v>
      </c>
      <c r="AH6" s="292" t="b">
        <v>1</v>
      </c>
      <c r="AI6" s="292" t="b">
        <v>1</v>
      </c>
    </row>
    <row r="7" spans="1:35" x14ac:dyDescent="0.35">
      <c r="A7" s="289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89"/>
      <c r="AE7" s="289"/>
      <c r="AF7" s="289"/>
      <c r="AG7" s="289"/>
      <c r="AH7" s="289"/>
      <c r="AI7" s="289"/>
    </row>
    <row r="8" spans="1:35" x14ac:dyDescent="0.35">
      <c r="A8" s="293" t="s">
        <v>301</v>
      </c>
      <c r="B8" s="294" t="s">
        <v>302</v>
      </c>
      <c r="C8" s="294" t="s">
        <v>303</v>
      </c>
      <c r="D8" s="294" t="s">
        <v>97</v>
      </c>
      <c r="E8" s="294" t="s">
        <v>99</v>
      </c>
      <c r="F8" s="294" t="s">
        <v>304</v>
      </c>
      <c r="G8" s="294" t="s">
        <v>100</v>
      </c>
      <c r="H8" s="294" t="s">
        <v>94</v>
      </c>
      <c r="I8" s="294" t="s">
        <v>104</v>
      </c>
      <c r="J8" s="294" t="s">
        <v>15</v>
      </c>
      <c r="K8" s="294" t="s">
        <v>305</v>
      </c>
      <c r="L8" s="294" t="s">
        <v>306</v>
      </c>
      <c r="M8" s="294" t="s">
        <v>307</v>
      </c>
      <c r="N8" s="294" t="s">
        <v>308</v>
      </c>
      <c r="O8" s="294" t="s">
        <v>309</v>
      </c>
      <c r="P8" s="294" t="s">
        <v>310</v>
      </c>
      <c r="Q8" s="294" t="s">
        <v>101</v>
      </c>
      <c r="R8" s="294" t="s">
        <v>102</v>
      </c>
      <c r="S8" s="294" t="s">
        <v>20</v>
      </c>
      <c r="T8" s="294" t="s">
        <v>255</v>
      </c>
      <c r="U8" s="294" t="s">
        <v>39</v>
      </c>
      <c r="V8" s="294" t="s">
        <v>61</v>
      </c>
      <c r="W8" s="294" t="s">
        <v>9</v>
      </c>
      <c r="X8" s="294" t="s">
        <v>4</v>
      </c>
      <c r="Y8" s="294" t="s">
        <v>254</v>
      </c>
      <c r="Z8" s="294" t="s">
        <v>96</v>
      </c>
      <c r="AA8" s="294" t="s">
        <v>259</v>
      </c>
      <c r="AB8" s="294" t="s">
        <v>260</v>
      </c>
      <c r="AC8" s="294" t="s">
        <v>261</v>
      </c>
      <c r="AD8" s="294" t="s">
        <v>262</v>
      </c>
      <c r="AE8" s="294" t="s">
        <v>256</v>
      </c>
      <c r="AF8" s="294" t="s">
        <v>257</v>
      </c>
      <c r="AG8" s="294" t="s">
        <v>258</v>
      </c>
      <c r="AH8" s="294" t="s">
        <v>78</v>
      </c>
      <c r="AI8" s="294" t="s">
        <v>95</v>
      </c>
    </row>
    <row r="9" spans="1:35" x14ac:dyDescent="0.35">
      <c r="A9" s="296"/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</row>
    <row r="10" spans="1:35" x14ac:dyDescent="0.35">
      <c r="A10" s="297" t="s">
        <v>313</v>
      </c>
      <c r="B10" s="297">
        <v>690884</v>
      </c>
      <c r="C10" s="297">
        <v>776009.5</v>
      </c>
      <c r="D10" s="298">
        <v>510075</v>
      </c>
      <c r="E10" s="297">
        <v>588844</v>
      </c>
      <c r="F10" s="297">
        <v>356156</v>
      </c>
      <c r="G10" s="297">
        <v>1746352</v>
      </c>
      <c r="H10" s="297">
        <v>946199</v>
      </c>
      <c r="I10" s="297">
        <v>1531615.5</v>
      </c>
      <c r="J10" s="297">
        <v>587510.5</v>
      </c>
      <c r="K10" s="297">
        <v>585841</v>
      </c>
      <c r="L10" s="297">
        <v>296639</v>
      </c>
      <c r="M10" s="297">
        <v>636011</v>
      </c>
      <c r="N10" s="299">
        <v>301775</v>
      </c>
      <c r="O10" s="299">
        <v>1372561</v>
      </c>
      <c r="P10" s="299">
        <v>249424</v>
      </c>
      <c r="Q10" s="300">
        <v>893659</v>
      </c>
      <c r="R10" s="300">
        <v>459157</v>
      </c>
      <c r="S10" s="299">
        <v>562402</v>
      </c>
      <c r="T10" s="299">
        <v>1018015</v>
      </c>
      <c r="U10" s="297">
        <v>992954.5</v>
      </c>
      <c r="V10" s="301">
        <v>424656</v>
      </c>
      <c r="W10" s="299">
        <v>711352</v>
      </c>
      <c r="X10" s="299">
        <v>506119</v>
      </c>
      <c r="Y10" s="299">
        <v>603764</v>
      </c>
      <c r="Z10" s="299">
        <v>510910</v>
      </c>
      <c r="AA10" s="299">
        <v>696380</v>
      </c>
      <c r="AB10" s="299">
        <v>861894.5</v>
      </c>
      <c r="AC10" s="299">
        <v>635375.5</v>
      </c>
      <c r="AD10" s="299">
        <v>640412.5</v>
      </c>
      <c r="AE10" s="299">
        <v>610944</v>
      </c>
      <c r="AF10" s="299">
        <v>1493794</v>
      </c>
      <c r="AG10" s="299">
        <v>372362</v>
      </c>
      <c r="AH10" s="299">
        <v>492832</v>
      </c>
      <c r="AI10" s="299">
        <v>599879</v>
      </c>
    </row>
    <row r="11" spans="1:35" x14ac:dyDescent="0.35">
      <c r="A11" s="304" t="s">
        <v>314</v>
      </c>
      <c r="B11" s="305">
        <v>455060.19</v>
      </c>
      <c r="C11" s="305">
        <v>523220.17</v>
      </c>
      <c r="D11" s="306">
        <v>347958.55</v>
      </c>
      <c r="E11" s="305">
        <v>389841.53</v>
      </c>
      <c r="F11" s="305">
        <v>233560.57</v>
      </c>
      <c r="G11" s="305">
        <v>1174081.21</v>
      </c>
      <c r="H11" s="305">
        <v>643633.86</v>
      </c>
      <c r="I11" s="305">
        <v>1038878.4</v>
      </c>
      <c r="J11" s="305">
        <v>395913.62</v>
      </c>
      <c r="K11" s="305">
        <v>396970.13</v>
      </c>
      <c r="L11" s="305">
        <v>197942.38</v>
      </c>
      <c r="M11" s="305">
        <v>424655.58</v>
      </c>
      <c r="N11" s="307">
        <v>198542.64</v>
      </c>
      <c r="O11" s="307">
        <v>936524.9</v>
      </c>
      <c r="P11" s="307">
        <v>167895.98</v>
      </c>
      <c r="Q11" s="307">
        <v>594841.43999999994</v>
      </c>
      <c r="R11" s="307">
        <v>305178.86</v>
      </c>
      <c r="S11" s="307">
        <v>375595.14</v>
      </c>
      <c r="T11" s="307">
        <v>698361.13</v>
      </c>
      <c r="U11" s="307">
        <v>672365.86</v>
      </c>
      <c r="V11" s="269">
        <v>286265.14</v>
      </c>
      <c r="W11" s="307">
        <v>476513.9</v>
      </c>
      <c r="X11" s="307">
        <v>334500.89</v>
      </c>
      <c r="Y11" s="307">
        <v>401608.16</v>
      </c>
      <c r="Z11" s="307">
        <v>337159.66</v>
      </c>
      <c r="AA11" s="307">
        <v>461171.6</v>
      </c>
      <c r="AB11" s="307">
        <v>559762.16</v>
      </c>
      <c r="AC11" s="307">
        <v>420894.83</v>
      </c>
      <c r="AD11" s="307">
        <v>422649.53</v>
      </c>
      <c r="AE11" s="307">
        <v>408656.63</v>
      </c>
      <c r="AF11" s="307">
        <v>999251.98</v>
      </c>
      <c r="AG11" s="307">
        <v>248787.62</v>
      </c>
      <c r="AH11" s="307">
        <v>329495.15999999997</v>
      </c>
      <c r="AI11" s="307">
        <v>399369.03</v>
      </c>
    </row>
    <row r="12" spans="1:35" x14ac:dyDescent="0.35">
      <c r="A12" s="304" t="s">
        <v>266</v>
      </c>
      <c r="B12" s="305">
        <f t="shared" ref="B12:AD12" si="0">B10-B11</f>
        <v>235823.81</v>
      </c>
      <c r="C12" s="305">
        <f t="shared" si="0"/>
        <v>252789.33000000002</v>
      </c>
      <c r="D12" s="305">
        <f t="shared" si="0"/>
        <v>162116.45000000001</v>
      </c>
      <c r="E12" s="305">
        <f t="shared" si="0"/>
        <v>199002.46999999997</v>
      </c>
      <c r="F12" s="305">
        <f t="shared" si="0"/>
        <v>122595.43</v>
      </c>
      <c r="G12" s="305">
        <f t="shared" si="0"/>
        <v>572270.79</v>
      </c>
      <c r="H12" s="305">
        <f t="shared" si="0"/>
        <v>302565.14</v>
      </c>
      <c r="I12" s="305">
        <f t="shared" si="0"/>
        <v>492737.1</v>
      </c>
      <c r="J12" s="305">
        <f t="shared" si="0"/>
        <v>191596.88</v>
      </c>
      <c r="K12" s="305">
        <f t="shared" si="0"/>
        <v>188870.87</v>
      </c>
      <c r="L12" s="305">
        <f t="shared" si="0"/>
        <v>98696.62</v>
      </c>
      <c r="M12" s="305">
        <f t="shared" si="0"/>
        <v>211355.41999999998</v>
      </c>
      <c r="N12" s="305">
        <f t="shared" si="0"/>
        <v>103232.35999999999</v>
      </c>
      <c r="O12" s="305">
        <f t="shared" si="0"/>
        <v>436036.1</v>
      </c>
      <c r="P12" s="305">
        <f t="shared" si="0"/>
        <v>81528.01999999999</v>
      </c>
      <c r="Q12" s="305">
        <f t="shared" si="0"/>
        <v>298817.56000000006</v>
      </c>
      <c r="R12" s="305">
        <f t="shared" si="0"/>
        <v>153978.14000000001</v>
      </c>
      <c r="S12" s="305">
        <f t="shared" si="0"/>
        <v>186806.86</v>
      </c>
      <c r="T12" s="305">
        <f t="shared" si="0"/>
        <v>319653.87</v>
      </c>
      <c r="U12" s="305">
        <f t="shared" si="0"/>
        <v>320588.64</v>
      </c>
      <c r="V12" s="305">
        <f t="shared" si="0"/>
        <v>138390.85999999999</v>
      </c>
      <c r="W12" s="305">
        <f t="shared" si="0"/>
        <v>234838.09999999998</v>
      </c>
      <c r="X12" s="305">
        <f t="shared" si="0"/>
        <v>171618.11</v>
      </c>
      <c r="Y12" s="305">
        <f t="shared" si="0"/>
        <v>202155.84000000003</v>
      </c>
      <c r="Z12" s="305">
        <f t="shared" si="0"/>
        <v>173750.34000000003</v>
      </c>
      <c r="AA12" s="305">
        <f t="shared" si="0"/>
        <v>235208.40000000002</v>
      </c>
      <c r="AB12" s="305">
        <f t="shared" si="0"/>
        <v>302132.33999999997</v>
      </c>
      <c r="AC12" s="305">
        <f t="shared" si="0"/>
        <v>214480.66999999998</v>
      </c>
      <c r="AD12" s="305">
        <f t="shared" si="0"/>
        <v>217762.96999999997</v>
      </c>
      <c r="AE12" s="305">
        <v>202287.37</v>
      </c>
      <c r="AF12" s="305">
        <f t="shared" ref="AF12:AI12" si="1">AF10-AF11</f>
        <v>494542.02</v>
      </c>
      <c r="AG12" s="305">
        <f t="shared" si="1"/>
        <v>123574.38</v>
      </c>
      <c r="AH12" s="305">
        <f t="shared" si="1"/>
        <v>163336.84000000003</v>
      </c>
      <c r="AI12" s="305">
        <f t="shared" si="1"/>
        <v>200509.96999999997</v>
      </c>
    </row>
    <row r="13" spans="1:35" x14ac:dyDescent="0.35">
      <c r="A13" s="309" t="s">
        <v>267</v>
      </c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</row>
    <row r="14" spans="1:35" x14ac:dyDescent="0.35">
      <c r="A14" s="304" t="s">
        <v>90</v>
      </c>
      <c r="B14" s="305">
        <v>14015</v>
      </c>
      <c r="C14" s="305">
        <v>13990</v>
      </c>
      <c r="D14" s="305">
        <v>10492.5</v>
      </c>
      <c r="E14" s="305">
        <v>17537</v>
      </c>
      <c r="F14" s="305">
        <v>6995</v>
      </c>
      <c r="G14" s="305">
        <v>24463.5</v>
      </c>
      <c r="H14" s="305">
        <v>14015</v>
      </c>
      <c r="I14" s="305">
        <v>20975</v>
      </c>
      <c r="J14" s="305">
        <v>6995</v>
      </c>
      <c r="K14" s="305">
        <v>10492.5</v>
      </c>
      <c r="L14" s="307">
        <v>6995</v>
      </c>
      <c r="M14" s="307">
        <v>21035</v>
      </c>
      <c r="N14" s="307">
        <v>10517.5</v>
      </c>
      <c r="O14" s="307">
        <v>24507.5</v>
      </c>
      <c r="P14" s="307">
        <v>6995</v>
      </c>
      <c r="Q14" s="307">
        <v>28004.5</v>
      </c>
      <c r="R14" s="307">
        <v>13990</v>
      </c>
      <c r="S14" s="307">
        <v>13989.5</v>
      </c>
      <c r="T14" s="307">
        <v>17540</v>
      </c>
      <c r="U14" s="307">
        <v>21013</v>
      </c>
      <c r="V14" s="308">
        <v>10494</v>
      </c>
      <c r="W14" s="307">
        <v>14504</v>
      </c>
      <c r="X14" s="305">
        <v>10486</v>
      </c>
      <c r="Y14" s="307">
        <v>14017</v>
      </c>
      <c r="Z14" s="307">
        <v>10519</v>
      </c>
      <c r="AA14" s="307">
        <v>17515</v>
      </c>
      <c r="AB14" s="307">
        <v>17515</v>
      </c>
      <c r="AC14" s="307">
        <v>17515</v>
      </c>
      <c r="AD14" s="307">
        <v>14017</v>
      </c>
      <c r="AE14" s="307">
        <v>10494</v>
      </c>
      <c r="AF14" s="307">
        <v>32152</v>
      </c>
      <c r="AG14" s="307">
        <v>8255</v>
      </c>
      <c r="AH14" s="307">
        <v>10497</v>
      </c>
      <c r="AI14" s="307">
        <v>13992</v>
      </c>
    </row>
    <row r="15" spans="1:35" x14ac:dyDescent="0.35">
      <c r="A15" s="313" t="s">
        <v>91</v>
      </c>
      <c r="B15" s="314">
        <v>15910</v>
      </c>
      <c r="C15" s="314">
        <v>17501</v>
      </c>
      <c r="D15" s="314">
        <v>9546</v>
      </c>
      <c r="E15" s="314">
        <v>12728</v>
      </c>
      <c r="F15" s="314">
        <v>6364</v>
      </c>
      <c r="G15" s="314">
        <v>23865</v>
      </c>
      <c r="H15" s="314">
        <v>15910</v>
      </c>
      <c r="I15" s="314">
        <v>23865</v>
      </c>
      <c r="J15" s="314">
        <v>9546</v>
      </c>
      <c r="K15" s="314">
        <v>9546</v>
      </c>
      <c r="L15" s="314">
        <v>6364</v>
      </c>
      <c r="M15" s="314">
        <v>11137</v>
      </c>
      <c r="N15" s="314">
        <v>6364</v>
      </c>
      <c r="O15" s="314">
        <v>20683</v>
      </c>
      <c r="P15" s="314">
        <v>6364</v>
      </c>
      <c r="Q15" s="314">
        <v>14319</v>
      </c>
      <c r="R15" s="314">
        <v>11137</v>
      </c>
      <c r="S15" s="314">
        <v>12728</v>
      </c>
      <c r="T15" s="314">
        <v>17501</v>
      </c>
      <c r="U15" s="314">
        <v>19092</v>
      </c>
      <c r="V15" s="316">
        <v>9546</v>
      </c>
      <c r="W15" s="314">
        <v>12728</v>
      </c>
      <c r="X15" s="314">
        <v>9546</v>
      </c>
      <c r="Y15" s="314">
        <v>11137</v>
      </c>
      <c r="Z15" s="314">
        <v>9546</v>
      </c>
      <c r="AA15" s="314">
        <v>13721</v>
      </c>
      <c r="AB15" s="314">
        <v>15570</v>
      </c>
      <c r="AC15" s="314">
        <v>11971</v>
      </c>
      <c r="AD15" s="314">
        <v>13840</v>
      </c>
      <c r="AE15" s="314">
        <v>8650</v>
      </c>
      <c r="AF15" s="314">
        <v>25950</v>
      </c>
      <c r="AG15" s="314">
        <v>10102</v>
      </c>
      <c r="AH15" s="314">
        <v>9685</v>
      </c>
      <c r="AI15" s="314">
        <v>10380</v>
      </c>
    </row>
    <row r="16" spans="1:35" x14ac:dyDescent="0.35">
      <c r="A16" s="317" t="s">
        <v>92</v>
      </c>
      <c r="B16" s="307">
        <v>16331.5</v>
      </c>
      <c r="C16" s="307">
        <v>15744</v>
      </c>
      <c r="D16" s="307">
        <v>11808</v>
      </c>
      <c r="E16" s="307">
        <v>14432</v>
      </c>
      <c r="F16" s="307">
        <v>5248</v>
      </c>
      <c r="G16" s="307">
        <v>38048</v>
      </c>
      <c r="H16" s="307">
        <v>19680</v>
      </c>
      <c r="I16" s="307">
        <v>32800</v>
      </c>
      <c r="J16" s="307">
        <v>12680</v>
      </c>
      <c r="K16" s="307">
        <v>9184</v>
      </c>
      <c r="L16" s="307">
        <v>6560</v>
      </c>
      <c r="M16" s="307">
        <v>14432</v>
      </c>
      <c r="N16" s="307">
        <v>7872</v>
      </c>
      <c r="O16" s="307">
        <v>28864</v>
      </c>
      <c r="P16" s="307">
        <v>5248</v>
      </c>
      <c r="Q16" s="307">
        <v>18368</v>
      </c>
      <c r="R16" s="307">
        <v>11808</v>
      </c>
      <c r="S16" s="307">
        <v>17056</v>
      </c>
      <c r="T16" s="307">
        <v>20416</v>
      </c>
      <c r="U16" s="307">
        <v>24928</v>
      </c>
      <c r="V16" s="308">
        <v>10496</v>
      </c>
      <c r="W16" s="307">
        <v>13120</v>
      </c>
      <c r="X16" s="318">
        <v>10496</v>
      </c>
      <c r="Y16" s="307">
        <v>11933</v>
      </c>
      <c r="Z16" s="307">
        <v>10496</v>
      </c>
      <c r="AA16" s="307">
        <v>12276</v>
      </c>
      <c r="AB16" s="307">
        <v>12796</v>
      </c>
      <c r="AC16" s="307">
        <v>9184</v>
      </c>
      <c r="AD16" s="307">
        <v>12262</v>
      </c>
      <c r="AE16" s="307">
        <v>14750</v>
      </c>
      <c r="AF16" s="307">
        <v>31323</v>
      </c>
      <c r="AG16" s="307">
        <v>7256</v>
      </c>
      <c r="AH16" s="307">
        <v>9408</v>
      </c>
      <c r="AI16" s="307">
        <v>8604</v>
      </c>
    </row>
    <row r="17" spans="1:35" x14ac:dyDescent="0.35">
      <c r="A17" s="313" t="s">
        <v>268</v>
      </c>
      <c r="B17" s="314">
        <v>2970</v>
      </c>
      <c r="C17" s="314">
        <v>3780</v>
      </c>
      <c r="D17" s="314">
        <v>3240</v>
      </c>
      <c r="E17" s="314">
        <v>3240</v>
      </c>
      <c r="F17" s="314">
        <v>1350</v>
      </c>
      <c r="G17" s="314">
        <v>7290</v>
      </c>
      <c r="H17" s="314">
        <v>3240</v>
      </c>
      <c r="I17" s="314">
        <v>5940</v>
      </c>
      <c r="J17" s="314">
        <v>2970</v>
      </c>
      <c r="K17" s="314">
        <v>3240</v>
      </c>
      <c r="L17" s="314">
        <v>2160</v>
      </c>
      <c r="M17" s="314">
        <v>4320</v>
      </c>
      <c r="N17" s="314">
        <v>1620</v>
      </c>
      <c r="O17" s="314">
        <v>6210</v>
      </c>
      <c r="P17" s="314">
        <v>2079</v>
      </c>
      <c r="Q17" s="314">
        <v>5940</v>
      </c>
      <c r="R17" s="314">
        <v>3240</v>
      </c>
      <c r="S17" s="314">
        <v>4860</v>
      </c>
      <c r="T17" s="314">
        <v>5400</v>
      </c>
      <c r="U17" s="314">
        <v>5130</v>
      </c>
      <c r="V17" s="316">
        <v>3240</v>
      </c>
      <c r="W17" s="314">
        <v>4590</v>
      </c>
      <c r="X17" s="314">
        <v>3240</v>
      </c>
      <c r="Y17" s="314">
        <v>4320</v>
      </c>
      <c r="Z17" s="314">
        <v>3240</v>
      </c>
      <c r="AA17" s="314">
        <v>5390</v>
      </c>
      <c r="AB17" s="314">
        <v>5710</v>
      </c>
      <c r="AC17" s="314">
        <v>4160</v>
      </c>
      <c r="AD17" s="314">
        <v>6080</v>
      </c>
      <c r="AE17" s="314">
        <v>6646</v>
      </c>
      <c r="AF17" s="314">
        <v>5440</v>
      </c>
      <c r="AG17" s="314">
        <v>2950</v>
      </c>
      <c r="AH17" s="314">
        <v>3340</v>
      </c>
      <c r="AI17" s="314">
        <v>4800</v>
      </c>
    </row>
    <row r="18" spans="1:35" x14ac:dyDescent="0.35">
      <c r="A18" s="317" t="s">
        <v>55</v>
      </c>
      <c r="B18" s="307">
        <v>69325</v>
      </c>
      <c r="C18" s="307">
        <v>84187.5</v>
      </c>
      <c r="D18" s="307">
        <v>57362.5</v>
      </c>
      <c r="E18" s="307">
        <v>57687.5</v>
      </c>
      <c r="F18" s="307">
        <v>42012.5</v>
      </c>
      <c r="G18" s="307">
        <v>139175</v>
      </c>
      <c r="H18" s="307">
        <v>85175</v>
      </c>
      <c r="I18" s="307">
        <v>122850</v>
      </c>
      <c r="J18" s="307">
        <v>55650.5</v>
      </c>
      <c r="K18" s="307">
        <v>58812.5</v>
      </c>
      <c r="L18" s="307">
        <v>42437.5</v>
      </c>
      <c r="M18" s="307">
        <v>72312.5</v>
      </c>
      <c r="N18" s="307">
        <v>30000</v>
      </c>
      <c r="O18" s="307">
        <v>130900</v>
      </c>
      <c r="P18" s="307">
        <v>28812.5</v>
      </c>
      <c r="Q18" s="307">
        <v>82563.5</v>
      </c>
      <c r="R18" s="307">
        <v>57252.5</v>
      </c>
      <c r="S18" s="307">
        <v>55225</v>
      </c>
      <c r="T18" s="307">
        <v>81062.5</v>
      </c>
      <c r="U18" s="307">
        <v>93687.5</v>
      </c>
      <c r="V18" s="308">
        <v>43812.5</v>
      </c>
      <c r="W18" s="307">
        <v>68625</v>
      </c>
      <c r="X18" s="305">
        <v>56625</v>
      </c>
      <c r="Y18" s="307">
        <v>46812.5</v>
      </c>
      <c r="Z18" s="307">
        <v>50000</v>
      </c>
      <c r="AA18" s="307">
        <v>72537.72</v>
      </c>
      <c r="AB18" s="307">
        <v>95959.6</v>
      </c>
      <c r="AC18" s="307">
        <v>57169</v>
      </c>
      <c r="AD18" s="307">
        <v>55271</v>
      </c>
      <c r="AE18" s="307">
        <v>57600</v>
      </c>
      <c r="AF18" s="307">
        <v>105274.5</v>
      </c>
      <c r="AG18" s="307">
        <v>43303</v>
      </c>
      <c r="AH18" s="307">
        <v>55813.1</v>
      </c>
      <c r="AI18" s="307">
        <v>72085.5</v>
      </c>
    </row>
    <row r="19" spans="1:35" x14ac:dyDescent="0.35">
      <c r="A19" s="313" t="s">
        <v>315</v>
      </c>
      <c r="B19" s="314">
        <v>0</v>
      </c>
      <c r="C19" s="314">
        <v>286</v>
      </c>
      <c r="D19" s="314">
        <v>370</v>
      </c>
      <c r="E19" s="314">
        <v>0</v>
      </c>
      <c r="F19" s="314">
        <v>778.25</v>
      </c>
      <c r="G19" s="314">
        <v>766.5</v>
      </c>
      <c r="H19" s="314">
        <v>157.25</v>
      </c>
      <c r="I19" s="314">
        <v>510.25</v>
      </c>
      <c r="J19" s="314">
        <v>277.25</v>
      </c>
      <c r="K19" s="314">
        <v>0</v>
      </c>
      <c r="L19" s="314">
        <v>0</v>
      </c>
      <c r="M19" s="316">
        <v>564.82000000000005</v>
      </c>
      <c r="N19" s="314">
        <v>713.75</v>
      </c>
      <c r="O19" s="314">
        <v>731</v>
      </c>
      <c r="P19" s="314">
        <v>347</v>
      </c>
      <c r="Q19" s="314">
        <v>0</v>
      </c>
      <c r="R19" s="314">
        <v>330</v>
      </c>
      <c r="S19" s="314">
        <v>157.15</v>
      </c>
      <c r="T19" s="314">
        <v>366</v>
      </c>
      <c r="U19" s="314">
        <v>120</v>
      </c>
      <c r="V19" s="316">
        <v>10226</v>
      </c>
      <c r="W19" s="314">
        <v>551</v>
      </c>
      <c r="X19" s="314">
        <v>627</v>
      </c>
      <c r="Y19" s="314">
        <v>27</v>
      </c>
      <c r="Z19" s="314">
        <v>844</v>
      </c>
      <c r="AA19" s="314">
        <v>1794.85</v>
      </c>
      <c r="AB19" s="316">
        <v>3083</v>
      </c>
      <c r="AC19" s="314">
        <v>482</v>
      </c>
      <c r="AD19" s="314">
        <v>0</v>
      </c>
      <c r="AE19" s="314">
        <v>0</v>
      </c>
      <c r="AF19" s="314">
        <v>2274</v>
      </c>
      <c r="AG19" s="314">
        <v>326.25</v>
      </c>
      <c r="AH19" s="314">
        <v>86</v>
      </c>
      <c r="AI19" s="314">
        <v>108</v>
      </c>
    </row>
    <row r="20" spans="1:35" x14ac:dyDescent="0.35">
      <c r="A20" s="321" t="s">
        <v>272</v>
      </c>
      <c r="B20" s="305">
        <v>6888.1</v>
      </c>
      <c r="C20" s="305">
        <v>6888.1</v>
      </c>
      <c r="D20" s="305">
        <v>4721.43</v>
      </c>
      <c r="E20" s="305">
        <v>4721.43</v>
      </c>
      <c r="F20" s="305">
        <v>3638.1</v>
      </c>
      <c r="G20" s="305">
        <v>9054.76</v>
      </c>
      <c r="H20" s="305">
        <v>9087.9699999999993</v>
      </c>
      <c r="I20" s="305">
        <v>10138.1</v>
      </c>
      <c r="J20" s="305">
        <v>4721.43</v>
      </c>
      <c r="K20" s="305">
        <v>4721.43</v>
      </c>
      <c r="L20" s="305">
        <v>3639</v>
      </c>
      <c r="M20" s="305">
        <v>5804.76</v>
      </c>
      <c r="N20" s="305">
        <v>0</v>
      </c>
      <c r="O20" s="305">
        <v>10138.1</v>
      </c>
      <c r="P20" s="305">
        <v>2554.7600000000002</v>
      </c>
      <c r="Q20" s="305">
        <v>0</v>
      </c>
      <c r="R20" s="305">
        <v>4721.43</v>
      </c>
      <c r="S20" s="305">
        <v>4721.43</v>
      </c>
      <c r="T20" s="305">
        <v>6888</v>
      </c>
      <c r="U20" s="305">
        <v>9054</v>
      </c>
      <c r="V20" s="269">
        <v>4721.43</v>
      </c>
      <c r="W20" s="305">
        <v>9054.76</v>
      </c>
      <c r="X20" s="269">
        <v>3638.1</v>
      </c>
      <c r="Y20" s="305">
        <v>3758</v>
      </c>
      <c r="Z20" s="305">
        <v>4721.43</v>
      </c>
      <c r="AA20" s="305">
        <v>7057.1</v>
      </c>
      <c r="AB20" s="305">
        <v>7057.1</v>
      </c>
      <c r="AC20" s="305">
        <v>5945.6</v>
      </c>
      <c r="AD20" s="305">
        <v>4834.1000000000004</v>
      </c>
      <c r="AE20" s="305">
        <v>4970.1000000000004</v>
      </c>
      <c r="AF20" s="305">
        <v>9280</v>
      </c>
      <c r="AG20" s="305">
        <v>4834.1000000000004</v>
      </c>
      <c r="AH20" s="305">
        <v>4834.1000000000004</v>
      </c>
      <c r="AI20" s="305">
        <v>5806</v>
      </c>
    </row>
    <row r="21" spans="1:35" x14ac:dyDescent="0.35">
      <c r="A21" s="322" t="s">
        <v>273</v>
      </c>
      <c r="B21" s="314">
        <v>271.43</v>
      </c>
      <c r="C21" s="314">
        <v>671.43</v>
      </c>
      <c r="D21" s="314">
        <v>271.43</v>
      </c>
      <c r="E21" s="314">
        <v>71.430000000000007</v>
      </c>
      <c r="F21" s="314">
        <v>0</v>
      </c>
      <c r="G21" s="314">
        <v>471.43</v>
      </c>
      <c r="H21" s="314">
        <v>671.43</v>
      </c>
      <c r="I21" s="314">
        <v>871.43</v>
      </c>
      <c r="J21" s="314">
        <v>671.43</v>
      </c>
      <c r="K21" s="314">
        <v>271.43</v>
      </c>
      <c r="L21" s="314">
        <v>471.43</v>
      </c>
      <c r="M21" s="314">
        <v>271.43</v>
      </c>
      <c r="N21" s="314">
        <v>0</v>
      </c>
      <c r="O21" s="314">
        <v>671.43</v>
      </c>
      <c r="P21" s="314">
        <v>271.43</v>
      </c>
      <c r="Q21" s="314">
        <v>671.43</v>
      </c>
      <c r="R21" s="314">
        <v>271.43</v>
      </c>
      <c r="S21" s="314">
        <v>471.43</v>
      </c>
      <c r="T21" s="314">
        <v>671.43</v>
      </c>
      <c r="U21" s="314">
        <v>471.43</v>
      </c>
      <c r="V21" s="316">
        <v>271.43</v>
      </c>
      <c r="W21" s="314">
        <v>471.43</v>
      </c>
      <c r="X21" s="316">
        <v>271.43</v>
      </c>
      <c r="Y21" s="314">
        <v>271.43</v>
      </c>
      <c r="Z21" s="323">
        <v>0</v>
      </c>
      <c r="AA21" s="323">
        <v>0</v>
      </c>
      <c r="AB21" s="314">
        <v>871.43</v>
      </c>
      <c r="AC21" s="314">
        <v>471.43</v>
      </c>
      <c r="AD21" s="314">
        <v>871.43</v>
      </c>
      <c r="AE21" s="314">
        <v>0</v>
      </c>
      <c r="AF21" s="314">
        <v>471.43</v>
      </c>
      <c r="AG21" s="314">
        <v>0</v>
      </c>
      <c r="AH21" s="314">
        <v>471.43</v>
      </c>
      <c r="AI21" s="314">
        <v>400</v>
      </c>
    </row>
    <row r="22" spans="1:35" x14ac:dyDescent="0.35">
      <c r="A22" s="324" t="s">
        <v>269</v>
      </c>
      <c r="B22" s="307">
        <v>1800</v>
      </c>
      <c r="C22" s="307">
        <v>1500</v>
      </c>
      <c r="D22" s="307">
        <v>1650</v>
      </c>
      <c r="E22" s="307">
        <v>1500</v>
      </c>
      <c r="F22" s="307">
        <v>900</v>
      </c>
      <c r="G22" s="307">
        <v>3600</v>
      </c>
      <c r="H22" s="307">
        <v>2400</v>
      </c>
      <c r="I22" s="307">
        <v>3300</v>
      </c>
      <c r="J22" s="307">
        <v>1590</v>
      </c>
      <c r="K22" s="307">
        <v>1050</v>
      </c>
      <c r="L22" s="307">
        <v>900</v>
      </c>
      <c r="M22" s="307">
        <v>1500</v>
      </c>
      <c r="N22" s="307">
        <v>600</v>
      </c>
      <c r="O22" s="307">
        <v>2400</v>
      </c>
      <c r="P22" s="307">
        <v>450</v>
      </c>
      <c r="Q22" s="307">
        <v>1800</v>
      </c>
      <c r="R22" s="307">
        <v>1200</v>
      </c>
      <c r="S22" s="307">
        <v>900</v>
      </c>
      <c r="T22" s="307">
        <v>1650</v>
      </c>
      <c r="U22" s="307">
        <v>1800</v>
      </c>
      <c r="V22" s="308">
        <v>900</v>
      </c>
      <c r="W22" s="307">
        <v>1200</v>
      </c>
      <c r="X22" s="308">
        <v>1050</v>
      </c>
      <c r="Y22" s="307">
        <v>900</v>
      </c>
      <c r="Z22" s="325">
        <v>900</v>
      </c>
      <c r="AA22" s="325">
        <v>1535</v>
      </c>
      <c r="AB22" s="307">
        <v>2149</v>
      </c>
      <c r="AC22" s="307">
        <v>1228</v>
      </c>
      <c r="AD22" s="307">
        <v>1228</v>
      </c>
      <c r="AE22" s="307">
        <v>1228</v>
      </c>
      <c r="AF22" s="307">
        <v>1995.5</v>
      </c>
      <c r="AG22" s="307">
        <v>921</v>
      </c>
      <c r="AH22" s="307">
        <v>1228</v>
      </c>
      <c r="AI22" s="307">
        <v>1500</v>
      </c>
    </row>
    <row r="23" spans="1:35" x14ac:dyDescent="0.35">
      <c r="A23" s="322" t="s">
        <v>57</v>
      </c>
      <c r="B23" s="314">
        <v>3125</v>
      </c>
      <c r="C23" s="314">
        <v>750</v>
      </c>
      <c r="D23" s="314">
        <v>2250</v>
      </c>
      <c r="E23" s="314">
        <v>125</v>
      </c>
      <c r="F23" s="314">
        <v>3250</v>
      </c>
      <c r="G23" s="314">
        <v>500</v>
      </c>
      <c r="H23" s="314">
        <v>1187.5</v>
      </c>
      <c r="I23" s="316">
        <v>375</v>
      </c>
      <c r="J23" s="314">
        <v>1341.34</v>
      </c>
      <c r="K23" s="314">
        <v>8750</v>
      </c>
      <c r="L23" s="314">
        <v>1562.5</v>
      </c>
      <c r="M23" s="314">
        <v>8500</v>
      </c>
      <c r="N23" s="314">
        <v>4250</v>
      </c>
      <c r="O23" s="314">
        <v>7293.75</v>
      </c>
      <c r="P23" s="314">
        <v>4873.5</v>
      </c>
      <c r="Q23" s="314">
        <v>12248.5</v>
      </c>
      <c r="R23" s="314">
        <v>10247.5</v>
      </c>
      <c r="S23" s="314">
        <v>11625</v>
      </c>
      <c r="T23" s="314">
        <v>2062.5</v>
      </c>
      <c r="U23" s="314">
        <v>3875</v>
      </c>
      <c r="V23" s="316">
        <v>7625</v>
      </c>
      <c r="W23" s="314">
        <v>2812.5</v>
      </c>
      <c r="X23" s="314">
        <v>1937.5</v>
      </c>
      <c r="Y23" s="314">
        <v>4437.5</v>
      </c>
      <c r="Z23" s="323">
        <v>1937.5</v>
      </c>
      <c r="AA23" s="323">
        <v>5192.5600000000004</v>
      </c>
      <c r="AB23" s="314">
        <v>4231.92</v>
      </c>
      <c r="AC23" s="314">
        <v>6860.84</v>
      </c>
      <c r="AD23" s="314">
        <v>5963.16</v>
      </c>
      <c r="AE23" s="314">
        <v>6750</v>
      </c>
      <c r="AF23" s="314">
        <v>8720.32</v>
      </c>
      <c r="AG23" s="314">
        <v>8207.36</v>
      </c>
      <c r="AH23" s="314">
        <v>3077.76</v>
      </c>
      <c r="AI23" s="314">
        <v>1626</v>
      </c>
    </row>
    <row r="24" spans="1:35" x14ac:dyDescent="0.35">
      <c r="A24" s="322" t="s">
        <v>270</v>
      </c>
      <c r="B24" s="314">
        <v>1550</v>
      </c>
      <c r="C24" s="314">
        <v>1500</v>
      </c>
      <c r="D24" s="314">
        <v>1500</v>
      </c>
      <c r="E24" s="314">
        <v>1500</v>
      </c>
      <c r="F24" s="314">
        <v>1250</v>
      </c>
      <c r="G24" s="314">
        <v>1850</v>
      </c>
      <c r="H24" s="314">
        <v>1550</v>
      </c>
      <c r="I24" s="314">
        <v>600</v>
      </c>
      <c r="J24" s="314">
        <v>1550</v>
      </c>
      <c r="K24" s="314">
        <v>1500</v>
      </c>
      <c r="L24" s="314">
        <v>1500</v>
      </c>
      <c r="M24" s="314">
        <v>1200</v>
      </c>
      <c r="N24" s="314">
        <v>1500</v>
      </c>
      <c r="O24" s="314">
        <v>1900</v>
      </c>
      <c r="P24" s="314">
        <v>1500</v>
      </c>
      <c r="Q24" s="314">
        <v>1500</v>
      </c>
      <c r="R24" s="316">
        <v>600</v>
      </c>
      <c r="S24" s="314">
        <v>3000</v>
      </c>
      <c r="T24" s="314">
        <v>1500</v>
      </c>
      <c r="U24" s="314">
        <v>1450</v>
      </c>
      <c r="V24" s="316">
        <v>1500</v>
      </c>
      <c r="W24" s="314">
        <v>1450</v>
      </c>
      <c r="X24" s="316">
        <v>1450</v>
      </c>
      <c r="Y24" s="314">
        <v>1400</v>
      </c>
      <c r="Z24" s="323">
        <v>1400</v>
      </c>
      <c r="AA24" s="323">
        <v>1750</v>
      </c>
      <c r="AB24" s="314">
        <v>1400</v>
      </c>
      <c r="AC24" s="314">
        <v>2200</v>
      </c>
      <c r="AD24" s="314">
        <v>2900</v>
      </c>
      <c r="AE24" s="314">
        <v>1542</v>
      </c>
      <c r="AF24" s="314">
        <v>0</v>
      </c>
      <c r="AG24" s="314">
        <v>2000</v>
      </c>
      <c r="AH24" s="314">
        <v>1350</v>
      </c>
      <c r="AI24" s="314">
        <v>1550</v>
      </c>
    </row>
    <row r="25" spans="1:35" x14ac:dyDescent="0.35">
      <c r="A25" s="324" t="s">
        <v>274</v>
      </c>
      <c r="B25" s="307">
        <v>2435.36</v>
      </c>
      <c r="C25" s="307">
        <v>5465.36</v>
      </c>
      <c r="D25" s="307">
        <v>415.36</v>
      </c>
      <c r="E25" s="307">
        <v>1425.36</v>
      </c>
      <c r="F25" s="307">
        <v>0</v>
      </c>
      <c r="G25" s="307">
        <v>2435.36</v>
      </c>
      <c r="H25" s="307">
        <v>3445.36</v>
      </c>
      <c r="I25" s="307">
        <v>6475.36</v>
      </c>
      <c r="J25" s="307">
        <v>4455.3599999999997</v>
      </c>
      <c r="K25" s="307">
        <v>1425.36</v>
      </c>
      <c r="L25" s="307">
        <v>2435.36</v>
      </c>
      <c r="M25" s="307">
        <v>1425.36</v>
      </c>
      <c r="N25" s="307">
        <v>0</v>
      </c>
      <c r="O25" s="307">
        <v>3445.36</v>
      </c>
      <c r="P25" s="307">
        <v>1425.36</v>
      </c>
      <c r="Q25" s="307">
        <v>5463.36</v>
      </c>
      <c r="R25" s="307">
        <v>1425.36</v>
      </c>
      <c r="S25" s="307">
        <v>2435.36</v>
      </c>
      <c r="T25" s="307">
        <v>5465.36</v>
      </c>
      <c r="U25" s="307">
        <v>3445.36</v>
      </c>
      <c r="V25" s="308">
        <v>1425.36</v>
      </c>
      <c r="W25" s="307">
        <v>2435.36</v>
      </c>
      <c r="X25" s="269">
        <v>1425.36</v>
      </c>
      <c r="Y25" s="307">
        <v>1425.36</v>
      </c>
      <c r="Z25" s="307">
        <v>0</v>
      </c>
      <c r="AA25" s="307">
        <v>0</v>
      </c>
      <c r="AB25" s="307">
        <v>4455.3599999999997</v>
      </c>
      <c r="AC25" s="307">
        <v>3445.36</v>
      </c>
      <c r="AD25" s="307">
        <v>4455.3599999999997</v>
      </c>
      <c r="AE25" s="307">
        <v>0</v>
      </c>
      <c r="AF25" s="307">
        <v>2435.36</v>
      </c>
      <c r="AG25" s="307">
        <v>0</v>
      </c>
      <c r="AH25" s="307">
        <v>2435.36</v>
      </c>
      <c r="AI25" s="307">
        <v>1510</v>
      </c>
    </row>
    <row r="26" spans="1:35" x14ac:dyDescent="0.35">
      <c r="A26" s="313" t="s">
        <v>275</v>
      </c>
      <c r="B26" s="314">
        <v>593.75</v>
      </c>
      <c r="C26" s="314">
        <v>843.75</v>
      </c>
      <c r="D26" s="314">
        <v>343.75</v>
      </c>
      <c r="E26" s="314">
        <v>343.75</v>
      </c>
      <c r="F26" s="314">
        <v>0</v>
      </c>
      <c r="G26" s="314">
        <v>593.75</v>
      </c>
      <c r="H26" s="314">
        <v>843.75</v>
      </c>
      <c r="I26" s="314">
        <v>1343.75</v>
      </c>
      <c r="J26" s="314">
        <v>1093.75</v>
      </c>
      <c r="K26" s="314">
        <v>343.75</v>
      </c>
      <c r="L26" s="314">
        <v>343.75</v>
      </c>
      <c r="M26" s="314">
        <v>343.75</v>
      </c>
      <c r="N26" s="314">
        <v>0</v>
      </c>
      <c r="O26" s="314">
        <v>843.75</v>
      </c>
      <c r="P26" s="314">
        <v>343.75</v>
      </c>
      <c r="Q26" s="314">
        <v>1343.75</v>
      </c>
      <c r="R26" s="314">
        <v>343.75</v>
      </c>
      <c r="S26" s="314">
        <v>593.75</v>
      </c>
      <c r="T26" s="314">
        <v>1343.75</v>
      </c>
      <c r="U26" s="314">
        <v>843.75</v>
      </c>
      <c r="V26" s="316">
        <v>343.75</v>
      </c>
      <c r="W26" s="314">
        <v>593.75</v>
      </c>
      <c r="X26" s="316">
        <v>93.75</v>
      </c>
      <c r="Y26" s="314">
        <v>343.75</v>
      </c>
      <c r="Z26" s="314">
        <v>0</v>
      </c>
      <c r="AA26" s="314">
        <v>0</v>
      </c>
      <c r="AB26" s="314">
        <v>1093.75</v>
      </c>
      <c r="AC26" s="314">
        <v>593.75</v>
      </c>
      <c r="AD26" s="314">
        <v>1093.75</v>
      </c>
      <c r="AE26" s="314">
        <v>0</v>
      </c>
      <c r="AF26" s="314">
        <v>343.75</v>
      </c>
      <c r="AG26" s="314">
        <v>0</v>
      </c>
      <c r="AH26" s="314">
        <v>343.75</v>
      </c>
      <c r="AI26" s="314">
        <v>130</v>
      </c>
    </row>
    <row r="27" spans="1:35" x14ac:dyDescent="0.35">
      <c r="A27" s="304" t="s">
        <v>276</v>
      </c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69">
        <v>900</v>
      </c>
      <c r="AH27" s="296"/>
      <c r="AI27" s="296"/>
    </row>
    <row r="28" spans="1:35" x14ac:dyDescent="0.35">
      <c r="A28" s="313" t="s">
        <v>277</v>
      </c>
      <c r="B28" s="314">
        <v>450</v>
      </c>
      <c r="C28" s="314">
        <v>150</v>
      </c>
      <c r="D28" s="314">
        <v>800</v>
      </c>
      <c r="E28" s="314">
        <v>150</v>
      </c>
      <c r="F28" s="314">
        <v>100</v>
      </c>
      <c r="G28" s="314">
        <v>850</v>
      </c>
      <c r="H28" s="314">
        <v>310</v>
      </c>
      <c r="I28" s="314">
        <v>780</v>
      </c>
      <c r="J28" s="314">
        <v>50</v>
      </c>
      <c r="K28" s="314">
        <v>250</v>
      </c>
      <c r="L28" s="314">
        <v>280</v>
      </c>
      <c r="M28" s="314">
        <v>300</v>
      </c>
      <c r="N28" s="314">
        <v>250</v>
      </c>
      <c r="O28" s="314">
        <v>1220</v>
      </c>
      <c r="P28" s="314">
        <v>100</v>
      </c>
      <c r="Q28" s="314">
        <v>1500</v>
      </c>
      <c r="R28" s="314">
        <v>2530</v>
      </c>
      <c r="S28" s="314">
        <v>1585</v>
      </c>
      <c r="T28" s="314">
        <v>0</v>
      </c>
      <c r="U28" s="314">
        <v>100</v>
      </c>
      <c r="V28" s="316">
        <v>90</v>
      </c>
      <c r="W28" s="314">
        <v>690</v>
      </c>
      <c r="X28" s="314">
        <v>180</v>
      </c>
      <c r="Y28" s="314">
        <v>200</v>
      </c>
      <c r="Z28" s="314">
        <v>50</v>
      </c>
      <c r="AA28" s="314">
        <v>1268</v>
      </c>
      <c r="AB28" s="314">
        <v>540</v>
      </c>
      <c r="AC28" s="314">
        <v>430</v>
      </c>
      <c r="AD28" s="314">
        <v>190</v>
      </c>
      <c r="AE28" s="314">
        <v>2850</v>
      </c>
      <c r="AF28" s="314">
        <v>1960</v>
      </c>
      <c r="AG28" s="314">
        <v>1210</v>
      </c>
      <c r="AH28" s="314">
        <v>1210</v>
      </c>
      <c r="AI28" s="314">
        <v>763</v>
      </c>
    </row>
    <row r="29" spans="1:35" x14ac:dyDescent="0.35">
      <c r="A29" s="317" t="s">
        <v>278</v>
      </c>
      <c r="B29" s="308">
        <v>0</v>
      </c>
      <c r="C29" s="307">
        <v>470</v>
      </c>
      <c r="D29" s="308">
        <v>0</v>
      </c>
      <c r="E29" s="308">
        <v>0</v>
      </c>
      <c r="F29" s="308">
        <v>0</v>
      </c>
      <c r="G29" s="308">
        <v>0</v>
      </c>
      <c r="H29" s="308">
        <v>0</v>
      </c>
      <c r="I29" s="308">
        <v>0</v>
      </c>
      <c r="J29" s="308">
        <v>0</v>
      </c>
      <c r="K29" s="308">
        <v>90</v>
      </c>
      <c r="L29" s="308">
        <v>100</v>
      </c>
      <c r="M29" s="307">
        <v>1170</v>
      </c>
      <c r="N29" s="307">
        <v>0</v>
      </c>
      <c r="O29" s="326">
        <v>1915</v>
      </c>
      <c r="P29" s="308">
        <v>0</v>
      </c>
      <c r="Q29" s="307">
        <v>3000</v>
      </c>
      <c r="R29" s="307">
        <v>700</v>
      </c>
      <c r="S29" s="307">
        <v>480</v>
      </c>
      <c r="T29" s="307">
        <v>100</v>
      </c>
      <c r="U29" s="307">
        <v>80</v>
      </c>
      <c r="V29" s="308">
        <v>0</v>
      </c>
      <c r="W29" s="307">
        <v>0</v>
      </c>
      <c r="X29" s="307">
        <v>0</v>
      </c>
      <c r="Y29" s="307">
        <v>0</v>
      </c>
      <c r="Z29" s="307">
        <v>0</v>
      </c>
      <c r="AA29" s="307">
        <v>165</v>
      </c>
      <c r="AB29" s="307">
        <v>150</v>
      </c>
      <c r="AC29" s="307">
        <v>160</v>
      </c>
      <c r="AD29" s="307">
        <v>95</v>
      </c>
      <c r="AE29" s="307">
        <v>20</v>
      </c>
      <c r="AF29" s="307">
        <v>2296</v>
      </c>
      <c r="AG29" s="307">
        <v>90</v>
      </c>
      <c r="AH29" s="307">
        <v>0</v>
      </c>
      <c r="AI29" s="307">
        <v>300</v>
      </c>
    </row>
    <row r="30" spans="1:35" x14ac:dyDescent="0.35">
      <c r="A30" s="313" t="s">
        <v>279</v>
      </c>
      <c r="B30" s="314">
        <v>44000</v>
      </c>
      <c r="C30" s="314">
        <v>10000</v>
      </c>
      <c r="D30" s="314">
        <v>26750</v>
      </c>
      <c r="E30" s="314">
        <v>35000</v>
      </c>
      <c r="F30" s="314">
        <v>20000</v>
      </c>
      <c r="G30" s="314">
        <v>66150</v>
      </c>
      <c r="H30" s="314">
        <v>22050</v>
      </c>
      <c r="I30" s="314">
        <v>35280</v>
      </c>
      <c r="J30" s="314">
        <v>28000</v>
      </c>
      <c r="K30" s="314">
        <v>10450</v>
      </c>
      <c r="L30" s="314">
        <v>8269</v>
      </c>
      <c r="M30" s="314">
        <v>16000</v>
      </c>
      <c r="N30" s="314">
        <v>10000</v>
      </c>
      <c r="O30" s="314">
        <v>30500</v>
      </c>
      <c r="P30" s="314">
        <v>15000</v>
      </c>
      <c r="Q30" s="314">
        <v>26250</v>
      </c>
      <c r="R30" s="314">
        <v>10000</v>
      </c>
      <c r="S30" s="314">
        <v>13000</v>
      </c>
      <c r="T30" s="314">
        <v>25000</v>
      </c>
      <c r="U30" s="314">
        <v>14500</v>
      </c>
      <c r="V30" s="316">
        <v>15000</v>
      </c>
      <c r="W30" s="314">
        <v>31500</v>
      </c>
      <c r="X30" s="316">
        <v>20000</v>
      </c>
      <c r="Y30" s="314">
        <v>15000</v>
      </c>
      <c r="Z30" s="314">
        <v>15000</v>
      </c>
      <c r="AA30" s="314">
        <v>15000</v>
      </c>
      <c r="AB30" s="314">
        <v>8997</v>
      </c>
      <c r="AC30" s="320"/>
      <c r="AD30" s="314">
        <v>20000</v>
      </c>
      <c r="AE30" s="314">
        <v>12000</v>
      </c>
      <c r="AF30" s="314">
        <v>20000</v>
      </c>
      <c r="AG30" s="314">
        <v>10000</v>
      </c>
      <c r="AH30" s="314">
        <v>18000</v>
      </c>
      <c r="AI30" s="314">
        <v>36000</v>
      </c>
    </row>
    <row r="31" spans="1:35" x14ac:dyDescent="0.35">
      <c r="A31" s="317" t="s">
        <v>280</v>
      </c>
      <c r="B31" s="307">
        <v>6078</v>
      </c>
      <c r="C31" s="307">
        <v>5952.88</v>
      </c>
      <c r="D31" s="307">
        <v>5598.33</v>
      </c>
      <c r="E31" s="314">
        <v>10105.469999999999</v>
      </c>
      <c r="F31" s="307">
        <v>816</v>
      </c>
      <c r="G31" s="307">
        <v>12571.59</v>
      </c>
      <c r="H31" s="307">
        <v>6067.38</v>
      </c>
      <c r="I31" s="307">
        <v>0</v>
      </c>
      <c r="J31" s="307">
        <v>9884.14</v>
      </c>
      <c r="K31" s="325">
        <v>8364</v>
      </c>
      <c r="L31" s="307">
        <v>4617</v>
      </c>
      <c r="M31" s="307">
        <v>6201.68</v>
      </c>
      <c r="N31" s="307">
        <v>2729.72</v>
      </c>
      <c r="O31" s="325">
        <v>8624.9500000000007</v>
      </c>
      <c r="P31" s="307">
        <v>3850</v>
      </c>
      <c r="Q31" s="307">
        <v>8065</v>
      </c>
      <c r="R31" s="325">
        <v>5840.01</v>
      </c>
      <c r="S31" s="325">
        <v>5232</v>
      </c>
      <c r="T31" s="307">
        <v>5064.91</v>
      </c>
      <c r="U31" s="325">
        <v>6097.99</v>
      </c>
      <c r="V31" s="308">
        <v>3810</v>
      </c>
      <c r="W31" s="307">
        <v>4993</v>
      </c>
      <c r="X31" s="325">
        <v>6622.11</v>
      </c>
      <c r="Y31" s="325">
        <v>3582</v>
      </c>
      <c r="Z31" s="307">
        <v>5745.32</v>
      </c>
      <c r="AA31" s="307">
        <v>7893.86</v>
      </c>
      <c r="AB31" s="307">
        <v>6658.47</v>
      </c>
      <c r="AC31" s="307">
        <v>9000</v>
      </c>
      <c r="AD31" s="307">
        <v>5726.87</v>
      </c>
      <c r="AE31" s="307">
        <v>2385</v>
      </c>
      <c r="AF31" s="307">
        <v>8338</v>
      </c>
      <c r="AG31" s="307">
        <v>6181</v>
      </c>
      <c r="AH31" s="325">
        <v>7879</v>
      </c>
      <c r="AI31" s="325">
        <v>9434</v>
      </c>
    </row>
    <row r="32" spans="1:35" x14ac:dyDescent="0.35">
      <c r="A32" s="313" t="s">
        <v>281</v>
      </c>
      <c r="B32" s="314">
        <v>1524.32</v>
      </c>
      <c r="C32" s="316">
        <v>682</v>
      </c>
      <c r="D32" s="314">
        <v>1925.25</v>
      </c>
      <c r="E32" s="314">
        <v>1515.7</v>
      </c>
      <c r="F32" s="314">
        <v>728.58</v>
      </c>
      <c r="G32" s="314">
        <v>4736.24</v>
      </c>
      <c r="H32" s="314">
        <v>1500</v>
      </c>
      <c r="I32" s="314">
        <v>3529.28</v>
      </c>
      <c r="J32" s="314">
        <v>874.5</v>
      </c>
      <c r="K32" s="314">
        <v>500</v>
      </c>
      <c r="L32" s="314">
        <v>167</v>
      </c>
      <c r="M32" s="314">
        <v>552</v>
      </c>
      <c r="N32" s="314">
        <v>170</v>
      </c>
      <c r="O32" s="314">
        <v>1817</v>
      </c>
      <c r="P32" s="314">
        <v>177.38</v>
      </c>
      <c r="Q32" s="314">
        <v>1585</v>
      </c>
      <c r="R32" s="314">
        <v>745</v>
      </c>
      <c r="S32" s="314">
        <v>2264</v>
      </c>
      <c r="T32" s="316">
        <v>0</v>
      </c>
      <c r="U32" s="314">
        <v>602</v>
      </c>
      <c r="V32" s="316">
        <v>287</v>
      </c>
      <c r="W32" s="314">
        <v>1259</v>
      </c>
      <c r="X32" s="316">
        <v>738.9</v>
      </c>
      <c r="Y32" s="314">
        <v>175</v>
      </c>
      <c r="Z32" s="316">
        <v>0</v>
      </c>
      <c r="AA32" s="314">
        <v>1300</v>
      </c>
      <c r="AB32" s="314">
        <v>1881.5</v>
      </c>
      <c r="AC32" s="314">
        <v>339.6</v>
      </c>
      <c r="AD32" s="314">
        <v>810</v>
      </c>
      <c r="AE32" s="314">
        <v>268.8</v>
      </c>
      <c r="AF32" s="314">
        <v>2607.77</v>
      </c>
      <c r="AG32" s="314">
        <v>1990.14</v>
      </c>
      <c r="AH32" s="314">
        <v>1106.96</v>
      </c>
      <c r="AI32" s="314">
        <v>200</v>
      </c>
    </row>
    <row r="33" spans="1:35" x14ac:dyDescent="0.35">
      <c r="A33" s="317" t="s">
        <v>282</v>
      </c>
      <c r="B33" s="307">
        <v>7934.98</v>
      </c>
      <c r="C33" s="307">
        <v>4712.84</v>
      </c>
      <c r="D33" s="307">
        <v>3243.92</v>
      </c>
      <c r="E33" s="307">
        <v>3923.95</v>
      </c>
      <c r="F33" s="308">
        <v>1484.79</v>
      </c>
      <c r="G33" s="325">
        <v>9097.27</v>
      </c>
      <c r="H33" s="325">
        <v>5681.12</v>
      </c>
      <c r="I33" s="307">
        <v>7758.91</v>
      </c>
      <c r="J33" s="307">
        <v>10344.370000000001</v>
      </c>
      <c r="K33" s="308">
        <v>700</v>
      </c>
      <c r="L33" s="308">
        <v>10600</v>
      </c>
      <c r="M33" s="308">
        <v>4621.7700000000004</v>
      </c>
      <c r="N33" s="308">
        <v>4618.04</v>
      </c>
      <c r="O33" s="325">
        <v>8214.82</v>
      </c>
      <c r="P33" s="307">
        <v>2095.71</v>
      </c>
      <c r="Q33" s="307">
        <v>12211.91</v>
      </c>
      <c r="R33" s="308">
        <v>2317.2600000000002</v>
      </c>
      <c r="S33" s="307">
        <v>3430.91</v>
      </c>
      <c r="T33" s="307">
        <v>5382</v>
      </c>
      <c r="U33" s="307">
        <v>4456.93</v>
      </c>
      <c r="V33" s="308">
        <v>900</v>
      </c>
      <c r="W33" s="307">
        <v>2752</v>
      </c>
      <c r="X33" s="308">
        <v>10600</v>
      </c>
      <c r="Y33" s="307">
        <v>2863.84</v>
      </c>
      <c r="Z33" s="307">
        <v>4070.22</v>
      </c>
      <c r="AA33" s="307">
        <v>3265.4</v>
      </c>
      <c r="AB33" s="325">
        <v>0</v>
      </c>
      <c r="AC33" s="307">
        <v>2965.77</v>
      </c>
      <c r="AD33" s="307">
        <v>2115</v>
      </c>
      <c r="AE33" s="307">
        <v>0</v>
      </c>
      <c r="AF33" s="307">
        <v>3840</v>
      </c>
      <c r="AG33" s="307">
        <v>2556.4899999999998</v>
      </c>
      <c r="AH33" s="327">
        <v>3201.78</v>
      </c>
      <c r="AI33" s="327">
        <v>0</v>
      </c>
    </row>
    <row r="34" spans="1:35" x14ac:dyDescent="0.35">
      <c r="A34" s="313" t="s">
        <v>317</v>
      </c>
      <c r="B34" s="314">
        <v>2056</v>
      </c>
      <c r="C34" s="314">
        <v>5874</v>
      </c>
      <c r="D34" s="314">
        <v>3157</v>
      </c>
      <c r="E34" s="314">
        <v>4013</v>
      </c>
      <c r="F34" s="314">
        <v>1620</v>
      </c>
      <c r="G34" s="314">
        <v>7443</v>
      </c>
      <c r="H34" s="314">
        <v>4478</v>
      </c>
      <c r="I34" s="323">
        <v>6296.75</v>
      </c>
      <c r="J34" s="314">
        <v>1741.75</v>
      </c>
      <c r="K34" s="314">
        <v>3162</v>
      </c>
      <c r="L34" s="323">
        <v>190</v>
      </c>
      <c r="M34" s="314">
        <v>3473</v>
      </c>
      <c r="N34" s="314">
        <v>1055</v>
      </c>
      <c r="O34" s="314">
        <v>8835.6</v>
      </c>
      <c r="P34" s="314">
        <v>0</v>
      </c>
      <c r="Q34" s="323">
        <v>5000</v>
      </c>
      <c r="R34" s="323">
        <v>3181</v>
      </c>
      <c r="S34" s="323">
        <v>3570.7</v>
      </c>
      <c r="T34" s="323">
        <v>4211</v>
      </c>
      <c r="U34" s="323">
        <v>4250</v>
      </c>
      <c r="V34" s="316">
        <v>3091</v>
      </c>
      <c r="W34" s="323">
        <v>4493</v>
      </c>
      <c r="X34" s="316">
        <v>2391</v>
      </c>
      <c r="Y34" s="323">
        <v>3544</v>
      </c>
      <c r="Z34" s="323">
        <v>3602</v>
      </c>
      <c r="AA34" s="323">
        <v>7474.1</v>
      </c>
      <c r="AB34" s="323">
        <v>14450.05</v>
      </c>
      <c r="AC34" s="323">
        <v>5700.5</v>
      </c>
      <c r="AD34" s="323">
        <v>8313</v>
      </c>
      <c r="AE34" s="323">
        <v>1717</v>
      </c>
      <c r="AF34" s="323">
        <v>11814</v>
      </c>
      <c r="AG34" s="323">
        <v>2888</v>
      </c>
      <c r="AH34" s="314">
        <v>4469</v>
      </c>
      <c r="AI34" s="314">
        <v>3425</v>
      </c>
    </row>
    <row r="35" spans="1:35" x14ac:dyDescent="0.35">
      <c r="A35" s="317" t="s">
        <v>284</v>
      </c>
      <c r="B35" s="325">
        <v>550</v>
      </c>
      <c r="C35" s="325">
        <v>950</v>
      </c>
      <c r="D35" s="307">
        <v>200</v>
      </c>
      <c r="E35" s="325">
        <v>550</v>
      </c>
      <c r="F35" s="325">
        <v>200</v>
      </c>
      <c r="G35" s="325">
        <v>550</v>
      </c>
      <c r="H35" s="307">
        <v>550</v>
      </c>
      <c r="I35" s="307">
        <v>550</v>
      </c>
      <c r="J35" s="307">
        <v>200</v>
      </c>
      <c r="K35" s="307">
        <v>550</v>
      </c>
      <c r="L35" s="307">
        <v>550</v>
      </c>
      <c r="M35" s="307">
        <v>644</v>
      </c>
      <c r="N35" s="308">
        <v>550</v>
      </c>
      <c r="O35" s="325">
        <v>550</v>
      </c>
      <c r="P35" s="307">
        <v>550</v>
      </c>
      <c r="Q35" s="325">
        <v>850</v>
      </c>
      <c r="R35" s="325">
        <v>350</v>
      </c>
      <c r="S35" s="325">
        <v>999</v>
      </c>
      <c r="T35" s="307">
        <v>1018</v>
      </c>
      <c r="U35" s="325">
        <v>550</v>
      </c>
      <c r="V35" s="308">
        <v>200</v>
      </c>
      <c r="W35" s="325">
        <v>550</v>
      </c>
      <c r="X35" s="308">
        <v>200</v>
      </c>
      <c r="Y35" s="325">
        <v>550</v>
      </c>
      <c r="Z35" s="307">
        <v>550</v>
      </c>
      <c r="AA35" s="308">
        <v>740</v>
      </c>
      <c r="AB35" s="307">
        <v>550</v>
      </c>
      <c r="AC35" s="307">
        <v>200</v>
      </c>
      <c r="AD35" s="308">
        <v>950</v>
      </c>
      <c r="AE35" s="308">
        <v>0</v>
      </c>
      <c r="AF35" s="307">
        <v>1100</v>
      </c>
      <c r="AG35" s="307">
        <v>550</v>
      </c>
      <c r="AH35" s="307">
        <v>550</v>
      </c>
      <c r="AI35" s="307">
        <v>99</v>
      </c>
    </row>
    <row r="36" spans="1:35" x14ac:dyDescent="0.35">
      <c r="A36" s="313" t="s">
        <v>318</v>
      </c>
      <c r="B36" s="323">
        <v>252.57</v>
      </c>
      <c r="C36" s="323">
        <v>43.77</v>
      </c>
      <c r="D36" s="323">
        <v>376.74</v>
      </c>
      <c r="E36" s="323">
        <v>232.67</v>
      </c>
      <c r="F36" s="323">
        <v>88</v>
      </c>
      <c r="G36" s="323">
        <v>1218.79</v>
      </c>
      <c r="H36" s="323">
        <v>874.87</v>
      </c>
      <c r="I36" s="323">
        <v>620.29999999999995</v>
      </c>
      <c r="J36" s="323">
        <v>118.56</v>
      </c>
      <c r="K36" s="323">
        <v>99.63</v>
      </c>
      <c r="L36" s="323">
        <v>11</v>
      </c>
      <c r="M36" s="314">
        <v>0</v>
      </c>
      <c r="N36" s="316">
        <v>0</v>
      </c>
      <c r="O36" s="323">
        <v>787</v>
      </c>
      <c r="P36" s="316">
        <v>0</v>
      </c>
      <c r="Q36" s="316">
        <v>0</v>
      </c>
      <c r="R36" s="316">
        <v>0</v>
      </c>
      <c r="S36" s="316">
        <v>0</v>
      </c>
      <c r="T36" s="323">
        <v>0</v>
      </c>
      <c r="U36" s="316">
        <v>44</v>
      </c>
      <c r="V36" s="316">
        <v>0</v>
      </c>
      <c r="W36" s="316">
        <v>42</v>
      </c>
      <c r="X36" s="316">
        <v>0</v>
      </c>
      <c r="Y36" s="316">
        <v>0</v>
      </c>
      <c r="Z36" s="316">
        <v>0</v>
      </c>
      <c r="AA36" s="316">
        <v>0</v>
      </c>
      <c r="AB36" s="314">
        <v>0</v>
      </c>
      <c r="AC36" s="323">
        <v>0</v>
      </c>
      <c r="AD36" s="316">
        <v>8</v>
      </c>
      <c r="AE36" s="316">
        <v>0</v>
      </c>
      <c r="AF36" s="323">
        <v>77</v>
      </c>
      <c r="AG36" s="316">
        <v>0</v>
      </c>
      <c r="AH36" s="323">
        <v>21</v>
      </c>
      <c r="AI36" s="323">
        <v>0</v>
      </c>
    </row>
    <row r="37" spans="1:35" x14ac:dyDescent="0.35">
      <c r="A37" s="317" t="s">
        <v>286</v>
      </c>
      <c r="B37" s="307">
        <v>1067.4000000000001</v>
      </c>
      <c r="C37" s="307">
        <v>4342</v>
      </c>
      <c r="D37" s="307">
        <v>2310.75</v>
      </c>
      <c r="E37" s="307">
        <v>1359</v>
      </c>
      <c r="F37" s="307">
        <v>2571.25</v>
      </c>
      <c r="G37" s="307">
        <v>2270.25</v>
      </c>
      <c r="H37" s="307">
        <v>1396.5</v>
      </c>
      <c r="I37" s="307">
        <v>2945.5</v>
      </c>
      <c r="J37" s="307">
        <v>813.25</v>
      </c>
      <c r="K37" s="325">
        <v>1293</v>
      </c>
      <c r="L37" s="307">
        <v>370</v>
      </c>
      <c r="M37" s="307">
        <v>1296</v>
      </c>
      <c r="N37" s="307">
        <v>1234</v>
      </c>
      <c r="O37" s="307">
        <v>2945</v>
      </c>
      <c r="P37" s="307">
        <v>460</v>
      </c>
      <c r="Q37" s="307">
        <v>4796</v>
      </c>
      <c r="R37" s="325">
        <v>2862</v>
      </c>
      <c r="S37" s="307">
        <v>2282.9499999999998</v>
      </c>
      <c r="T37" s="307">
        <v>439</v>
      </c>
      <c r="U37" s="307">
        <v>1902.75</v>
      </c>
      <c r="V37" s="308">
        <v>833</v>
      </c>
      <c r="W37" s="307">
        <v>2834</v>
      </c>
      <c r="X37" s="308">
        <v>1204</v>
      </c>
      <c r="Y37" s="307">
        <v>687</v>
      </c>
      <c r="Z37" s="307">
        <v>1032</v>
      </c>
      <c r="AA37" s="307">
        <v>2578.6</v>
      </c>
      <c r="AB37" s="307">
        <v>1229.95</v>
      </c>
      <c r="AC37" s="307">
        <v>1256.25</v>
      </c>
      <c r="AD37" s="307">
        <v>1177.9000000000001</v>
      </c>
      <c r="AE37" s="307">
        <v>151</v>
      </c>
      <c r="AF37" s="307">
        <v>5956.43</v>
      </c>
      <c r="AG37" s="307">
        <v>1460.5</v>
      </c>
      <c r="AH37" s="307">
        <v>1358</v>
      </c>
      <c r="AI37" s="307">
        <v>1530</v>
      </c>
    </row>
    <row r="38" spans="1:35" x14ac:dyDescent="0.35">
      <c r="A38" s="313" t="s">
        <v>287</v>
      </c>
      <c r="B38" s="314">
        <v>925</v>
      </c>
      <c r="C38" s="316">
        <v>0</v>
      </c>
      <c r="D38" s="316">
        <v>0</v>
      </c>
      <c r="E38" s="323">
        <v>0</v>
      </c>
      <c r="F38" s="316">
        <v>0</v>
      </c>
      <c r="G38" s="316">
        <v>0</v>
      </c>
      <c r="H38" s="314">
        <v>0</v>
      </c>
      <c r="I38" s="314">
        <v>125</v>
      </c>
      <c r="J38" s="314">
        <v>0</v>
      </c>
      <c r="K38" s="314">
        <v>800</v>
      </c>
      <c r="L38" s="316">
        <v>0</v>
      </c>
      <c r="M38" s="316">
        <v>0</v>
      </c>
      <c r="N38" s="323">
        <v>275</v>
      </c>
      <c r="O38" s="316">
        <v>0</v>
      </c>
      <c r="P38" s="314">
        <v>200</v>
      </c>
      <c r="Q38" s="316">
        <v>0</v>
      </c>
      <c r="R38" s="316">
        <v>0</v>
      </c>
      <c r="S38" s="314">
        <v>0</v>
      </c>
      <c r="T38" s="323">
        <v>26</v>
      </c>
      <c r="U38" s="316">
        <v>0</v>
      </c>
      <c r="V38" s="316">
        <v>0</v>
      </c>
      <c r="W38" s="316">
        <v>0</v>
      </c>
      <c r="X38" s="316">
        <v>0</v>
      </c>
      <c r="Y38" s="314">
        <v>0</v>
      </c>
      <c r="Z38" s="314">
        <v>0</v>
      </c>
      <c r="AA38" s="314">
        <v>290</v>
      </c>
      <c r="AB38" s="314">
        <v>50</v>
      </c>
      <c r="AC38" s="314">
        <v>0</v>
      </c>
      <c r="AD38" s="316">
        <v>0</v>
      </c>
      <c r="AE38" s="316">
        <v>925</v>
      </c>
      <c r="AF38" s="316">
        <v>660</v>
      </c>
      <c r="AG38" s="316">
        <v>0</v>
      </c>
      <c r="AH38" s="316">
        <v>0</v>
      </c>
      <c r="AI38" s="316">
        <v>0</v>
      </c>
    </row>
    <row r="39" spans="1:35" x14ac:dyDescent="0.35">
      <c r="A39" s="317" t="s">
        <v>319</v>
      </c>
      <c r="B39" s="307">
        <v>582</v>
      </c>
      <c r="C39" s="307">
        <v>234</v>
      </c>
      <c r="D39" s="307">
        <v>302</v>
      </c>
      <c r="E39" s="307">
        <v>0</v>
      </c>
      <c r="F39" s="307">
        <v>89</v>
      </c>
      <c r="G39" s="307">
        <v>2872</v>
      </c>
      <c r="H39" s="308">
        <v>0</v>
      </c>
      <c r="I39" s="325">
        <v>980</v>
      </c>
      <c r="J39" s="307">
        <v>1145.45</v>
      </c>
      <c r="K39" s="308">
        <v>735</v>
      </c>
      <c r="L39" s="308">
        <v>500</v>
      </c>
      <c r="M39" s="307">
        <v>1417</v>
      </c>
      <c r="N39" s="307">
        <v>128</v>
      </c>
      <c r="O39" s="325">
        <v>1424</v>
      </c>
      <c r="P39" s="325">
        <v>0</v>
      </c>
      <c r="Q39" s="307">
        <v>1868</v>
      </c>
      <c r="R39" s="307">
        <v>895</v>
      </c>
      <c r="S39" s="325">
        <v>364.9</v>
      </c>
      <c r="T39" s="307">
        <v>1225</v>
      </c>
      <c r="U39" s="307">
        <v>279</v>
      </c>
      <c r="V39" s="308">
        <v>0</v>
      </c>
      <c r="W39" s="307">
        <v>3574.9</v>
      </c>
      <c r="X39" s="307">
        <v>632</v>
      </c>
      <c r="Y39" s="325">
        <v>76</v>
      </c>
      <c r="Z39" s="308">
        <v>0</v>
      </c>
      <c r="AA39" s="307">
        <v>63</v>
      </c>
      <c r="AB39" s="327">
        <v>573</v>
      </c>
      <c r="AC39" s="307">
        <v>2168.5</v>
      </c>
      <c r="AD39" s="307">
        <v>1774.7</v>
      </c>
      <c r="AE39" s="307">
        <v>6194.15</v>
      </c>
      <c r="AF39" s="307">
        <v>6549</v>
      </c>
      <c r="AG39" s="307">
        <v>2481.85</v>
      </c>
      <c r="AH39" s="325">
        <v>609</v>
      </c>
      <c r="AI39" s="325">
        <v>1512</v>
      </c>
    </row>
    <row r="40" spans="1:35" x14ac:dyDescent="0.35">
      <c r="A40" s="313" t="s">
        <v>289</v>
      </c>
      <c r="B40" s="314">
        <v>1197.1500000000001</v>
      </c>
      <c r="C40" s="314">
        <v>720</v>
      </c>
      <c r="D40" s="314">
        <v>282.75</v>
      </c>
      <c r="E40" s="314">
        <v>0</v>
      </c>
      <c r="F40" s="314">
        <v>928.25</v>
      </c>
      <c r="G40" s="314">
        <v>1769</v>
      </c>
      <c r="H40" s="314">
        <v>620.5</v>
      </c>
      <c r="I40" s="314">
        <v>1260.5</v>
      </c>
      <c r="J40" s="314">
        <v>1057.5</v>
      </c>
      <c r="K40" s="314">
        <v>207</v>
      </c>
      <c r="L40" s="314">
        <v>221</v>
      </c>
      <c r="M40" s="314">
        <v>1731</v>
      </c>
      <c r="N40" s="314">
        <v>110</v>
      </c>
      <c r="O40" s="314">
        <v>2728.35</v>
      </c>
      <c r="P40" s="314">
        <v>0</v>
      </c>
      <c r="Q40" s="314">
        <v>2154</v>
      </c>
      <c r="R40" s="314">
        <v>1145</v>
      </c>
      <c r="S40" s="314">
        <v>163.55000000000001</v>
      </c>
      <c r="T40" s="314">
        <v>0</v>
      </c>
      <c r="U40" s="314">
        <v>550</v>
      </c>
      <c r="V40" s="316">
        <v>322</v>
      </c>
      <c r="W40" s="314">
        <v>0</v>
      </c>
      <c r="X40" s="330">
        <v>450</v>
      </c>
      <c r="Y40" s="323">
        <v>0</v>
      </c>
      <c r="Z40" s="323">
        <v>361.25</v>
      </c>
      <c r="AA40" s="323">
        <v>0</v>
      </c>
      <c r="AB40" s="323">
        <v>680</v>
      </c>
      <c r="AC40" s="323">
        <v>0</v>
      </c>
      <c r="AD40" s="323">
        <v>0</v>
      </c>
      <c r="AE40" s="323">
        <v>0</v>
      </c>
      <c r="AF40" s="323">
        <v>1519.85</v>
      </c>
      <c r="AG40" s="323">
        <v>531</v>
      </c>
      <c r="AH40" s="314">
        <v>0</v>
      </c>
      <c r="AI40" s="314">
        <v>424</v>
      </c>
    </row>
    <row r="41" spans="1:35" x14ac:dyDescent="0.35">
      <c r="A41" s="304" t="s">
        <v>320</v>
      </c>
      <c r="B41" s="305">
        <v>0</v>
      </c>
      <c r="C41" s="305">
        <v>285</v>
      </c>
      <c r="D41" s="305">
        <v>743</v>
      </c>
      <c r="E41" s="305">
        <v>8415</v>
      </c>
      <c r="F41" s="305">
        <v>600</v>
      </c>
      <c r="G41" s="305">
        <v>2848</v>
      </c>
      <c r="H41" s="305">
        <v>1362</v>
      </c>
      <c r="I41" s="305">
        <v>3911.25</v>
      </c>
      <c r="J41" s="269">
        <v>0</v>
      </c>
      <c r="K41" s="305">
        <v>8275</v>
      </c>
      <c r="L41" s="305">
        <v>947</v>
      </c>
      <c r="M41" s="305">
        <v>2347</v>
      </c>
      <c r="N41" s="307">
        <v>0</v>
      </c>
      <c r="O41" s="307">
        <v>14759.5</v>
      </c>
      <c r="P41" s="308">
        <v>2682.16</v>
      </c>
      <c r="Q41" s="307">
        <v>8370</v>
      </c>
      <c r="R41" s="307">
        <v>24939</v>
      </c>
      <c r="S41" s="307">
        <v>0</v>
      </c>
      <c r="T41" s="307">
        <v>260</v>
      </c>
      <c r="U41" s="307">
        <v>7036</v>
      </c>
      <c r="V41" s="308">
        <v>330</v>
      </c>
      <c r="W41" s="307">
        <v>619</v>
      </c>
      <c r="X41" s="308">
        <v>358</v>
      </c>
      <c r="Y41" s="308">
        <v>872</v>
      </c>
      <c r="Z41" s="325">
        <v>0</v>
      </c>
      <c r="AA41" s="325">
        <v>1999.5</v>
      </c>
      <c r="AB41" s="325">
        <v>178</v>
      </c>
      <c r="AC41" s="325">
        <v>1616</v>
      </c>
      <c r="AD41" s="325">
        <v>500</v>
      </c>
      <c r="AE41" s="325">
        <v>647</v>
      </c>
      <c r="AF41" s="325">
        <v>645</v>
      </c>
      <c r="AG41" s="308">
        <v>800</v>
      </c>
      <c r="AH41" s="307">
        <v>32</v>
      </c>
      <c r="AI41" s="307">
        <v>0</v>
      </c>
    </row>
    <row r="42" spans="1:35" x14ac:dyDescent="0.35">
      <c r="A42" s="313" t="s">
        <v>291</v>
      </c>
      <c r="B42" s="314">
        <v>323</v>
      </c>
      <c r="C42" s="316">
        <v>500</v>
      </c>
      <c r="D42" s="314">
        <v>100</v>
      </c>
      <c r="E42" s="314">
        <v>2170</v>
      </c>
      <c r="F42" s="316">
        <v>940</v>
      </c>
      <c r="G42" s="314">
        <v>4411.26</v>
      </c>
      <c r="H42" s="314">
        <v>0</v>
      </c>
      <c r="I42" s="314">
        <v>640</v>
      </c>
      <c r="J42" s="316">
        <v>986.25</v>
      </c>
      <c r="K42" s="314">
        <v>368</v>
      </c>
      <c r="L42" s="314">
        <v>203</v>
      </c>
      <c r="M42" s="314">
        <v>1218</v>
      </c>
      <c r="N42" s="314">
        <v>600</v>
      </c>
      <c r="O42" s="314">
        <v>152.5</v>
      </c>
      <c r="P42" s="314">
        <v>37</v>
      </c>
      <c r="Q42" s="314">
        <v>100</v>
      </c>
      <c r="R42" s="316">
        <v>390</v>
      </c>
      <c r="S42" s="316">
        <v>129</v>
      </c>
      <c r="T42" s="314">
        <v>210</v>
      </c>
      <c r="U42" s="314">
        <v>378</v>
      </c>
      <c r="V42" s="316">
        <v>0</v>
      </c>
      <c r="W42" s="314">
        <v>2529</v>
      </c>
      <c r="X42" s="330">
        <v>710</v>
      </c>
      <c r="Y42" s="323">
        <v>30</v>
      </c>
      <c r="Z42" s="323">
        <v>74</v>
      </c>
      <c r="AA42" s="323">
        <v>980</v>
      </c>
      <c r="AB42" s="323">
        <v>348.25</v>
      </c>
      <c r="AC42" s="331">
        <v>1418</v>
      </c>
      <c r="AD42" s="332">
        <v>2132</v>
      </c>
      <c r="AE42" s="332">
        <v>4655</v>
      </c>
      <c r="AF42" s="331">
        <v>361.9</v>
      </c>
      <c r="AG42" s="331">
        <v>5330.9</v>
      </c>
      <c r="AH42" s="333">
        <v>260</v>
      </c>
      <c r="AI42" s="333">
        <v>568</v>
      </c>
    </row>
    <row r="43" spans="1:35" x14ac:dyDescent="0.35">
      <c r="A43" s="304" t="s">
        <v>292</v>
      </c>
      <c r="B43" s="305">
        <v>7733.63</v>
      </c>
      <c r="C43" s="305">
        <v>7733.63</v>
      </c>
      <c r="D43" s="307">
        <v>5800.23</v>
      </c>
      <c r="E43" s="305">
        <v>5800.23</v>
      </c>
      <c r="F43" s="305">
        <v>1933.41</v>
      </c>
      <c r="G43" s="305">
        <v>13533.86</v>
      </c>
      <c r="H43" s="305">
        <v>11600.4</v>
      </c>
      <c r="I43" s="305">
        <v>13533.86</v>
      </c>
      <c r="J43" s="305">
        <v>5800.23</v>
      </c>
      <c r="K43" s="305">
        <v>5800.23</v>
      </c>
      <c r="L43" s="305">
        <v>3866.82</v>
      </c>
      <c r="M43" s="305">
        <v>5800.23</v>
      </c>
      <c r="N43" s="305">
        <v>1933.41</v>
      </c>
      <c r="O43" s="307">
        <v>11600.45</v>
      </c>
      <c r="P43" s="305">
        <v>1933.41</v>
      </c>
      <c r="Q43" s="305">
        <v>5800.73</v>
      </c>
      <c r="R43" s="305">
        <v>3866.82</v>
      </c>
      <c r="S43" s="305">
        <v>3866.82</v>
      </c>
      <c r="T43" s="305">
        <v>5800.23</v>
      </c>
      <c r="U43" s="305">
        <v>7733.63</v>
      </c>
      <c r="V43" s="269">
        <v>1933.41</v>
      </c>
      <c r="W43" s="305">
        <v>7733.63</v>
      </c>
      <c r="X43" s="269">
        <v>1933.41</v>
      </c>
      <c r="Y43" s="334">
        <v>1933.41</v>
      </c>
      <c r="Z43" s="334">
        <v>3866.82</v>
      </c>
      <c r="AA43" s="334">
        <v>5800.23</v>
      </c>
      <c r="AB43" s="334">
        <v>5800.23</v>
      </c>
      <c r="AC43" s="334">
        <v>5800.23</v>
      </c>
      <c r="AD43" s="334">
        <v>1933.41</v>
      </c>
      <c r="AE43" s="334">
        <v>1933.41</v>
      </c>
      <c r="AF43" s="334">
        <v>11600.45</v>
      </c>
      <c r="AG43" s="334">
        <v>5800.23</v>
      </c>
      <c r="AH43" s="305">
        <v>1933.41</v>
      </c>
      <c r="AI43" s="305">
        <v>1933.41</v>
      </c>
    </row>
    <row r="44" spans="1:35" x14ac:dyDescent="0.35">
      <c r="A44" s="313" t="s">
        <v>321</v>
      </c>
      <c r="B44" s="314">
        <v>1409.24</v>
      </c>
      <c r="C44" s="314">
        <v>1409.24</v>
      </c>
      <c r="D44" s="314">
        <v>1056.93</v>
      </c>
      <c r="E44" s="314">
        <v>1056.93</v>
      </c>
      <c r="F44" s="314">
        <v>352.31</v>
      </c>
      <c r="G44" s="314">
        <v>2466.17</v>
      </c>
      <c r="H44" s="314">
        <v>2113.86</v>
      </c>
      <c r="I44" s="314">
        <v>2466.17</v>
      </c>
      <c r="J44" s="314">
        <v>1056.93</v>
      </c>
      <c r="K44" s="314">
        <v>1056.93</v>
      </c>
      <c r="L44" s="314">
        <v>704.62</v>
      </c>
      <c r="M44" s="314">
        <v>1056.93</v>
      </c>
      <c r="N44" s="314">
        <v>352.31</v>
      </c>
      <c r="O44" s="314">
        <v>2113.86</v>
      </c>
      <c r="P44" s="314">
        <v>352.31</v>
      </c>
      <c r="Q44" s="314">
        <v>1056.93</v>
      </c>
      <c r="R44" s="314">
        <v>704.62</v>
      </c>
      <c r="S44" s="314">
        <v>704.62</v>
      </c>
      <c r="T44" s="314">
        <v>1056.93</v>
      </c>
      <c r="U44" s="314">
        <v>1409.24</v>
      </c>
      <c r="V44" s="316">
        <v>352.31</v>
      </c>
      <c r="W44" s="314">
        <v>1409.24</v>
      </c>
      <c r="X44" s="316">
        <v>352.31</v>
      </c>
      <c r="Y44" s="323">
        <v>351.31</v>
      </c>
      <c r="Z44" s="323">
        <v>704.62</v>
      </c>
      <c r="AA44" s="323">
        <v>1056.93</v>
      </c>
      <c r="AB44" s="323">
        <v>1056.93</v>
      </c>
      <c r="AC44" s="331">
        <v>1056.93</v>
      </c>
      <c r="AD44" s="331">
        <v>352.31</v>
      </c>
      <c r="AE44" s="331">
        <v>352.31</v>
      </c>
      <c r="AF44" s="331">
        <v>2170.16</v>
      </c>
      <c r="AG44" s="331">
        <v>1056.93</v>
      </c>
      <c r="AH44" s="333">
        <v>352.31</v>
      </c>
      <c r="AI44" s="333">
        <v>352.31</v>
      </c>
    </row>
    <row r="45" spans="1:35" x14ac:dyDescent="0.35">
      <c r="A45" s="304" t="s">
        <v>322</v>
      </c>
      <c r="B45" s="269">
        <v>0</v>
      </c>
      <c r="C45" s="269">
        <v>0</v>
      </c>
      <c r="D45" s="269">
        <v>0</v>
      </c>
      <c r="E45" s="269">
        <v>0</v>
      </c>
      <c r="F45" s="269">
        <v>0</v>
      </c>
      <c r="G45" s="269">
        <v>0</v>
      </c>
      <c r="H45" s="269">
        <v>0</v>
      </c>
      <c r="I45" s="296"/>
      <c r="J45" s="334">
        <v>0</v>
      </c>
      <c r="K45" s="334">
        <v>0</v>
      </c>
      <c r="L45" s="269">
        <v>0</v>
      </c>
      <c r="M45" s="269">
        <v>0</v>
      </c>
      <c r="N45" s="269">
        <v>0</v>
      </c>
      <c r="O45" s="334">
        <v>0</v>
      </c>
      <c r="P45" s="269">
        <v>0</v>
      </c>
      <c r="Q45" s="269">
        <v>0</v>
      </c>
      <c r="R45" s="269">
        <v>0</v>
      </c>
      <c r="S45" s="296"/>
      <c r="T45" s="269">
        <v>0</v>
      </c>
      <c r="U45" s="334">
        <v>0</v>
      </c>
      <c r="V45" s="269">
        <v>0</v>
      </c>
      <c r="W45" s="269">
        <v>0</v>
      </c>
      <c r="X45" s="269">
        <v>0</v>
      </c>
      <c r="Y45" s="334">
        <v>0</v>
      </c>
      <c r="Z45" s="269">
        <v>0</v>
      </c>
      <c r="AA45" s="269">
        <v>0</v>
      </c>
      <c r="AB45" s="334">
        <v>0</v>
      </c>
      <c r="AC45" s="269">
        <v>0</v>
      </c>
      <c r="AD45" s="334">
        <v>0</v>
      </c>
      <c r="AE45" s="334">
        <v>0</v>
      </c>
      <c r="AF45" s="269">
        <v>0</v>
      </c>
      <c r="AG45" s="269">
        <v>0</v>
      </c>
      <c r="AH45" s="269">
        <v>0</v>
      </c>
      <c r="AI45" s="269">
        <v>0</v>
      </c>
    </row>
    <row r="46" spans="1:35" x14ac:dyDescent="0.35">
      <c r="A46" s="336" t="s">
        <v>323</v>
      </c>
      <c r="B46" s="336">
        <f t="shared" ref="B46:AD46" si="2">SUM(B14:B45)</f>
        <v>211298.43</v>
      </c>
      <c r="C46" s="336">
        <f t="shared" si="2"/>
        <v>197166.49999999997</v>
      </c>
      <c r="D46" s="336">
        <f t="shared" si="2"/>
        <v>156617.86999999997</v>
      </c>
      <c r="E46" s="336">
        <f t="shared" si="2"/>
        <v>189603.42</v>
      </c>
      <c r="F46" s="336">
        <f t="shared" si="2"/>
        <v>104237.44</v>
      </c>
      <c r="G46" s="336">
        <f t="shared" si="2"/>
        <v>384900.73</v>
      </c>
      <c r="H46" s="336">
        <f t="shared" si="2"/>
        <v>215967.88999999996</v>
      </c>
      <c r="I46" s="336">
        <f t="shared" si="2"/>
        <v>310721.40999999997</v>
      </c>
      <c r="J46" s="336">
        <f t="shared" si="2"/>
        <v>165614.99000000002</v>
      </c>
      <c r="K46" s="336">
        <f t="shared" si="2"/>
        <v>152037.75999999998</v>
      </c>
      <c r="L46" s="336">
        <f t="shared" si="2"/>
        <v>106964.98</v>
      </c>
      <c r="M46" s="336">
        <f t="shared" si="2"/>
        <v>190675.22999999998</v>
      </c>
      <c r="N46" s="336">
        <f t="shared" si="2"/>
        <v>87442.73</v>
      </c>
      <c r="O46" s="336">
        <f t="shared" si="2"/>
        <v>336775.92</v>
      </c>
      <c r="P46" s="336">
        <f t="shared" si="2"/>
        <v>88702.270000000019</v>
      </c>
      <c r="Q46" s="336">
        <f t="shared" si="2"/>
        <v>254829.61</v>
      </c>
      <c r="R46" s="336">
        <f t="shared" si="2"/>
        <v>177032.68</v>
      </c>
      <c r="S46" s="336">
        <f t="shared" si="2"/>
        <v>165836.07</v>
      </c>
      <c r="T46" s="336">
        <f t="shared" si="2"/>
        <v>211659.61</v>
      </c>
      <c r="U46" s="336">
        <f t="shared" si="2"/>
        <v>234879.57999999996</v>
      </c>
      <c r="V46" s="336">
        <f t="shared" si="2"/>
        <v>131750.18999999997</v>
      </c>
      <c r="W46" s="336">
        <f t="shared" si="2"/>
        <v>197114.56999999998</v>
      </c>
      <c r="X46" s="336">
        <f t="shared" si="2"/>
        <v>147257.87</v>
      </c>
      <c r="Y46" s="336">
        <f t="shared" si="2"/>
        <v>130647.09999999999</v>
      </c>
      <c r="Z46" s="336">
        <f t="shared" si="2"/>
        <v>128660.16</v>
      </c>
      <c r="AA46" s="336">
        <f t="shared" si="2"/>
        <v>188643.85</v>
      </c>
      <c r="AB46" s="336">
        <f t="shared" si="2"/>
        <v>215035.54</v>
      </c>
      <c r="AC46" s="336">
        <f t="shared" si="2"/>
        <v>153337.75999999998</v>
      </c>
      <c r="AD46" s="336">
        <f t="shared" si="2"/>
        <v>168893.99</v>
      </c>
      <c r="AE46" s="336">
        <v>146728.76999999999</v>
      </c>
      <c r="AF46" s="336">
        <f t="shared" ref="AF46:AI46" si="3">SUM(AF14:AF45)</f>
        <v>307155.42</v>
      </c>
      <c r="AG46" s="336">
        <f t="shared" si="3"/>
        <v>131981.75</v>
      </c>
      <c r="AH46" s="336">
        <f t="shared" si="3"/>
        <v>143551.96000000002</v>
      </c>
      <c r="AI46" s="336">
        <f t="shared" si="3"/>
        <v>179032.22</v>
      </c>
    </row>
    <row r="47" spans="1:35" x14ac:dyDescent="0.35">
      <c r="A47" s="304" t="s">
        <v>8</v>
      </c>
      <c r="B47" s="305">
        <f t="shared" ref="B47:AD47" si="4">B10-B11-B46</f>
        <v>24525.380000000005</v>
      </c>
      <c r="C47" s="305">
        <f t="shared" si="4"/>
        <v>55622.830000000045</v>
      </c>
      <c r="D47" s="305">
        <f t="shared" si="4"/>
        <v>5498.5800000000454</v>
      </c>
      <c r="E47" s="305">
        <f t="shared" si="4"/>
        <v>9399.0499999999593</v>
      </c>
      <c r="F47" s="305">
        <f t="shared" si="4"/>
        <v>18357.989999999991</v>
      </c>
      <c r="G47" s="305">
        <f t="shared" si="4"/>
        <v>187370.06000000006</v>
      </c>
      <c r="H47" s="305">
        <f t="shared" si="4"/>
        <v>86597.250000000058</v>
      </c>
      <c r="I47" s="305">
        <f t="shared" si="4"/>
        <v>182015.69</v>
      </c>
      <c r="J47" s="305">
        <f t="shared" si="4"/>
        <v>25981.889999999985</v>
      </c>
      <c r="K47" s="305">
        <f t="shared" si="4"/>
        <v>36833.110000000015</v>
      </c>
      <c r="L47" s="305">
        <f t="shared" si="4"/>
        <v>-8268.36</v>
      </c>
      <c r="M47" s="305">
        <f t="shared" si="4"/>
        <v>20680.190000000002</v>
      </c>
      <c r="N47" s="305">
        <f t="shared" si="4"/>
        <v>15789.62999999999</v>
      </c>
      <c r="O47" s="305">
        <f t="shared" si="4"/>
        <v>99260.18</v>
      </c>
      <c r="P47" s="305">
        <f t="shared" si="4"/>
        <v>-7174.2500000000291</v>
      </c>
      <c r="Q47" s="305">
        <f t="shared" si="4"/>
        <v>43987.95000000007</v>
      </c>
      <c r="R47" s="305">
        <f t="shared" si="4"/>
        <v>-23054.539999999979</v>
      </c>
      <c r="S47" s="305">
        <f t="shared" si="4"/>
        <v>20970.789999999979</v>
      </c>
      <c r="T47" s="305">
        <f t="shared" si="4"/>
        <v>107994.26000000001</v>
      </c>
      <c r="U47" s="305">
        <f t="shared" si="4"/>
        <v>85709.060000000056</v>
      </c>
      <c r="V47" s="305">
        <f t="shared" si="4"/>
        <v>6640.6700000000128</v>
      </c>
      <c r="W47" s="305">
        <f t="shared" si="4"/>
        <v>37723.53</v>
      </c>
      <c r="X47" s="305">
        <f t="shared" si="4"/>
        <v>24360.239999999991</v>
      </c>
      <c r="Y47" s="305">
        <f t="shared" si="4"/>
        <v>71508.740000000034</v>
      </c>
      <c r="Z47" s="305">
        <f t="shared" si="4"/>
        <v>45090.180000000022</v>
      </c>
      <c r="AA47" s="305">
        <f t="shared" si="4"/>
        <v>46564.550000000017</v>
      </c>
      <c r="AB47" s="305">
        <f t="shared" si="4"/>
        <v>87096.799999999959</v>
      </c>
      <c r="AC47" s="305">
        <f t="shared" si="4"/>
        <v>61142.91</v>
      </c>
      <c r="AD47" s="305">
        <f t="shared" si="4"/>
        <v>48868.979999999981</v>
      </c>
      <c r="AE47" s="305">
        <v>55558.6</v>
      </c>
      <c r="AF47" s="305">
        <f t="shared" ref="AF47:AI47" si="5">AF10-AF11-AF46</f>
        <v>187386.60000000003</v>
      </c>
      <c r="AG47" s="305">
        <f t="shared" si="5"/>
        <v>-8407.3699999999953</v>
      </c>
      <c r="AH47" s="305">
        <f t="shared" si="5"/>
        <v>19784.880000000005</v>
      </c>
      <c r="AI47" s="305">
        <f t="shared" si="5"/>
        <v>21477.749999999971</v>
      </c>
    </row>
    <row r="48" spans="1:35" x14ac:dyDescent="0.35">
      <c r="A48" s="304" t="s">
        <v>325</v>
      </c>
      <c r="B48" s="305">
        <f t="shared" ref="B48:AD48" si="6">B47*20%</f>
        <v>4905.0760000000009</v>
      </c>
      <c r="C48" s="305">
        <f t="shared" si="6"/>
        <v>11124.56600000001</v>
      </c>
      <c r="D48" s="305">
        <f t="shared" si="6"/>
        <v>1099.7160000000092</v>
      </c>
      <c r="E48" s="305">
        <f t="shared" si="6"/>
        <v>1879.809999999992</v>
      </c>
      <c r="F48" s="305">
        <f t="shared" si="6"/>
        <v>3671.5979999999981</v>
      </c>
      <c r="G48" s="305">
        <f t="shared" si="6"/>
        <v>37474.01200000001</v>
      </c>
      <c r="H48" s="305">
        <f t="shared" si="6"/>
        <v>17319.450000000012</v>
      </c>
      <c r="I48" s="305">
        <f t="shared" si="6"/>
        <v>36403.137999999999</v>
      </c>
      <c r="J48" s="305">
        <f t="shared" si="6"/>
        <v>5196.377999999997</v>
      </c>
      <c r="K48" s="305">
        <f t="shared" si="6"/>
        <v>7366.622000000003</v>
      </c>
      <c r="L48" s="305">
        <f t="shared" si="6"/>
        <v>-1653.6720000000003</v>
      </c>
      <c r="M48" s="305">
        <f t="shared" si="6"/>
        <v>4136.0380000000005</v>
      </c>
      <c r="N48" s="305">
        <f t="shared" si="6"/>
        <v>3157.9259999999981</v>
      </c>
      <c r="O48" s="305">
        <f t="shared" si="6"/>
        <v>19852.036</v>
      </c>
      <c r="P48" s="305">
        <f t="shared" si="6"/>
        <v>-1434.8500000000058</v>
      </c>
      <c r="Q48" s="305">
        <f t="shared" si="6"/>
        <v>8797.5900000000147</v>
      </c>
      <c r="R48" s="305">
        <f t="shared" si="6"/>
        <v>-4610.9079999999958</v>
      </c>
      <c r="S48" s="305">
        <f t="shared" si="6"/>
        <v>4194.1579999999958</v>
      </c>
      <c r="T48" s="305">
        <f t="shared" si="6"/>
        <v>21598.852000000003</v>
      </c>
      <c r="U48" s="305">
        <f t="shared" si="6"/>
        <v>17141.812000000013</v>
      </c>
      <c r="V48" s="305">
        <f t="shared" si="6"/>
        <v>1328.1340000000027</v>
      </c>
      <c r="W48" s="305">
        <f t="shared" si="6"/>
        <v>7544.7060000000001</v>
      </c>
      <c r="X48" s="305">
        <f t="shared" si="6"/>
        <v>4872.047999999998</v>
      </c>
      <c r="Y48" s="305">
        <f t="shared" si="6"/>
        <v>14301.748000000007</v>
      </c>
      <c r="Z48" s="305">
        <f t="shared" si="6"/>
        <v>9018.0360000000055</v>
      </c>
      <c r="AA48" s="305">
        <f t="shared" si="6"/>
        <v>9312.9100000000035</v>
      </c>
      <c r="AB48" s="305">
        <f t="shared" si="6"/>
        <v>17419.359999999993</v>
      </c>
      <c r="AC48" s="305">
        <f t="shared" si="6"/>
        <v>12228.582000000002</v>
      </c>
      <c r="AD48" s="305">
        <f t="shared" si="6"/>
        <v>9773.7959999999966</v>
      </c>
      <c r="AE48" s="305">
        <v>11111.72</v>
      </c>
      <c r="AF48" s="305">
        <f t="shared" ref="AF48:AI48" si="7">AF47*20%</f>
        <v>37477.320000000007</v>
      </c>
      <c r="AG48" s="305">
        <f t="shared" si="7"/>
        <v>-1681.4739999999993</v>
      </c>
      <c r="AH48" s="305">
        <f t="shared" si="7"/>
        <v>3956.976000000001</v>
      </c>
      <c r="AI48" s="305">
        <f t="shared" si="7"/>
        <v>4295.5499999999947</v>
      </c>
    </row>
    <row r="49" spans="1:35" x14ac:dyDescent="0.35">
      <c r="A49" s="304" t="s">
        <v>81</v>
      </c>
      <c r="B49" s="305">
        <f t="shared" ref="B49:AD49" si="8">B47*80%</f>
        <v>19620.304000000004</v>
      </c>
      <c r="C49" s="305">
        <f t="shared" si="8"/>
        <v>44498.264000000039</v>
      </c>
      <c r="D49" s="305">
        <f t="shared" si="8"/>
        <v>4398.8640000000369</v>
      </c>
      <c r="E49" s="305">
        <f t="shared" si="8"/>
        <v>7519.2399999999679</v>
      </c>
      <c r="F49" s="305">
        <f t="shared" si="8"/>
        <v>14686.391999999993</v>
      </c>
      <c r="G49" s="305">
        <f t="shared" si="8"/>
        <v>149896.04800000004</v>
      </c>
      <c r="H49" s="305">
        <f t="shared" si="8"/>
        <v>69277.800000000047</v>
      </c>
      <c r="I49" s="305">
        <f t="shared" si="8"/>
        <v>145612.552</v>
      </c>
      <c r="J49" s="305">
        <f t="shared" si="8"/>
        <v>20785.511999999988</v>
      </c>
      <c r="K49" s="305">
        <f t="shared" si="8"/>
        <v>29466.488000000012</v>
      </c>
      <c r="L49" s="305">
        <f t="shared" si="8"/>
        <v>-6614.688000000001</v>
      </c>
      <c r="M49" s="305">
        <f t="shared" si="8"/>
        <v>16544.152000000002</v>
      </c>
      <c r="N49" s="305">
        <f t="shared" si="8"/>
        <v>12631.703999999992</v>
      </c>
      <c r="O49" s="305">
        <f t="shared" si="8"/>
        <v>79408.144</v>
      </c>
      <c r="P49" s="305">
        <f t="shared" si="8"/>
        <v>-5739.4000000000233</v>
      </c>
      <c r="Q49" s="305">
        <f t="shared" si="8"/>
        <v>35190.360000000059</v>
      </c>
      <c r="R49" s="305">
        <f t="shared" si="8"/>
        <v>-18443.631999999983</v>
      </c>
      <c r="S49" s="305">
        <f t="shared" si="8"/>
        <v>16776.631999999983</v>
      </c>
      <c r="T49" s="305">
        <f t="shared" si="8"/>
        <v>86395.40800000001</v>
      </c>
      <c r="U49" s="305">
        <f t="shared" si="8"/>
        <v>68567.248000000051</v>
      </c>
      <c r="V49" s="305">
        <f t="shared" si="8"/>
        <v>5312.536000000011</v>
      </c>
      <c r="W49" s="305">
        <f t="shared" si="8"/>
        <v>30178.824000000001</v>
      </c>
      <c r="X49" s="305">
        <f t="shared" si="8"/>
        <v>19488.191999999992</v>
      </c>
      <c r="Y49" s="305">
        <f t="shared" si="8"/>
        <v>57206.992000000027</v>
      </c>
      <c r="Z49" s="305">
        <f t="shared" si="8"/>
        <v>36072.144000000022</v>
      </c>
      <c r="AA49" s="305">
        <f t="shared" si="8"/>
        <v>37251.640000000014</v>
      </c>
      <c r="AB49" s="305">
        <f t="shared" si="8"/>
        <v>69677.439999999973</v>
      </c>
      <c r="AC49" s="305">
        <f t="shared" si="8"/>
        <v>48914.328000000009</v>
      </c>
      <c r="AD49" s="305">
        <f t="shared" si="8"/>
        <v>39095.183999999987</v>
      </c>
      <c r="AE49" s="305">
        <v>44446.879999999997</v>
      </c>
      <c r="AF49" s="305">
        <f t="shared" ref="AF49:AI49" si="9">AF47*80%</f>
        <v>149909.28000000003</v>
      </c>
      <c r="AG49" s="305">
        <f t="shared" si="9"/>
        <v>-6725.895999999997</v>
      </c>
      <c r="AH49" s="305">
        <f t="shared" si="9"/>
        <v>15827.904000000004</v>
      </c>
      <c r="AI49" s="305">
        <f t="shared" si="9"/>
        <v>17182.199999999979</v>
      </c>
    </row>
    <row r="50" spans="1:35" x14ac:dyDescent="0.35">
      <c r="A50" s="339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  <c r="AD50" s="339"/>
      <c r="AE50" s="339"/>
      <c r="AF50" s="339"/>
      <c r="AG50" s="339"/>
      <c r="AH50" s="289"/>
      <c r="AI50" s="289"/>
    </row>
    <row r="51" spans="1:35" x14ac:dyDescent="0.35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</row>
    <row r="52" spans="1:35" x14ac:dyDescent="0.35">
      <c r="A52" s="289"/>
      <c r="B52" s="291" t="s">
        <v>326</v>
      </c>
      <c r="C52" s="289"/>
      <c r="D52" s="289"/>
      <c r="E52" s="291" t="s">
        <v>327</v>
      </c>
      <c r="F52" s="289"/>
      <c r="G52" s="289"/>
      <c r="H52" s="291" t="s">
        <v>328</v>
      </c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</row>
    <row r="53" spans="1:35" x14ac:dyDescent="0.35">
      <c r="A53" s="289"/>
      <c r="B53" s="338" t="s">
        <v>329</v>
      </c>
      <c r="C53" s="289"/>
      <c r="D53" s="289"/>
      <c r="E53" s="338" t="s">
        <v>330</v>
      </c>
      <c r="F53" s="289"/>
      <c r="G53" s="289"/>
      <c r="H53" s="338" t="s">
        <v>331</v>
      </c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</row>
    <row r="54" spans="1:35" x14ac:dyDescent="0.35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33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</row>
    <row r="55" spans="1:35" x14ac:dyDescent="0.35">
      <c r="A55" s="141"/>
      <c r="B55" s="289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</row>
    <row r="56" spans="1:35" x14ac:dyDescent="0.35">
      <c r="A56" s="141"/>
      <c r="B56" s="289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</row>
    <row r="57" spans="1:35" x14ac:dyDescent="0.35">
      <c r="A57" s="141"/>
      <c r="B57" s="289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</row>
    <row r="58" spans="1:35" x14ac:dyDescent="0.35">
      <c r="A58" s="141"/>
      <c r="B58" s="289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</row>
    <row r="59" spans="1:35" x14ac:dyDescent="0.35">
      <c r="A59" s="141"/>
      <c r="B59" s="289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</row>
    <row r="60" spans="1:35" x14ac:dyDescent="0.35">
      <c r="A60" s="141"/>
      <c r="B60" s="289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</row>
    <row r="61" spans="1:35" x14ac:dyDescent="0.35">
      <c r="A61" s="141"/>
      <c r="B61" s="289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</row>
    <row r="62" spans="1:35" x14ac:dyDescent="0.35">
      <c r="A62" s="141"/>
      <c r="B62" s="289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</row>
    <row r="63" spans="1:35" x14ac:dyDescent="0.35">
      <c r="A63" s="141"/>
      <c r="B63" s="289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</row>
    <row r="64" spans="1:35" x14ac:dyDescent="0.35">
      <c r="A64" s="141"/>
      <c r="B64" s="289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</row>
    <row r="65" spans="1:35" x14ac:dyDescent="0.35">
      <c r="A65" s="141"/>
      <c r="B65" s="289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</row>
    <row r="66" spans="1:35" x14ac:dyDescent="0.35">
      <c r="A66" s="141"/>
      <c r="B66" s="289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</row>
    <row r="67" spans="1:35" x14ac:dyDescent="0.35">
      <c r="A67" s="141"/>
      <c r="B67" s="289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</row>
    <row r="68" spans="1:35" x14ac:dyDescent="0.35">
      <c r="A68" s="141"/>
      <c r="B68" s="289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</row>
    <row r="69" spans="1:35" x14ac:dyDescent="0.35">
      <c r="A69" s="141"/>
      <c r="B69" s="289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</row>
    <row r="70" spans="1:35" x14ac:dyDescent="0.35">
      <c r="A70" s="341"/>
      <c r="B70" s="342"/>
      <c r="C70" s="341"/>
      <c r="D70" s="341"/>
      <c r="E70" s="341"/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</row>
    <row r="71" spans="1:35" x14ac:dyDescent="0.35">
      <c r="A71" s="343"/>
      <c r="B71" s="344"/>
      <c r="C71" s="343"/>
      <c r="D71" s="343"/>
      <c r="E71" s="343"/>
      <c r="F71" s="343"/>
      <c r="G71" s="343"/>
      <c r="H71" s="343"/>
      <c r="I71" s="343"/>
      <c r="J71" s="343"/>
      <c r="K71" s="343"/>
      <c r="L71" s="343"/>
      <c r="M71" s="343"/>
      <c r="N71" s="343"/>
      <c r="O71" s="343"/>
      <c r="P71" s="343"/>
      <c r="Q71" s="343"/>
      <c r="R71" s="343"/>
      <c r="S71" s="343"/>
      <c r="T71" s="343"/>
      <c r="U71" s="343"/>
      <c r="V71" s="343"/>
      <c r="W71" s="343"/>
      <c r="X71" s="343"/>
      <c r="Y71" s="343"/>
      <c r="Z71" s="343"/>
      <c r="AA71" s="343"/>
      <c r="AB71" s="343"/>
      <c r="AC71" s="343"/>
      <c r="AD71" s="343"/>
      <c r="AE71" s="343"/>
      <c r="AF71" s="343"/>
      <c r="AG71" s="343"/>
      <c r="AH71" s="343"/>
      <c r="AI71" s="343"/>
    </row>
    <row r="72" spans="1:35" x14ac:dyDescent="0.35">
      <c r="A72" s="343"/>
      <c r="B72" s="344"/>
      <c r="C72" s="343"/>
      <c r="D72" s="343"/>
      <c r="E72" s="343"/>
      <c r="F72" s="343"/>
      <c r="G72" s="343"/>
      <c r="H72" s="343"/>
      <c r="I72" s="343"/>
      <c r="J72" s="343"/>
      <c r="K72" s="343"/>
      <c r="L72" s="343"/>
      <c r="M72" s="343"/>
      <c r="N72" s="343"/>
      <c r="O72" s="343"/>
      <c r="P72" s="343"/>
      <c r="Q72" s="343"/>
      <c r="R72" s="343"/>
      <c r="S72" s="343"/>
      <c r="T72" s="343"/>
      <c r="U72" s="343"/>
      <c r="V72" s="343"/>
      <c r="W72" s="343"/>
      <c r="X72" s="343"/>
      <c r="Y72" s="343"/>
      <c r="Z72" s="343"/>
      <c r="AA72" s="343"/>
      <c r="AB72" s="343"/>
      <c r="AC72" s="343"/>
      <c r="AD72" s="343"/>
      <c r="AE72" s="343"/>
      <c r="AF72" s="343"/>
      <c r="AG72" s="343"/>
      <c r="AH72" s="343"/>
      <c r="AI72" s="343"/>
    </row>
    <row r="73" spans="1:35" x14ac:dyDescent="0.35">
      <c r="A73" s="343"/>
      <c r="B73" s="344"/>
      <c r="C73" s="343"/>
      <c r="D73" s="343"/>
      <c r="E73" s="343"/>
      <c r="F73" s="343"/>
      <c r="G73" s="343"/>
      <c r="H73" s="343"/>
      <c r="I73" s="343"/>
      <c r="J73" s="343"/>
      <c r="K73" s="343"/>
      <c r="L73" s="343"/>
      <c r="M73" s="343"/>
      <c r="N73" s="343"/>
      <c r="O73" s="343"/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</row>
    <row r="74" spans="1:35" x14ac:dyDescent="0.35">
      <c r="A74" s="343"/>
      <c r="B74" s="344"/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343"/>
      <c r="O74" s="343"/>
      <c r="P74" s="343"/>
      <c r="Q74" s="343"/>
      <c r="R74" s="343"/>
      <c r="S74" s="343"/>
      <c r="T74" s="343"/>
      <c r="U74" s="343"/>
      <c r="V74" s="343"/>
      <c r="W74" s="343"/>
      <c r="X74" s="343"/>
      <c r="Y74" s="343"/>
      <c r="Z74" s="343"/>
      <c r="AA74" s="343"/>
      <c r="AB74" s="343"/>
      <c r="AC74" s="343"/>
      <c r="AD74" s="343"/>
      <c r="AE74" s="343"/>
      <c r="AF74" s="343"/>
      <c r="AG74" s="343"/>
      <c r="AH74" s="343"/>
      <c r="AI74" s="343"/>
    </row>
    <row r="75" spans="1:35" x14ac:dyDescent="0.35">
      <c r="A75" s="343"/>
      <c r="B75" s="344"/>
      <c r="C75" s="343"/>
      <c r="D75" s="343"/>
      <c r="E75" s="343"/>
      <c r="F75" s="343"/>
      <c r="G75" s="343"/>
      <c r="H75" s="343"/>
      <c r="I75" s="343"/>
      <c r="J75" s="343"/>
      <c r="K75" s="343"/>
      <c r="L75" s="343"/>
      <c r="M75" s="343"/>
      <c r="N75" s="343"/>
      <c r="O75" s="343"/>
      <c r="P75" s="343"/>
      <c r="Q75" s="343"/>
      <c r="R75" s="343"/>
      <c r="S75" s="343"/>
      <c r="T75" s="343"/>
      <c r="U75" s="343"/>
      <c r="V75" s="343"/>
      <c r="W75" s="343"/>
      <c r="X75" s="343"/>
      <c r="Y75" s="343"/>
      <c r="Z75" s="343"/>
      <c r="AA75" s="343"/>
      <c r="AB75" s="343"/>
      <c r="AC75" s="343"/>
      <c r="AD75" s="343"/>
      <c r="AE75" s="343"/>
      <c r="AF75" s="343"/>
      <c r="AG75" s="343"/>
      <c r="AH75" s="343"/>
      <c r="AI75" s="343"/>
    </row>
    <row r="76" spans="1:35" x14ac:dyDescent="0.35">
      <c r="A76" s="343"/>
      <c r="B76" s="344"/>
      <c r="C76" s="343"/>
      <c r="D76" s="343"/>
      <c r="E76" s="343"/>
      <c r="F76" s="343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43"/>
      <c r="R76" s="343"/>
      <c r="S76" s="343"/>
      <c r="T76" s="343"/>
      <c r="U76" s="343"/>
      <c r="V76" s="343"/>
      <c r="W76" s="343"/>
      <c r="X76" s="343"/>
      <c r="Y76" s="343"/>
      <c r="Z76" s="343"/>
      <c r="AA76" s="343"/>
      <c r="AB76" s="343"/>
      <c r="AC76" s="343"/>
      <c r="AD76" s="343"/>
      <c r="AE76" s="343"/>
      <c r="AF76" s="343"/>
      <c r="AG76" s="343"/>
      <c r="AH76" s="343"/>
      <c r="AI76" s="343"/>
    </row>
    <row r="77" spans="1:35" x14ac:dyDescent="0.35">
      <c r="A77" s="343"/>
      <c r="B77" s="344"/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3"/>
      <c r="W77" s="343"/>
      <c r="X77" s="343"/>
      <c r="Y77" s="343"/>
      <c r="Z77" s="343"/>
      <c r="AA77" s="343"/>
      <c r="AB77" s="343"/>
      <c r="AC77" s="343"/>
      <c r="AD77" s="343"/>
      <c r="AE77" s="343"/>
      <c r="AF77" s="343"/>
      <c r="AG77" s="343"/>
      <c r="AH77" s="343"/>
      <c r="AI77" s="343"/>
    </row>
    <row r="78" spans="1:35" x14ac:dyDescent="0.35">
      <c r="A78" s="343"/>
      <c r="B78" s="344"/>
      <c r="C78" s="343"/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3"/>
      <c r="R78" s="343"/>
      <c r="S78" s="343"/>
      <c r="T78" s="343"/>
      <c r="U78" s="343"/>
      <c r="V78" s="343"/>
      <c r="W78" s="343"/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</row>
    <row r="79" spans="1:35" x14ac:dyDescent="0.35">
      <c r="A79" s="343"/>
      <c r="B79" s="344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343"/>
      <c r="AG79" s="343"/>
      <c r="AH79" s="343"/>
      <c r="AI79" s="343"/>
    </row>
    <row r="80" spans="1:35" x14ac:dyDescent="0.35">
      <c r="A80" s="343"/>
      <c r="B80" s="344"/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343"/>
      <c r="AG80" s="343"/>
      <c r="AH80" s="343"/>
      <c r="AI80" s="343"/>
    </row>
    <row r="81" spans="1:35" x14ac:dyDescent="0.35">
      <c r="A81" s="343"/>
      <c r="B81" s="344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343"/>
      <c r="AG81" s="343"/>
      <c r="AH81" s="343"/>
      <c r="AI81" s="343"/>
    </row>
    <row r="82" spans="1:35" x14ac:dyDescent="0.35">
      <c r="A82" s="343"/>
      <c r="B82" s="344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</row>
    <row r="83" spans="1:35" x14ac:dyDescent="0.35">
      <c r="A83" s="343"/>
      <c r="B83" s="344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</row>
    <row r="84" spans="1:35" x14ac:dyDescent="0.35">
      <c r="A84" s="343"/>
      <c r="B84" s="344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</row>
    <row r="85" spans="1:35" x14ac:dyDescent="0.35">
      <c r="A85" s="343"/>
      <c r="B85" s="344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</row>
    <row r="86" spans="1:35" x14ac:dyDescent="0.35">
      <c r="A86" s="343"/>
      <c r="B86" s="344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</row>
    <row r="87" spans="1:35" x14ac:dyDescent="0.35">
      <c r="A87" s="343"/>
      <c r="B87" s="344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</row>
    <row r="88" spans="1:35" x14ac:dyDescent="0.35">
      <c r="A88" s="343"/>
      <c r="B88" s="344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</row>
    <row r="89" spans="1:35" x14ac:dyDescent="0.35">
      <c r="A89" s="343"/>
      <c r="B89" s="344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</row>
    <row r="90" spans="1:35" x14ac:dyDescent="0.35">
      <c r="A90" s="343"/>
      <c r="B90" s="344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</row>
    <row r="91" spans="1:35" x14ac:dyDescent="0.35">
      <c r="A91" s="343"/>
      <c r="B91" s="344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</row>
    <row r="92" spans="1:35" x14ac:dyDescent="0.35">
      <c r="A92" s="343"/>
      <c r="B92" s="344"/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  <c r="AC92" s="343"/>
      <c r="AD92" s="343"/>
      <c r="AE92" s="343"/>
      <c r="AF92" s="343"/>
      <c r="AG92" s="343"/>
      <c r="AH92" s="343"/>
      <c r="AI92" s="343"/>
    </row>
    <row r="93" spans="1:35" x14ac:dyDescent="0.35">
      <c r="A93" s="343"/>
      <c r="B93" s="344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343"/>
      <c r="AG93" s="343"/>
      <c r="AH93" s="343"/>
      <c r="AI93" s="343"/>
    </row>
    <row r="94" spans="1:35" x14ac:dyDescent="0.35">
      <c r="A94" s="343"/>
      <c r="B94" s="344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343"/>
      <c r="AG94" s="343"/>
      <c r="AH94" s="343"/>
      <c r="AI94" s="343"/>
    </row>
    <row r="95" spans="1:35" x14ac:dyDescent="0.35">
      <c r="A95" s="343"/>
      <c r="B95" s="344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343"/>
      <c r="AG95" s="343"/>
      <c r="AH95" s="343"/>
      <c r="AI95" s="343"/>
    </row>
    <row r="96" spans="1:35" x14ac:dyDescent="0.35">
      <c r="A96" s="343"/>
      <c r="B96" s="344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343"/>
      <c r="AG96" s="343"/>
      <c r="AH96" s="343"/>
      <c r="AI96" s="343"/>
    </row>
    <row r="97" spans="1:35" x14ac:dyDescent="0.35">
      <c r="A97" s="343"/>
      <c r="B97" s="344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343"/>
      <c r="AG97" s="343"/>
      <c r="AH97" s="343"/>
      <c r="AI97" s="343"/>
    </row>
    <row r="98" spans="1:35" x14ac:dyDescent="0.35">
      <c r="A98" s="343"/>
      <c r="B98" s="344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343"/>
      <c r="AG98" s="343"/>
      <c r="AH98" s="343"/>
      <c r="AI98" s="343"/>
    </row>
    <row r="99" spans="1:35" x14ac:dyDescent="0.35">
      <c r="A99" s="343"/>
      <c r="B99" s="344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343"/>
      <c r="AG99" s="343"/>
      <c r="AH99" s="343"/>
      <c r="AI99" s="343"/>
    </row>
    <row r="100" spans="1:35" x14ac:dyDescent="0.35">
      <c r="A100" s="343"/>
      <c r="B100" s="344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343"/>
      <c r="AG100" s="343"/>
      <c r="AH100" s="343"/>
      <c r="AI100" s="343"/>
    </row>
    <row r="101" spans="1:35" x14ac:dyDescent="0.35">
      <c r="A101" s="343"/>
      <c r="B101" s="344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343"/>
      <c r="AG101" s="343"/>
      <c r="AH101" s="343"/>
      <c r="AI101" s="343"/>
    </row>
    <row r="102" spans="1:35" x14ac:dyDescent="0.35">
      <c r="A102" s="343"/>
      <c r="B102" s="344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343"/>
      <c r="AG102" s="343"/>
      <c r="AH102" s="343"/>
      <c r="AI102" s="343"/>
    </row>
    <row r="103" spans="1:35" x14ac:dyDescent="0.35">
      <c r="A103" s="343"/>
      <c r="B103" s="344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</row>
    <row r="104" spans="1:35" x14ac:dyDescent="0.35">
      <c r="A104" s="343"/>
      <c r="B104" s="344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343"/>
      <c r="AG104" s="343"/>
      <c r="AH104" s="343"/>
      <c r="AI104" s="343"/>
    </row>
    <row r="105" spans="1:35" x14ac:dyDescent="0.35">
      <c r="A105" s="343"/>
      <c r="B105" s="344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343"/>
      <c r="AG105" s="343"/>
      <c r="AH105" s="343"/>
      <c r="AI105" s="343"/>
    </row>
    <row r="106" spans="1:35" x14ac:dyDescent="0.35">
      <c r="A106" s="343"/>
      <c r="B106" s="344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343"/>
      <c r="AG106" s="343"/>
      <c r="AH106" s="343"/>
      <c r="AI106" s="343"/>
    </row>
    <row r="107" spans="1:35" x14ac:dyDescent="0.35">
      <c r="A107" s="343"/>
      <c r="B107" s="344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343"/>
      <c r="AG107" s="343"/>
      <c r="AH107" s="343"/>
      <c r="AI107" s="343"/>
    </row>
    <row r="108" spans="1:35" x14ac:dyDescent="0.35">
      <c r="A108" s="343"/>
      <c r="B108" s="344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343"/>
      <c r="AG108" s="343"/>
      <c r="AH108" s="343"/>
      <c r="AI108" s="343"/>
    </row>
    <row r="109" spans="1:35" x14ac:dyDescent="0.35">
      <c r="A109" s="343"/>
      <c r="B109" s="344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</row>
    <row r="110" spans="1:35" x14ac:dyDescent="0.35">
      <c r="A110" s="343"/>
      <c r="B110" s="344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  <c r="AB110" s="343"/>
      <c r="AC110" s="343"/>
      <c r="AD110" s="343"/>
      <c r="AE110" s="343"/>
      <c r="AF110" s="343"/>
      <c r="AG110" s="343"/>
      <c r="AH110" s="343"/>
      <c r="AI110" s="343"/>
    </row>
    <row r="111" spans="1:35" x14ac:dyDescent="0.35">
      <c r="A111" s="343"/>
      <c r="B111" s="344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343"/>
      <c r="AE111" s="343"/>
      <c r="AF111" s="343"/>
      <c r="AG111" s="343"/>
      <c r="AH111" s="343"/>
      <c r="AI111" s="343"/>
    </row>
    <row r="112" spans="1:35" x14ac:dyDescent="0.35">
      <c r="A112" s="343"/>
      <c r="B112" s="344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  <c r="AB112" s="343"/>
      <c r="AC112" s="343"/>
      <c r="AD112" s="343"/>
      <c r="AE112" s="343"/>
      <c r="AF112" s="343"/>
      <c r="AG112" s="343"/>
      <c r="AH112" s="343"/>
      <c r="AI112" s="343"/>
    </row>
    <row r="113" spans="1:35" x14ac:dyDescent="0.35">
      <c r="A113" s="343"/>
      <c r="B113" s="344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  <c r="AB113" s="343"/>
      <c r="AC113" s="343"/>
      <c r="AD113" s="343"/>
      <c r="AE113" s="343"/>
      <c r="AF113" s="343"/>
      <c r="AG113" s="343"/>
      <c r="AH113" s="343"/>
      <c r="AI113" s="343"/>
    </row>
    <row r="114" spans="1:35" x14ac:dyDescent="0.35">
      <c r="A114" s="343"/>
      <c r="B114" s="344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</row>
    <row r="115" spans="1:35" x14ac:dyDescent="0.35">
      <c r="A115" s="343"/>
      <c r="B115" s="344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343"/>
      <c r="AG115" s="343"/>
      <c r="AH115" s="343"/>
      <c r="AI115" s="343"/>
    </row>
    <row r="116" spans="1:35" x14ac:dyDescent="0.35">
      <c r="A116" s="343"/>
      <c r="B116" s="344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</row>
    <row r="117" spans="1:35" x14ac:dyDescent="0.35">
      <c r="A117" s="343"/>
      <c r="B117" s="344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343"/>
      <c r="AG117" s="343"/>
      <c r="AH117" s="343"/>
      <c r="AI117" s="343"/>
    </row>
    <row r="118" spans="1:35" x14ac:dyDescent="0.35">
      <c r="A118" s="343"/>
      <c r="B118" s="344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343"/>
      <c r="AG118" s="343"/>
      <c r="AH118" s="343"/>
      <c r="AI118" s="343"/>
    </row>
    <row r="119" spans="1:35" x14ac:dyDescent="0.35">
      <c r="A119" s="343"/>
      <c r="B119" s="344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343"/>
      <c r="AG119" s="343"/>
      <c r="AH119" s="343"/>
      <c r="AI119" s="343"/>
    </row>
    <row r="120" spans="1:35" x14ac:dyDescent="0.35">
      <c r="A120" s="343"/>
      <c r="B120" s="344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343"/>
      <c r="AG120" s="343"/>
      <c r="AH120" s="343"/>
      <c r="AI120" s="343"/>
    </row>
    <row r="121" spans="1:35" x14ac:dyDescent="0.35">
      <c r="A121" s="343"/>
      <c r="B121" s="344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343"/>
      <c r="AG121" s="343"/>
      <c r="AH121" s="343"/>
      <c r="AI121" s="343"/>
    </row>
    <row r="122" spans="1:35" x14ac:dyDescent="0.35">
      <c r="A122" s="343"/>
      <c r="B122" s="344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343"/>
      <c r="AG122" s="343"/>
      <c r="AH122" s="343"/>
      <c r="AI122" s="343"/>
    </row>
    <row r="123" spans="1:35" x14ac:dyDescent="0.35">
      <c r="A123" s="343"/>
      <c r="B123" s="344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343"/>
      <c r="AG123" s="343"/>
      <c r="AH123" s="343"/>
      <c r="AI123" s="343"/>
    </row>
    <row r="124" spans="1:35" x14ac:dyDescent="0.35">
      <c r="A124" s="343"/>
      <c r="B124" s="344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343"/>
      <c r="AG124" s="343"/>
      <c r="AH124" s="343"/>
      <c r="AI124" s="343"/>
    </row>
    <row r="125" spans="1:35" x14ac:dyDescent="0.35">
      <c r="A125" s="343"/>
      <c r="B125" s="344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343"/>
      <c r="AG125" s="343"/>
      <c r="AH125" s="343"/>
      <c r="AI125" s="343"/>
    </row>
    <row r="126" spans="1:35" x14ac:dyDescent="0.35">
      <c r="A126" s="343"/>
      <c r="B126" s="344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343"/>
      <c r="AG126" s="343"/>
      <c r="AH126" s="343"/>
      <c r="AI126" s="343"/>
    </row>
    <row r="127" spans="1:35" x14ac:dyDescent="0.35">
      <c r="A127" s="343"/>
      <c r="B127" s="344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343"/>
      <c r="AG127" s="343"/>
      <c r="AH127" s="343"/>
      <c r="AI127" s="343"/>
    </row>
    <row r="128" spans="1:35" x14ac:dyDescent="0.35">
      <c r="A128" s="343"/>
      <c r="B128" s="344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343"/>
      <c r="AG128" s="343"/>
      <c r="AH128" s="343"/>
      <c r="AI128" s="343"/>
    </row>
    <row r="129" spans="1:35" x14ac:dyDescent="0.35">
      <c r="A129" s="343"/>
      <c r="B129" s="344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</row>
    <row r="130" spans="1:35" x14ac:dyDescent="0.35">
      <c r="A130" s="343"/>
      <c r="B130" s="344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343"/>
      <c r="AG130" s="343"/>
      <c r="AH130" s="343"/>
      <c r="AI130" s="343"/>
    </row>
    <row r="131" spans="1:35" x14ac:dyDescent="0.35">
      <c r="A131" s="343"/>
      <c r="B131" s="344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343"/>
      <c r="AG131" s="343"/>
      <c r="AH131" s="343"/>
      <c r="AI131" s="343"/>
    </row>
    <row r="132" spans="1:35" x14ac:dyDescent="0.35">
      <c r="A132" s="343"/>
      <c r="B132" s="344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343"/>
      <c r="AG132" s="343"/>
      <c r="AH132" s="343"/>
      <c r="AI132" s="343"/>
    </row>
    <row r="133" spans="1:35" x14ac:dyDescent="0.35">
      <c r="A133" s="343"/>
      <c r="B133" s="344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343"/>
      <c r="AG133" s="343"/>
      <c r="AH133" s="343"/>
      <c r="AI133" s="343"/>
    </row>
    <row r="134" spans="1:35" x14ac:dyDescent="0.35">
      <c r="A134" s="343"/>
      <c r="B134" s="344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343"/>
      <c r="AG134" s="343"/>
      <c r="AH134" s="343"/>
      <c r="AI134" s="343"/>
    </row>
    <row r="135" spans="1:35" x14ac:dyDescent="0.35">
      <c r="A135" s="343"/>
      <c r="B135" s="344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343"/>
      <c r="AG135" s="343"/>
      <c r="AH135" s="343"/>
      <c r="AI135" s="343"/>
    </row>
    <row r="136" spans="1:35" x14ac:dyDescent="0.35">
      <c r="A136" s="343"/>
      <c r="B136" s="344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343"/>
      <c r="AG136" s="343"/>
      <c r="AH136" s="343"/>
      <c r="AI136" s="343"/>
    </row>
    <row r="137" spans="1:35" x14ac:dyDescent="0.35">
      <c r="A137" s="343"/>
      <c r="B137" s="344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</row>
    <row r="138" spans="1:35" x14ac:dyDescent="0.35">
      <c r="A138" s="343"/>
      <c r="B138" s="344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343"/>
      <c r="AG138" s="343"/>
      <c r="AH138" s="343"/>
      <c r="AI138" s="343"/>
    </row>
    <row r="139" spans="1:35" x14ac:dyDescent="0.35">
      <c r="A139" s="343"/>
      <c r="B139" s="344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343"/>
      <c r="AG139" s="343"/>
      <c r="AH139" s="343"/>
      <c r="AI139" s="343"/>
    </row>
    <row r="140" spans="1:35" x14ac:dyDescent="0.35">
      <c r="A140" s="343"/>
      <c r="B140" s="344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343"/>
      <c r="AG140" s="343"/>
      <c r="AH140" s="343"/>
      <c r="AI140" s="343"/>
    </row>
    <row r="141" spans="1:35" x14ac:dyDescent="0.35">
      <c r="A141" s="343"/>
      <c r="B141" s="344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343"/>
      <c r="AG141" s="343"/>
      <c r="AH141" s="343"/>
      <c r="AI141" s="343"/>
    </row>
    <row r="142" spans="1:35" x14ac:dyDescent="0.35">
      <c r="A142" s="343"/>
      <c r="B142" s="344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343"/>
      <c r="AG142" s="343"/>
      <c r="AH142" s="343"/>
      <c r="AI142" s="343"/>
    </row>
    <row r="143" spans="1:35" x14ac:dyDescent="0.35">
      <c r="A143" s="343"/>
      <c r="B143" s="344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343"/>
      <c r="AG143" s="343"/>
      <c r="AH143" s="343"/>
      <c r="AI143" s="343"/>
    </row>
    <row r="144" spans="1:35" x14ac:dyDescent="0.35">
      <c r="A144" s="343"/>
      <c r="B144" s="344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343"/>
      <c r="AG144" s="343"/>
      <c r="AH144" s="343"/>
      <c r="AI144" s="343"/>
    </row>
    <row r="145" spans="1:35" x14ac:dyDescent="0.35">
      <c r="A145" s="343"/>
      <c r="B145" s="344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343"/>
      <c r="AG145" s="343"/>
      <c r="AH145" s="343"/>
      <c r="AI145" s="343"/>
    </row>
    <row r="146" spans="1:35" x14ac:dyDescent="0.35">
      <c r="A146" s="343"/>
      <c r="B146" s="344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343"/>
      <c r="AG146" s="343"/>
      <c r="AH146" s="343"/>
      <c r="AI146" s="343"/>
    </row>
    <row r="147" spans="1:35" x14ac:dyDescent="0.35">
      <c r="A147" s="343"/>
      <c r="B147" s="344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343"/>
      <c r="AG147" s="343"/>
      <c r="AH147" s="343"/>
      <c r="AI147" s="343"/>
    </row>
    <row r="148" spans="1:35" x14ac:dyDescent="0.35">
      <c r="A148" s="343"/>
      <c r="B148" s="344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343"/>
      <c r="AG148" s="343"/>
      <c r="AH148" s="343"/>
      <c r="AI148" s="343"/>
    </row>
    <row r="149" spans="1:35" x14ac:dyDescent="0.35">
      <c r="A149" s="343"/>
      <c r="B149" s="344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3"/>
      <c r="AF149" s="343"/>
      <c r="AG149" s="343"/>
      <c r="AH149" s="343"/>
      <c r="AI149" s="343"/>
    </row>
    <row r="150" spans="1:35" x14ac:dyDescent="0.35">
      <c r="A150" s="343"/>
      <c r="B150" s="344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3"/>
      <c r="AF150" s="343"/>
      <c r="AG150" s="343"/>
      <c r="AH150" s="343"/>
      <c r="AI150" s="343"/>
    </row>
    <row r="151" spans="1:35" x14ac:dyDescent="0.35">
      <c r="A151" s="343"/>
      <c r="B151" s="344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3"/>
      <c r="AF151" s="343"/>
      <c r="AG151" s="343"/>
      <c r="AH151" s="343"/>
      <c r="AI151" s="343"/>
    </row>
    <row r="152" spans="1:35" x14ac:dyDescent="0.35">
      <c r="A152" s="343"/>
      <c r="B152" s="344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3"/>
      <c r="AF152" s="343"/>
      <c r="AG152" s="343"/>
      <c r="AH152" s="343"/>
      <c r="AI152" s="343"/>
    </row>
    <row r="153" spans="1:35" x14ac:dyDescent="0.35">
      <c r="A153" s="343"/>
      <c r="B153" s="344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343"/>
      <c r="AG153" s="343"/>
      <c r="AH153" s="343"/>
      <c r="AI153" s="343"/>
    </row>
    <row r="154" spans="1:35" x14ac:dyDescent="0.35">
      <c r="A154" s="343"/>
      <c r="B154" s="344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3"/>
      <c r="AF154" s="343"/>
      <c r="AG154" s="343"/>
      <c r="AH154" s="343"/>
      <c r="AI154" s="343"/>
    </row>
    <row r="155" spans="1:35" x14ac:dyDescent="0.35">
      <c r="A155" s="343"/>
      <c r="B155" s="344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3"/>
      <c r="W155" s="343"/>
      <c r="X155" s="343"/>
      <c r="Y155" s="343"/>
      <c r="Z155" s="343"/>
      <c r="AA155" s="343"/>
      <c r="AB155" s="343"/>
      <c r="AC155" s="343"/>
      <c r="AD155" s="343"/>
      <c r="AE155" s="343"/>
      <c r="AF155" s="343"/>
      <c r="AG155" s="343"/>
      <c r="AH155" s="343"/>
      <c r="AI155" s="343"/>
    </row>
    <row r="156" spans="1:35" x14ac:dyDescent="0.35">
      <c r="A156" s="343"/>
      <c r="B156" s="344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3"/>
      <c r="AB156" s="343"/>
      <c r="AC156" s="343"/>
      <c r="AD156" s="343"/>
      <c r="AE156" s="343"/>
      <c r="AF156" s="343"/>
      <c r="AG156" s="343"/>
      <c r="AH156" s="343"/>
      <c r="AI156" s="343"/>
    </row>
    <row r="157" spans="1:35" x14ac:dyDescent="0.35">
      <c r="A157" s="343"/>
      <c r="B157" s="344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3"/>
      <c r="W157" s="343"/>
      <c r="X157" s="343"/>
      <c r="Y157" s="343"/>
      <c r="Z157" s="343"/>
      <c r="AA157" s="343"/>
      <c r="AB157" s="343"/>
      <c r="AC157" s="343"/>
      <c r="AD157" s="343"/>
      <c r="AE157" s="343"/>
      <c r="AF157" s="343"/>
      <c r="AG157" s="343"/>
      <c r="AH157" s="343"/>
      <c r="AI157" s="343"/>
    </row>
    <row r="158" spans="1:35" x14ac:dyDescent="0.35">
      <c r="A158" s="343"/>
      <c r="B158" s="344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343"/>
      <c r="AB158" s="343"/>
      <c r="AC158" s="343"/>
      <c r="AD158" s="343"/>
      <c r="AE158" s="343"/>
      <c r="AF158" s="343"/>
      <c r="AG158" s="343"/>
      <c r="AH158" s="343"/>
      <c r="AI158" s="343"/>
    </row>
    <row r="159" spans="1:35" x14ac:dyDescent="0.35">
      <c r="A159" s="343"/>
      <c r="B159" s="344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343"/>
      <c r="AB159" s="343"/>
      <c r="AC159" s="343"/>
      <c r="AD159" s="343"/>
      <c r="AE159" s="343"/>
      <c r="AF159" s="343"/>
      <c r="AG159" s="343"/>
      <c r="AH159" s="343"/>
      <c r="AI159" s="343"/>
    </row>
    <row r="160" spans="1:35" x14ac:dyDescent="0.35">
      <c r="A160" s="343"/>
      <c r="B160" s="344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343"/>
      <c r="AG160" s="343"/>
      <c r="AH160" s="343"/>
      <c r="AI160" s="343"/>
    </row>
    <row r="161" spans="1:35" x14ac:dyDescent="0.35">
      <c r="A161" s="343"/>
      <c r="B161" s="344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343"/>
      <c r="AG161" s="343"/>
      <c r="AH161" s="343"/>
      <c r="AI161" s="343"/>
    </row>
    <row r="162" spans="1:35" x14ac:dyDescent="0.35">
      <c r="A162" s="343"/>
      <c r="B162" s="344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3"/>
      <c r="W162" s="343"/>
      <c r="X162" s="343"/>
      <c r="Y162" s="343"/>
      <c r="Z162" s="343"/>
      <c r="AA162" s="343"/>
      <c r="AB162" s="343"/>
      <c r="AC162" s="343"/>
      <c r="AD162" s="343"/>
      <c r="AE162" s="343"/>
      <c r="AF162" s="343"/>
      <c r="AG162" s="343"/>
      <c r="AH162" s="343"/>
      <c r="AI162" s="343"/>
    </row>
    <row r="163" spans="1:35" x14ac:dyDescent="0.35">
      <c r="A163" s="343"/>
      <c r="B163" s="344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343"/>
      <c r="AG163" s="343"/>
      <c r="AH163" s="343"/>
      <c r="AI163" s="343"/>
    </row>
    <row r="164" spans="1:35" x14ac:dyDescent="0.35">
      <c r="A164" s="343"/>
      <c r="B164" s="344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343"/>
      <c r="AG164" s="343"/>
      <c r="AH164" s="343"/>
      <c r="AI164" s="343"/>
    </row>
    <row r="165" spans="1:35" x14ac:dyDescent="0.35">
      <c r="A165" s="343"/>
      <c r="B165" s="344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3"/>
      <c r="W165" s="343"/>
      <c r="X165" s="343"/>
      <c r="Y165" s="343"/>
      <c r="Z165" s="343"/>
      <c r="AA165" s="343"/>
      <c r="AB165" s="343"/>
      <c r="AC165" s="343"/>
      <c r="AD165" s="343"/>
      <c r="AE165" s="343"/>
      <c r="AF165" s="343"/>
      <c r="AG165" s="343"/>
      <c r="AH165" s="343"/>
      <c r="AI165" s="343"/>
    </row>
    <row r="166" spans="1:35" x14ac:dyDescent="0.35">
      <c r="A166" s="343"/>
      <c r="B166" s="344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3"/>
      <c r="W166" s="343"/>
      <c r="X166" s="343"/>
      <c r="Y166" s="343"/>
      <c r="Z166" s="343"/>
      <c r="AA166" s="343"/>
      <c r="AB166" s="343"/>
      <c r="AC166" s="343"/>
      <c r="AD166" s="343"/>
      <c r="AE166" s="343"/>
      <c r="AF166" s="343"/>
      <c r="AG166" s="343"/>
      <c r="AH166" s="343"/>
      <c r="AI166" s="343"/>
    </row>
    <row r="167" spans="1:35" x14ac:dyDescent="0.35">
      <c r="A167" s="343"/>
      <c r="B167" s="344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3"/>
      <c r="W167" s="343"/>
      <c r="X167" s="343"/>
      <c r="Y167" s="343"/>
      <c r="Z167" s="343"/>
      <c r="AA167" s="343"/>
      <c r="AB167" s="343"/>
      <c r="AC167" s="343"/>
      <c r="AD167" s="343"/>
      <c r="AE167" s="343"/>
      <c r="AF167" s="343"/>
      <c r="AG167" s="343"/>
      <c r="AH167" s="343"/>
      <c r="AI167" s="343"/>
    </row>
    <row r="168" spans="1:35" x14ac:dyDescent="0.35">
      <c r="A168" s="343"/>
      <c r="B168" s="344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343"/>
      <c r="AG168" s="343"/>
      <c r="AH168" s="343"/>
      <c r="AI168" s="343"/>
    </row>
    <row r="169" spans="1:35" x14ac:dyDescent="0.35">
      <c r="A169" s="343"/>
      <c r="B169" s="344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343"/>
      <c r="AG169" s="343"/>
      <c r="AH169" s="343"/>
      <c r="AI169" s="343"/>
    </row>
    <row r="170" spans="1:35" x14ac:dyDescent="0.35">
      <c r="A170" s="343"/>
      <c r="B170" s="344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343"/>
      <c r="AG170" s="343"/>
      <c r="AH170" s="343"/>
      <c r="AI170" s="343"/>
    </row>
    <row r="171" spans="1:35" x14ac:dyDescent="0.35">
      <c r="A171" s="343"/>
      <c r="B171" s="344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3"/>
      <c r="W171" s="343"/>
      <c r="X171" s="343"/>
      <c r="Y171" s="343"/>
      <c r="Z171" s="343"/>
      <c r="AA171" s="343"/>
      <c r="AB171" s="343"/>
      <c r="AC171" s="343"/>
      <c r="AD171" s="343"/>
      <c r="AE171" s="343"/>
      <c r="AF171" s="343"/>
      <c r="AG171" s="343"/>
      <c r="AH171" s="343"/>
      <c r="AI171" s="343"/>
    </row>
    <row r="172" spans="1:35" x14ac:dyDescent="0.35">
      <c r="A172" s="343"/>
      <c r="B172" s="344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3"/>
      <c r="W172" s="343"/>
      <c r="X172" s="343"/>
      <c r="Y172" s="343"/>
      <c r="Z172" s="343"/>
      <c r="AA172" s="343"/>
      <c r="AB172" s="343"/>
      <c r="AC172" s="343"/>
      <c r="AD172" s="343"/>
      <c r="AE172" s="343"/>
      <c r="AF172" s="343"/>
      <c r="AG172" s="343"/>
      <c r="AH172" s="343"/>
      <c r="AI172" s="343"/>
    </row>
    <row r="173" spans="1:35" x14ac:dyDescent="0.35">
      <c r="A173" s="343"/>
      <c r="B173" s="344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3"/>
      <c r="W173" s="343"/>
      <c r="X173" s="343"/>
      <c r="Y173" s="343"/>
      <c r="Z173" s="343"/>
      <c r="AA173" s="343"/>
      <c r="AB173" s="343"/>
      <c r="AC173" s="343"/>
      <c r="AD173" s="343"/>
      <c r="AE173" s="343"/>
      <c r="AF173" s="343"/>
      <c r="AG173" s="343"/>
      <c r="AH173" s="343"/>
      <c r="AI173" s="343"/>
    </row>
    <row r="174" spans="1:35" x14ac:dyDescent="0.35">
      <c r="A174" s="343"/>
      <c r="B174" s="344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3"/>
      <c r="W174" s="343"/>
      <c r="X174" s="343"/>
      <c r="Y174" s="343"/>
      <c r="Z174" s="343"/>
      <c r="AA174" s="343"/>
      <c r="AB174" s="343"/>
      <c r="AC174" s="343"/>
      <c r="AD174" s="343"/>
      <c r="AE174" s="343"/>
      <c r="AF174" s="343"/>
      <c r="AG174" s="343"/>
      <c r="AH174" s="343"/>
      <c r="AI174" s="343"/>
    </row>
    <row r="175" spans="1:35" x14ac:dyDescent="0.35">
      <c r="A175" s="343"/>
      <c r="B175" s="344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343"/>
      <c r="AG175" s="343"/>
      <c r="AH175" s="343"/>
      <c r="AI175" s="343"/>
    </row>
    <row r="176" spans="1:35" x14ac:dyDescent="0.35">
      <c r="A176" s="343"/>
      <c r="B176" s="344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343"/>
      <c r="AG176" s="343"/>
      <c r="AH176" s="343"/>
      <c r="AI176" s="343"/>
    </row>
    <row r="177" spans="1:35" x14ac:dyDescent="0.35">
      <c r="A177" s="343"/>
      <c r="B177" s="344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343"/>
      <c r="AG177" s="343"/>
      <c r="AH177" s="343"/>
      <c r="AI177" s="343"/>
    </row>
    <row r="178" spans="1:35" x14ac:dyDescent="0.35">
      <c r="A178" s="343"/>
      <c r="B178" s="344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343"/>
      <c r="AG178" s="343"/>
      <c r="AH178" s="343"/>
      <c r="AI178" s="343"/>
    </row>
    <row r="179" spans="1:35" x14ac:dyDescent="0.35">
      <c r="A179" s="343"/>
      <c r="B179" s="344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3"/>
      <c r="W179" s="343"/>
      <c r="X179" s="343"/>
      <c r="Y179" s="343"/>
      <c r="Z179" s="343"/>
      <c r="AA179" s="343"/>
      <c r="AB179" s="343"/>
      <c r="AC179" s="343"/>
      <c r="AD179" s="343"/>
      <c r="AE179" s="343"/>
      <c r="AF179" s="343"/>
      <c r="AG179" s="343"/>
      <c r="AH179" s="343"/>
      <c r="AI179" s="343"/>
    </row>
    <row r="180" spans="1:35" x14ac:dyDescent="0.35">
      <c r="A180" s="343"/>
      <c r="B180" s="344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343"/>
      <c r="AE180" s="343"/>
      <c r="AF180" s="343"/>
      <c r="AG180" s="343"/>
      <c r="AH180" s="343"/>
      <c r="AI180" s="343"/>
    </row>
    <row r="181" spans="1:35" x14ac:dyDescent="0.35">
      <c r="A181" s="343"/>
      <c r="B181" s="344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3"/>
      <c r="AF181" s="343"/>
      <c r="AG181" s="343"/>
      <c r="AH181" s="343"/>
      <c r="AI181" s="343"/>
    </row>
    <row r="182" spans="1:35" x14ac:dyDescent="0.35">
      <c r="A182" s="343"/>
      <c r="B182" s="344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343"/>
      <c r="AG182" s="343"/>
      <c r="AH182" s="343"/>
      <c r="AI182" s="343"/>
    </row>
    <row r="183" spans="1:35" x14ac:dyDescent="0.35">
      <c r="A183" s="343"/>
      <c r="B183" s="344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3"/>
      <c r="AF183" s="343"/>
      <c r="AG183" s="343"/>
      <c r="AH183" s="343"/>
      <c r="AI183" s="343"/>
    </row>
    <row r="184" spans="1:35" x14ac:dyDescent="0.35">
      <c r="A184" s="343"/>
      <c r="B184" s="344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343"/>
      <c r="AB184" s="343"/>
      <c r="AC184" s="343"/>
      <c r="AD184" s="343"/>
      <c r="AE184" s="343"/>
      <c r="AF184" s="343"/>
      <c r="AG184" s="343"/>
      <c r="AH184" s="343"/>
      <c r="AI184" s="343"/>
    </row>
    <row r="185" spans="1:35" x14ac:dyDescent="0.35">
      <c r="A185" s="343"/>
      <c r="B185" s="344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3"/>
      <c r="W185" s="343"/>
      <c r="X185" s="343"/>
      <c r="Y185" s="343"/>
      <c r="Z185" s="343"/>
      <c r="AA185" s="343"/>
      <c r="AB185" s="343"/>
      <c r="AC185" s="343"/>
      <c r="AD185" s="343"/>
      <c r="AE185" s="343"/>
      <c r="AF185" s="343"/>
      <c r="AG185" s="343"/>
      <c r="AH185" s="343"/>
      <c r="AI185" s="343"/>
    </row>
    <row r="186" spans="1:35" x14ac:dyDescent="0.35">
      <c r="A186" s="343"/>
      <c r="B186" s="344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3"/>
      <c r="W186" s="343"/>
      <c r="X186" s="343"/>
      <c r="Y186" s="343"/>
      <c r="Z186" s="343"/>
      <c r="AA186" s="343"/>
      <c r="AB186" s="343"/>
      <c r="AC186" s="343"/>
      <c r="AD186" s="343"/>
      <c r="AE186" s="343"/>
      <c r="AF186" s="343"/>
      <c r="AG186" s="343"/>
      <c r="AH186" s="343"/>
      <c r="AI186" s="343"/>
    </row>
    <row r="187" spans="1:35" x14ac:dyDescent="0.35">
      <c r="A187" s="343"/>
      <c r="B187" s="344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343"/>
      <c r="AG187" s="343"/>
      <c r="AH187" s="343"/>
      <c r="AI187" s="343"/>
    </row>
    <row r="188" spans="1:35" x14ac:dyDescent="0.35">
      <c r="A188" s="343"/>
      <c r="B188" s="344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343"/>
      <c r="AB188" s="343"/>
      <c r="AC188" s="343"/>
      <c r="AD188" s="343"/>
      <c r="AE188" s="343"/>
      <c r="AF188" s="343"/>
      <c r="AG188" s="343"/>
      <c r="AH188" s="343"/>
      <c r="AI188" s="343"/>
    </row>
    <row r="189" spans="1:35" x14ac:dyDescent="0.35">
      <c r="A189" s="343"/>
      <c r="B189" s="344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343"/>
      <c r="AG189" s="343"/>
      <c r="AH189" s="343"/>
      <c r="AI189" s="343"/>
    </row>
    <row r="190" spans="1:35" x14ac:dyDescent="0.35">
      <c r="A190" s="343"/>
      <c r="B190" s="344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343"/>
      <c r="AG190" s="343"/>
      <c r="AH190" s="343"/>
      <c r="AI190" s="343"/>
    </row>
    <row r="191" spans="1:35" x14ac:dyDescent="0.35">
      <c r="A191" s="343"/>
      <c r="B191" s="344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343"/>
      <c r="AG191" s="343"/>
      <c r="AH191" s="343"/>
      <c r="AI191" s="343"/>
    </row>
    <row r="192" spans="1:35" x14ac:dyDescent="0.35">
      <c r="A192" s="343"/>
      <c r="B192" s="344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343"/>
      <c r="AB192" s="343"/>
      <c r="AC192" s="343"/>
      <c r="AD192" s="343"/>
      <c r="AE192" s="343"/>
      <c r="AF192" s="343"/>
      <c r="AG192" s="343"/>
      <c r="AH192" s="343"/>
      <c r="AI192" s="343"/>
    </row>
    <row r="193" spans="1:35" x14ac:dyDescent="0.35">
      <c r="A193" s="343"/>
      <c r="B193" s="344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343"/>
      <c r="AB193" s="343"/>
      <c r="AC193" s="343"/>
      <c r="AD193" s="343"/>
      <c r="AE193" s="343"/>
      <c r="AF193" s="343"/>
      <c r="AG193" s="343"/>
      <c r="AH193" s="343"/>
      <c r="AI193" s="343"/>
    </row>
    <row r="194" spans="1:35" x14ac:dyDescent="0.35">
      <c r="A194" s="343"/>
      <c r="B194" s="344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343"/>
      <c r="AB194" s="343"/>
      <c r="AC194" s="343"/>
      <c r="AD194" s="343"/>
      <c r="AE194" s="343"/>
      <c r="AF194" s="343"/>
      <c r="AG194" s="343"/>
      <c r="AH194" s="343"/>
      <c r="AI194" s="343"/>
    </row>
    <row r="195" spans="1:35" x14ac:dyDescent="0.35">
      <c r="A195" s="343"/>
      <c r="B195" s="344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3"/>
      <c r="W195" s="343"/>
      <c r="X195" s="343"/>
      <c r="Y195" s="343"/>
      <c r="Z195" s="343"/>
      <c r="AA195" s="343"/>
      <c r="AB195" s="343"/>
      <c r="AC195" s="343"/>
      <c r="AD195" s="343"/>
      <c r="AE195" s="343"/>
      <c r="AF195" s="343"/>
      <c r="AG195" s="343"/>
      <c r="AH195" s="343"/>
      <c r="AI195" s="343"/>
    </row>
    <row r="196" spans="1:35" x14ac:dyDescent="0.35">
      <c r="A196" s="343"/>
      <c r="B196" s="344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343"/>
      <c r="AG196" s="343"/>
      <c r="AH196" s="343"/>
      <c r="AI196" s="343"/>
    </row>
    <row r="197" spans="1:35" x14ac:dyDescent="0.35">
      <c r="A197" s="343"/>
      <c r="B197" s="344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3"/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343"/>
      <c r="AG197" s="343"/>
      <c r="AH197" s="343"/>
      <c r="AI197" s="343"/>
    </row>
    <row r="198" spans="1:35" x14ac:dyDescent="0.35">
      <c r="A198" s="343"/>
      <c r="B198" s="344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343"/>
      <c r="AG198" s="343"/>
      <c r="AH198" s="343"/>
      <c r="AI198" s="343"/>
    </row>
    <row r="199" spans="1:35" x14ac:dyDescent="0.35">
      <c r="A199" s="343"/>
      <c r="B199" s="344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343"/>
      <c r="AG199" s="343"/>
      <c r="AH199" s="343"/>
      <c r="AI199" s="343"/>
    </row>
    <row r="200" spans="1:35" x14ac:dyDescent="0.35">
      <c r="A200" s="343"/>
      <c r="B200" s="344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343"/>
      <c r="AG200" s="343"/>
      <c r="AH200" s="343"/>
      <c r="AI200" s="343"/>
    </row>
    <row r="201" spans="1:35" x14ac:dyDescent="0.35">
      <c r="A201" s="343"/>
      <c r="B201" s="344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343"/>
      <c r="AG201" s="343"/>
      <c r="AH201" s="343"/>
      <c r="AI201" s="343"/>
    </row>
    <row r="202" spans="1:35" x14ac:dyDescent="0.35">
      <c r="A202" s="343"/>
      <c r="B202" s="344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343"/>
      <c r="AB202" s="343"/>
      <c r="AC202" s="343"/>
      <c r="AD202" s="343"/>
      <c r="AE202" s="343"/>
      <c r="AF202" s="343"/>
      <c r="AG202" s="343"/>
      <c r="AH202" s="343"/>
      <c r="AI202" s="343"/>
    </row>
    <row r="203" spans="1:35" x14ac:dyDescent="0.35">
      <c r="A203" s="343"/>
      <c r="B203" s="344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343"/>
      <c r="AG203" s="343"/>
      <c r="AH203" s="343"/>
      <c r="AI203" s="343"/>
    </row>
    <row r="204" spans="1:35" x14ac:dyDescent="0.35">
      <c r="A204" s="343"/>
      <c r="B204" s="344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3"/>
      <c r="W204" s="343"/>
      <c r="X204" s="343"/>
      <c r="Y204" s="343"/>
      <c r="Z204" s="343"/>
      <c r="AA204" s="343"/>
      <c r="AB204" s="343"/>
      <c r="AC204" s="343"/>
      <c r="AD204" s="343"/>
      <c r="AE204" s="343"/>
      <c r="AF204" s="343"/>
      <c r="AG204" s="343"/>
      <c r="AH204" s="343"/>
      <c r="AI204" s="343"/>
    </row>
    <row r="205" spans="1:35" x14ac:dyDescent="0.35">
      <c r="A205" s="343"/>
      <c r="B205" s="344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343"/>
      <c r="AG205" s="343"/>
      <c r="AH205" s="343"/>
      <c r="AI205" s="343"/>
    </row>
    <row r="206" spans="1:35" x14ac:dyDescent="0.35">
      <c r="A206" s="343"/>
      <c r="B206" s="344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343"/>
      <c r="AG206" s="343"/>
      <c r="AH206" s="343"/>
      <c r="AI206" s="343"/>
    </row>
    <row r="207" spans="1:35" x14ac:dyDescent="0.35">
      <c r="A207" s="343"/>
      <c r="B207" s="344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343"/>
      <c r="AG207" s="343"/>
      <c r="AH207" s="343"/>
      <c r="AI207" s="343"/>
    </row>
    <row r="208" spans="1:35" x14ac:dyDescent="0.35">
      <c r="A208" s="343"/>
      <c r="B208" s="344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343"/>
      <c r="AG208" s="343"/>
      <c r="AH208" s="343"/>
      <c r="AI208" s="343"/>
    </row>
    <row r="209" spans="1:35" x14ac:dyDescent="0.35">
      <c r="A209" s="343"/>
      <c r="B209" s="344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343"/>
      <c r="AB209" s="343"/>
      <c r="AC209" s="343"/>
      <c r="AD209" s="343"/>
      <c r="AE209" s="343"/>
      <c r="AF209" s="343"/>
      <c r="AG209" s="343"/>
      <c r="AH209" s="343"/>
      <c r="AI209" s="343"/>
    </row>
    <row r="210" spans="1:35" x14ac:dyDescent="0.35">
      <c r="A210" s="343"/>
      <c r="B210" s="344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343"/>
      <c r="AG210" s="343"/>
      <c r="AH210" s="343"/>
      <c r="AI210" s="343"/>
    </row>
    <row r="211" spans="1:35" x14ac:dyDescent="0.35">
      <c r="A211" s="343"/>
      <c r="B211" s="344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343"/>
      <c r="AB211" s="343"/>
      <c r="AC211" s="343"/>
      <c r="AD211" s="343"/>
      <c r="AE211" s="343"/>
      <c r="AF211" s="343"/>
      <c r="AG211" s="343"/>
      <c r="AH211" s="343"/>
      <c r="AI211" s="343"/>
    </row>
    <row r="212" spans="1:35" x14ac:dyDescent="0.35">
      <c r="A212" s="343"/>
      <c r="B212" s="344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3"/>
      <c r="W212" s="343"/>
      <c r="X212" s="343"/>
      <c r="Y212" s="343"/>
      <c r="Z212" s="343"/>
      <c r="AA212" s="343"/>
      <c r="AB212" s="343"/>
      <c r="AC212" s="343"/>
      <c r="AD212" s="343"/>
      <c r="AE212" s="343"/>
      <c r="AF212" s="343"/>
      <c r="AG212" s="343"/>
      <c r="AH212" s="343"/>
      <c r="AI212" s="343"/>
    </row>
    <row r="213" spans="1:35" x14ac:dyDescent="0.35">
      <c r="A213" s="343"/>
      <c r="B213" s="344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3"/>
      <c r="W213" s="343"/>
      <c r="X213" s="343"/>
      <c r="Y213" s="343"/>
      <c r="Z213" s="343"/>
      <c r="AA213" s="343"/>
      <c r="AB213" s="343"/>
      <c r="AC213" s="343"/>
      <c r="AD213" s="343"/>
      <c r="AE213" s="343"/>
      <c r="AF213" s="343"/>
      <c r="AG213" s="343"/>
      <c r="AH213" s="343"/>
      <c r="AI213" s="343"/>
    </row>
    <row r="214" spans="1:35" x14ac:dyDescent="0.35">
      <c r="A214" s="343"/>
      <c r="B214" s="344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343"/>
      <c r="AB214" s="343"/>
      <c r="AC214" s="343"/>
      <c r="AD214" s="343"/>
      <c r="AE214" s="343"/>
      <c r="AF214" s="343"/>
      <c r="AG214" s="343"/>
      <c r="AH214" s="343"/>
      <c r="AI214" s="343"/>
    </row>
    <row r="215" spans="1:35" x14ac:dyDescent="0.35">
      <c r="A215" s="343"/>
      <c r="B215" s="344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  <c r="AB215" s="343"/>
      <c r="AC215" s="343"/>
      <c r="AD215" s="343"/>
      <c r="AE215" s="343"/>
      <c r="AF215" s="343"/>
      <c r="AG215" s="343"/>
      <c r="AH215" s="343"/>
      <c r="AI215" s="343"/>
    </row>
    <row r="216" spans="1:35" x14ac:dyDescent="0.35">
      <c r="A216" s="343"/>
      <c r="B216" s="344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  <c r="AB216" s="343"/>
      <c r="AC216" s="343"/>
      <c r="AD216" s="343"/>
      <c r="AE216" s="343"/>
      <c r="AF216" s="343"/>
      <c r="AG216" s="343"/>
      <c r="AH216" s="343"/>
      <c r="AI216" s="343"/>
    </row>
    <row r="217" spans="1:35" x14ac:dyDescent="0.35">
      <c r="A217" s="343"/>
      <c r="B217" s="344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343"/>
      <c r="AB217" s="343"/>
      <c r="AC217" s="343"/>
      <c r="AD217" s="343"/>
      <c r="AE217" s="343"/>
      <c r="AF217" s="343"/>
      <c r="AG217" s="343"/>
      <c r="AH217" s="343"/>
      <c r="AI217" s="343"/>
    </row>
    <row r="218" spans="1:35" x14ac:dyDescent="0.35">
      <c r="A218" s="343"/>
      <c r="B218" s="344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343"/>
      <c r="AB218" s="343"/>
      <c r="AC218" s="343"/>
      <c r="AD218" s="343"/>
      <c r="AE218" s="343"/>
      <c r="AF218" s="343"/>
      <c r="AG218" s="343"/>
      <c r="AH218" s="343"/>
      <c r="AI218" s="343"/>
    </row>
    <row r="219" spans="1:35" x14ac:dyDescent="0.35">
      <c r="A219" s="343"/>
      <c r="B219" s="344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3"/>
      <c r="W219" s="343"/>
      <c r="X219" s="343"/>
      <c r="Y219" s="343"/>
      <c r="Z219" s="343"/>
      <c r="AA219" s="343"/>
      <c r="AB219" s="343"/>
      <c r="AC219" s="343"/>
      <c r="AD219" s="343"/>
      <c r="AE219" s="343"/>
      <c r="AF219" s="343"/>
      <c r="AG219" s="343"/>
      <c r="AH219" s="343"/>
      <c r="AI219" s="343"/>
    </row>
    <row r="220" spans="1:35" x14ac:dyDescent="0.35">
      <c r="A220" s="343"/>
      <c r="B220" s="344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343"/>
      <c r="AG220" s="343"/>
      <c r="AH220" s="343"/>
      <c r="AI220" s="343"/>
    </row>
    <row r="221" spans="1:35" x14ac:dyDescent="0.35">
      <c r="A221" s="343"/>
      <c r="B221" s="344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343"/>
      <c r="AG221" s="343"/>
      <c r="AH221" s="343"/>
      <c r="AI221" s="343"/>
    </row>
    <row r="222" spans="1:35" x14ac:dyDescent="0.35">
      <c r="A222" s="343"/>
      <c r="B222" s="344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343"/>
      <c r="AB222" s="343"/>
      <c r="AC222" s="343"/>
      <c r="AD222" s="343"/>
      <c r="AE222" s="343"/>
      <c r="AF222" s="343"/>
      <c r="AG222" s="343"/>
      <c r="AH222" s="343"/>
      <c r="AI222" s="343"/>
    </row>
    <row r="223" spans="1:35" x14ac:dyDescent="0.35">
      <c r="A223" s="343"/>
      <c r="B223" s="344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343"/>
      <c r="AB223" s="343"/>
      <c r="AC223" s="343"/>
      <c r="AD223" s="343"/>
      <c r="AE223" s="343"/>
      <c r="AF223" s="343"/>
      <c r="AG223" s="343"/>
      <c r="AH223" s="343"/>
      <c r="AI223" s="343"/>
    </row>
    <row r="224" spans="1:35" x14ac:dyDescent="0.35">
      <c r="A224" s="343"/>
      <c r="B224" s="344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343"/>
      <c r="AB224" s="343"/>
      <c r="AC224" s="343"/>
      <c r="AD224" s="343"/>
      <c r="AE224" s="343"/>
      <c r="AF224" s="343"/>
      <c r="AG224" s="343"/>
      <c r="AH224" s="343"/>
      <c r="AI224" s="343"/>
    </row>
    <row r="225" spans="1:35" x14ac:dyDescent="0.35">
      <c r="A225" s="343"/>
      <c r="B225" s="344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3"/>
      <c r="W225" s="343"/>
      <c r="X225" s="343"/>
      <c r="Y225" s="343"/>
      <c r="Z225" s="343"/>
      <c r="AA225" s="343"/>
      <c r="AB225" s="343"/>
      <c r="AC225" s="343"/>
      <c r="AD225" s="343"/>
      <c r="AE225" s="343"/>
      <c r="AF225" s="343"/>
      <c r="AG225" s="343"/>
      <c r="AH225" s="343"/>
      <c r="AI225" s="343"/>
    </row>
    <row r="226" spans="1:35" x14ac:dyDescent="0.35">
      <c r="A226" s="343"/>
      <c r="B226" s="344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343"/>
      <c r="AB226" s="343"/>
      <c r="AC226" s="343"/>
      <c r="AD226" s="343"/>
      <c r="AE226" s="343"/>
      <c r="AF226" s="343"/>
      <c r="AG226" s="343"/>
      <c r="AH226" s="343"/>
      <c r="AI226" s="343"/>
    </row>
    <row r="227" spans="1:35" x14ac:dyDescent="0.35">
      <c r="A227" s="343"/>
      <c r="B227" s="344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343"/>
      <c r="AG227" s="343"/>
      <c r="AH227" s="343"/>
      <c r="AI227" s="343"/>
    </row>
    <row r="228" spans="1:35" x14ac:dyDescent="0.35">
      <c r="A228" s="343"/>
      <c r="B228" s="344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343"/>
      <c r="AG228" s="343"/>
      <c r="AH228" s="343"/>
      <c r="AI228" s="343"/>
    </row>
    <row r="229" spans="1:35" x14ac:dyDescent="0.35">
      <c r="A229" s="343"/>
      <c r="B229" s="344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343"/>
      <c r="AG229" s="343"/>
      <c r="AH229" s="343"/>
      <c r="AI229" s="343"/>
    </row>
    <row r="230" spans="1:35" x14ac:dyDescent="0.35">
      <c r="A230" s="343"/>
      <c r="B230" s="344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343"/>
      <c r="AG230" s="343"/>
      <c r="AH230" s="343"/>
      <c r="AI230" s="343"/>
    </row>
    <row r="231" spans="1:35" x14ac:dyDescent="0.35">
      <c r="A231" s="343"/>
      <c r="B231" s="344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343"/>
      <c r="AB231" s="343"/>
      <c r="AC231" s="343"/>
      <c r="AD231" s="343"/>
      <c r="AE231" s="343"/>
      <c r="AF231" s="343"/>
      <c r="AG231" s="343"/>
      <c r="AH231" s="343"/>
      <c r="AI231" s="343"/>
    </row>
    <row r="232" spans="1:35" x14ac:dyDescent="0.35">
      <c r="A232" s="343"/>
      <c r="B232" s="344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43"/>
      <c r="AC232" s="343"/>
      <c r="AD232" s="343"/>
      <c r="AE232" s="343"/>
      <c r="AF232" s="343"/>
      <c r="AG232" s="343"/>
      <c r="AH232" s="343"/>
      <c r="AI232" s="343"/>
    </row>
    <row r="233" spans="1:35" x14ac:dyDescent="0.35">
      <c r="A233" s="343"/>
      <c r="B233" s="344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343"/>
      <c r="AB233" s="343"/>
      <c r="AC233" s="343"/>
      <c r="AD233" s="343"/>
      <c r="AE233" s="343"/>
      <c r="AF233" s="343"/>
      <c r="AG233" s="343"/>
      <c r="AH233" s="343"/>
      <c r="AI233" s="343"/>
    </row>
    <row r="234" spans="1:35" x14ac:dyDescent="0.35">
      <c r="A234" s="343"/>
      <c r="B234" s="344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343"/>
      <c r="AB234" s="343"/>
      <c r="AC234" s="343"/>
      <c r="AD234" s="343"/>
      <c r="AE234" s="343"/>
      <c r="AF234" s="343"/>
      <c r="AG234" s="343"/>
      <c r="AH234" s="343"/>
      <c r="AI234" s="343"/>
    </row>
    <row r="235" spans="1:35" x14ac:dyDescent="0.35">
      <c r="A235" s="343"/>
      <c r="B235" s="344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343"/>
      <c r="AG235" s="343"/>
      <c r="AH235" s="343"/>
      <c r="AI235" s="343"/>
    </row>
    <row r="236" spans="1:35" x14ac:dyDescent="0.35">
      <c r="A236" s="343"/>
      <c r="B236" s="344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343"/>
      <c r="AG236" s="343"/>
      <c r="AH236" s="343"/>
      <c r="AI236" s="343"/>
    </row>
    <row r="237" spans="1:35" x14ac:dyDescent="0.35">
      <c r="A237" s="343"/>
      <c r="B237" s="344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343"/>
      <c r="AG237" s="343"/>
      <c r="AH237" s="343"/>
      <c r="AI237" s="343"/>
    </row>
    <row r="238" spans="1:35" x14ac:dyDescent="0.35">
      <c r="A238" s="343"/>
      <c r="B238" s="344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343"/>
      <c r="AG238" s="343"/>
      <c r="AH238" s="343"/>
      <c r="AI238" s="343"/>
    </row>
    <row r="239" spans="1:35" x14ac:dyDescent="0.35">
      <c r="A239" s="343"/>
      <c r="B239" s="344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343"/>
      <c r="AB239" s="343"/>
      <c r="AC239" s="343"/>
      <c r="AD239" s="343"/>
      <c r="AE239" s="343"/>
      <c r="AF239" s="343"/>
      <c r="AG239" s="343"/>
      <c r="AH239" s="343"/>
      <c r="AI239" s="343"/>
    </row>
    <row r="240" spans="1:35" x14ac:dyDescent="0.35">
      <c r="A240" s="343"/>
      <c r="B240" s="344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343"/>
      <c r="AB240" s="343"/>
      <c r="AC240" s="343"/>
      <c r="AD240" s="343"/>
      <c r="AE240" s="343"/>
      <c r="AF240" s="343"/>
      <c r="AG240" s="343"/>
      <c r="AH240" s="343"/>
      <c r="AI240" s="343"/>
    </row>
    <row r="241" spans="1:35" x14ac:dyDescent="0.35">
      <c r="A241" s="141"/>
      <c r="B241" s="289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  <c r="AE241" s="141"/>
      <c r="AF241" s="141"/>
      <c r="AG241" s="141"/>
      <c r="AH241" s="141"/>
      <c r="AI241" s="141"/>
    </row>
    <row r="242" spans="1:35" x14ac:dyDescent="0.35">
      <c r="A242" s="141"/>
      <c r="B242" s="289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  <c r="AE242" s="141"/>
      <c r="AF242" s="141"/>
      <c r="AG242" s="141"/>
      <c r="AH242" s="141"/>
      <c r="AI242" s="141"/>
    </row>
    <row r="243" spans="1:35" x14ac:dyDescent="0.35">
      <c r="A243" s="141"/>
      <c r="B243" s="289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  <c r="AH243" s="141"/>
      <c r="AI243" s="141"/>
    </row>
    <row r="244" spans="1:35" x14ac:dyDescent="0.35">
      <c r="A244" s="141"/>
      <c r="B244" s="289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41"/>
    </row>
    <row r="245" spans="1:35" x14ac:dyDescent="0.35">
      <c r="A245" s="141"/>
      <c r="B245" s="289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</row>
    <row r="246" spans="1:35" x14ac:dyDescent="0.35">
      <c r="A246" s="141"/>
      <c r="B246" s="289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41"/>
    </row>
    <row r="247" spans="1:35" x14ac:dyDescent="0.35">
      <c r="A247" s="141"/>
      <c r="B247" s="289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</row>
    <row r="248" spans="1:35" x14ac:dyDescent="0.35">
      <c r="A248" s="141"/>
      <c r="B248" s="289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41"/>
    </row>
    <row r="249" spans="1:35" x14ac:dyDescent="0.35">
      <c r="A249" s="141"/>
      <c r="B249" s="289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</row>
    <row r="250" spans="1:35" x14ac:dyDescent="0.35">
      <c r="A250" s="141"/>
      <c r="B250" s="289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</row>
    <row r="251" spans="1:35" x14ac:dyDescent="0.35">
      <c r="A251" s="141"/>
      <c r="B251" s="289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</row>
    <row r="252" spans="1:35" x14ac:dyDescent="0.35">
      <c r="A252" s="141"/>
      <c r="B252" s="289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</row>
    <row r="253" spans="1:35" x14ac:dyDescent="0.35">
      <c r="A253" s="141"/>
      <c r="B253" s="289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</row>
    <row r="254" spans="1:35" x14ac:dyDescent="0.35">
      <c r="A254" s="141"/>
      <c r="B254" s="289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</row>
    <row r="255" spans="1:35" x14ac:dyDescent="0.35">
      <c r="A255" s="141"/>
      <c r="B255" s="289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</row>
    <row r="256" spans="1:35" x14ac:dyDescent="0.35">
      <c r="A256" s="141"/>
      <c r="B256" s="289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</row>
    <row r="257" spans="1:35" x14ac:dyDescent="0.35">
      <c r="A257" s="141"/>
      <c r="B257" s="289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</row>
    <row r="258" spans="1:35" x14ac:dyDescent="0.35">
      <c r="A258" s="141"/>
      <c r="B258" s="289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</row>
    <row r="259" spans="1:35" x14ac:dyDescent="0.35">
      <c r="A259" s="141"/>
      <c r="B259" s="289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</row>
    <row r="260" spans="1:35" x14ac:dyDescent="0.35">
      <c r="A260" s="141"/>
      <c r="B260" s="289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</row>
    <row r="261" spans="1:35" x14ac:dyDescent="0.35">
      <c r="A261" s="141"/>
      <c r="B261" s="289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</row>
    <row r="262" spans="1:35" x14ac:dyDescent="0.35">
      <c r="A262" s="141"/>
      <c r="B262" s="289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</row>
    <row r="263" spans="1:35" x14ac:dyDescent="0.35">
      <c r="A263" s="141"/>
      <c r="B263" s="289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</row>
    <row r="264" spans="1:35" x14ac:dyDescent="0.35">
      <c r="A264" s="141"/>
      <c r="B264" s="289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</row>
    <row r="265" spans="1:35" x14ac:dyDescent="0.35">
      <c r="A265" s="141"/>
      <c r="B265" s="289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</row>
    <row r="266" spans="1:35" x14ac:dyDescent="0.35">
      <c r="A266" s="141"/>
      <c r="B266" s="289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</row>
    <row r="267" spans="1:35" x14ac:dyDescent="0.35">
      <c r="A267" s="141"/>
      <c r="B267" s="289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</row>
    <row r="268" spans="1:35" x14ac:dyDescent="0.35">
      <c r="A268" s="141"/>
      <c r="B268" s="289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</row>
    <row r="269" spans="1:35" x14ac:dyDescent="0.35">
      <c r="A269" s="141"/>
      <c r="B269" s="289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</row>
    <row r="270" spans="1:35" x14ac:dyDescent="0.35">
      <c r="A270" s="141"/>
      <c r="B270" s="289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</row>
    <row r="271" spans="1:35" x14ac:dyDescent="0.35">
      <c r="A271" s="141"/>
      <c r="B271" s="289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</row>
    <row r="272" spans="1:35" x14ac:dyDescent="0.35">
      <c r="A272" s="141"/>
      <c r="B272" s="289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</row>
    <row r="273" spans="1:35" x14ac:dyDescent="0.35">
      <c r="A273" s="141"/>
      <c r="B273" s="289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</row>
    <row r="274" spans="1:35" x14ac:dyDescent="0.35">
      <c r="A274" s="141"/>
      <c r="B274" s="289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</row>
    <row r="275" spans="1:35" x14ac:dyDescent="0.35">
      <c r="A275" s="141"/>
      <c r="B275" s="289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</row>
    <row r="276" spans="1:35" x14ac:dyDescent="0.35">
      <c r="A276" s="141"/>
      <c r="B276" s="289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</row>
    <row r="277" spans="1:35" x14ac:dyDescent="0.35">
      <c r="A277" s="141"/>
      <c r="B277" s="289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</row>
    <row r="278" spans="1:35" x14ac:dyDescent="0.35">
      <c r="A278" s="141"/>
      <c r="B278" s="289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</row>
    <row r="279" spans="1:35" x14ac:dyDescent="0.35">
      <c r="A279" s="141"/>
      <c r="B279" s="289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</row>
    <row r="280" spans="1:35" x14ac:dyDescent="0.35">
      <c r="A280" s="141"/>
      <c r="B280" s="289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</row>
    <row r="281" spans="1:35" x14ac:dyDescent="0.35">
      <c r="A281" s="141"/>
      <c r="B281" s="289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</row>
    <row r="282" spans="1:35" x14ac:dyDescent="0.35">
      <c r="A282" s="141"/>
      <c r="B282" s="289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</row>
    <row r="283" spans="1:35" x14ac:dyDescent="0.35">
      <c r="A283" s="141"/>
      <c r="B283" s="289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</row>
    <row r="284" spans="1:35" x14ac:dyDescent="0.35">
      <c r="A284" s="141"/>
      <c r="B284" s="289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</row>
    <row r="285" spans="1:35" x14ac:dyDescent="0.35">
      <c r="A285" s="141"/>
      <c r="B285" s="289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</row>
    <row r="286" spans="1:35" x14ac:dyDescent="0.35">
      <c r="A286" s="141"/>
      <c r="B286" s="289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</row>
    <row r="287" spans="1:35" x14ac:dyDescent="0.35">
      <c r="A287" s="141"/>
      <c r="B287" s="289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</row>
    <row r="288" spans="1:35" x14ac:dyDescent="0.35">
      <c r="A288" s="141"/>
      <c r="B288" s="289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</row>
    <row r="289" spans="1:35" x14ac:dyDescent="0.35">
      <c r="A289" s="141"/>
      <c r="B289" s="289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</row>
    <row r="290" spans="1:35" x14ac:dyDescent="0.35">
      <c r="A290" s="141"/>
      <c r="B290" s="289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</row>
    <row r="291" spans="1:35" x14ac:dyDescent="0.35">
      <c r="A291" s="141"/>
      <c r="B291" s="289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</row>
    <row r="292" spans="1:35" x14ac:dyDescent="0.35">
      <c r="A292" s="141"/>
      <c r="B292" s="289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</row>
    <row r="293" spans="1:35" x14ac:dyDescent="0.35">
      <c r="A293" s="141"/>
      <c r="B293" s="289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</row>
    <row r="294" spans="1:35" x14ac:dyDescent="0.35">
      <c r="A294" s="141"/>
      <c r="B294" s="289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</row>
    <row r="295" spans="1:35" x14ac:dyDescent="0.35">
      <c r="A295" s="141"/>
      <c r="B295" s="289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</row>
    <row r="296" spans="1:35" x14ac:dyDescent="0.35">
      <c r="A296" s="141"/>
      <c r="B296" s="289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</row>
    <row r="297" spans="1:35" x14ac:dyDescent="0.35">
      <c r="A297" s="141"/>
      <c r="B297" s="289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</row>
    <row r="298" spans="1:35" x14ac:dyDescent="0.35">
      <c r="A298" s="141"/>
      <c r="B298" s="289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</row>
    <row r="299" spans="1:35" x14ac:dyDescent="0.35">
      <c r="A299" s="141"/>
      <c r="B299" s="289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</row>
    <row r="300" spans="1:35" x14ac:dyDescent="0.35">
      <c r="A300" s="141"/>
      <c r="B300" s="289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</row>
    <row r="301" spans="1:35" x14ac:dyDescent="0.35">
      <c r="A301" s="141"/>
      <c r="B301" s="289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</row>
    <row r="302" spans="1:35" x14ac:dyDescent="0.35">
      <c r="A302" s="141"/>
      <c r="B302" s="289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</row>
    <row r="303" spans="1:35" x14ac:dyDescent="0.35">
      <c r="A303" s="141"/>
      <c r="B303" s="289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</row>
    <row r="304" spans="1:35" x14ac:dyDescent="0.35">
      <c r="A304" s="141"/>
      <c r="B304" s="289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</row>
    <row r="305" spans="1:35" x14ac:dyDescent="0.35">
      <c r="A305" s="141"/>
      <c r="B305" s="289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</row>
    <row r="306" spans="1:35" x14ac:dyDescent="0.35">
      <c r="A306" s="141"/>
      <c r="B306" s="289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</row>
    <row r="307" spans="1:35" x14ac:dyDescent="0.35">
      <c r="A307" s="141"/>
      <c r="B307" s="289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</row>
    <row r="308" spans="1:35" x14ac:dyDescent="0.35">
      <c r="A308" s="141"/>
      <c r="B308" s="289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</row>
    <row r="309" spans="1:35" x14ac:dyDescent="0.35">
      <c r="A309" s="141"/>
      <c r="B309" s="289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</row>
    <row r="310" spans="1:35" x14ac:dyDescent="0.35">
      <c r="A310" s="141"/>
      <c r="B310" s="289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</row>
    <row r="311" spans="1:35" x14ac:dyDescent="0.35">
      <c r="A311" s="141"/>
      <c r="B311" s="289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</row>
    <row r="312" spans="1:35" x14ac:dyDescent="0.35">
      <c r="A312" s="141"/>
      <c r="B312" s="289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</row>
    <row r="313" spans="1:35" x14ac:dyDescent="0.35">
      <c r="A313" s="141"/>
      <c r="B313" s="289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</row>
    <row r="314" spans="1:35" x14ac:dyDescent="0.35">
      <c r="A314" s="141"/>
      <c r="B314" s="289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</row>
    <row r="315" spans="1:35" x14ac:dyDescent="0.35">
      <c r="A315" s="141"/>
      <c r="B315" s="289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</row>
    <row r="316" spans="1:35" x14ac:dyDescent="0.35">
      <c r="A316" s="141"/>
      <c r="B316" s="289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</row>
    <row r="317" spans="1:35" x14ac:dyDescent="0.35">
      <c r="A317" s="141"/>
      <c r="B317" s="289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</row>
    <row r="318" spans="1:35" x14ac:dyDescent="0.35">
      <c r="A318" s="141"/>
      <c r="B318" s="289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</row>
    <row r="319" spans="1:35" x14ac:dyDescent="0.35">
      <c r="A319" s="141"/>
      <c r="B319" s="289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</row>
    <row r="320" spans="1:35" x14ac:dyDescent="0.35">
      <c r="A320" s="141"/>
      <c r="B320" s="289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</row>
    <row r="321" spans="1:35" x14ac:dyDescent="0.35">
      <c r="A321" s="141"/>
      <c r="B321" s="289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</row>
    <row r="322" spans="1:35" x14ac:dyDescent="0.35">
      <c r="A322" s="141"/>
      <c r="B322" s="289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</row>
    <row r="323" spans="1:35" x14ac:dyDescent="0.35">
      <c r="A323" s="141"/>
      <c r="B323" s="289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</row>
    <row r="324" spans="1:35" x14ac:dyDescent="0.35">
      <c r="A324" s="141"/>
      <c r="B324" s="289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</row>
    <row r="325" spans="1:35" x14ac:dyDescent="0.35">
      <c r="A325" s="141"/>
      <c r="B325" s="289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</row>
    <row r="326" spans="1:35" x14ac:dyDescent="0.35">
      <c r="A326" s="141"/>
      <c r="B326" s="289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</row>
    <row r="327" spans="1:35" x14ac:dyDescent="0.35">
      <c r="A327" s="141"/>
      <c r="B327" s="289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</row>
    <row r="328" spans="1:35" x14ac:dyDescent="0.35">
      <c r="A328" s="141"/>
      <c r="B328" s="289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</row>
    <row r="329" spans="1:35" x14ac:dyDescent="0.35">
      <c r="A329" s="141"/>
      <c r="B329" s="289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</row>
    <row r="330" spans="1:35" x14ac:dyDescent="0.35">
      <c r="A330" s="141"/>
      <c r="B330" s="289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</row>
    <row r="331" spans="1:35" x14ac:dyDescent="0.35">
      <c r="A331" s="141"/>
      <c r="B331" s="289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</row>
    <row r="332" spans="1:35" x14ac:dyDescent="0.35">
      <c r="A332" s="141"/>
      <c r="B332" s="289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</row>
    <row r="333" spans="1:35" x14ac:dyDescent="0.35">
      <c r="A333" s="141"/>
      <c r="B333" s="289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</row>
    <row r="334" spans="1:35" x14ac:dyDescent="0.35">
      <c r="A334" s="141"/>
      <c r="B334" s="289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</row>
    <row r="335" spans="1:35" x14ac:dyDescent="0.35">
      <c r="A335" s="141"/>
      <c r="B335" s="289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</row>
    <row r="336" spans="1:35" x14ac:dyDescent="0.35">
      <c r="A336" s="141"/>
      <c r="B336" s="289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</row>
    <row r="337" spans="1:35" x14ac:dyDescent="0.35">
      <c r="A337" s="141"/>
      <c r="B337" s="289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</row>
    <row r="338" spans="1:35" x14ac:dyDescent="0.35">
      <c r="A338" s="141"/>
      <c r="B338" s="289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</row>
    <row r="339" spans="1:35" x14ac:dyDescent="0.35">
      <c r="A339" s="141"/>
      <c r="B339" s="289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</row>
    <row r="340" spans="1:35" x14ac:dyDescent="0.35">
      <c r="A340" s="141"/>
      <c r="B340" s="289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</row>
    <row r="341" spans="1:35" x14ac:dyDescent="0.35">
      <c r="A341" s="141"/>
      <c r="B341" s="289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</row>
    <row r="342" spans="1:35" x14ac:dyDescent="0.35">
      <c r="A342" s="141"/>
      <c r="B342" s="289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</row>
    <row r="343" spans="1:35" x14ac:dyDescent="0.35">
      <c r="A343" s="141"/>
      <c r="B343" s="289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</row>
    <row r="344" spans="1:35" x14ac:dyDescent="0.35">
      <c r="A344" s="141"/>
      <c r="B344" s="289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</row>
    <row r="345" spans="1:35" x14ac:dyDescent="0.35">
      <c r="A345" s="141"/>
      <c r="B345" s="289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</row>
    <row r="346" spans="1:35" x14ac:dyDescent="0.35">
      <c r="A346" s="141"/>
      <c r="B346" s="289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</row>
    <row r="347" spans="1:35" x14ac:dyDescent="0.35">
      <c r="A347" s="141"/>
      <c r="B347" s="289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</row>
    <row r="348" spans="1:35" x14ac:dyDescent="0.35">
      <c r="A348" s="141"/>
      <c r="B348" s="289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</row>
    <row r="349" spans="1:35" x14ac:dyDescent="0.35">
      <c r="A349" s="141"/>
      <c r="B349" s="289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</row>
    <row r="350" spans="1:35" x14ac:dyDescent="0.35">
      <c r="A350" s="141"/>
      <c r="B350" s="289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</row>
    <row r="351" spans="1:35" x14ac:dyDescent="0.35">
      <c r="A351" s="141"/>
      <c r="B351" s="289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</row>
    <row r="352" spans="1:35" x14ac:dyDescent="0.35">
      <c r="A352" s="141"/>
      <c r="B352" s="289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</row>
    <row r="353" spans="1:35" x14ac:dyDescent="0.35">
      <c r="A353" s="141"/>
      <c r="B353" s="289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</row>
    <row r="354" spans="1:35" x14ac:dyDescent="0.35">
      <c r="A354" s="141"/>
      <c r="B354" s="289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</row>
    <row r="355" spans="1:35" x14ac:dyDescent="0.35">
      <c r="A355" s="141"/>
      <c r="B355" s="289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</row>
    <row r="356" spans="1:35" x14ac:dyDescent="0.35">
      <c r="A356" s="141"/>
      <c r="B356" s="289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</row>
    <row r="357" spans="1:35" x14ac:dyDescent="0.35">
      <c r="A357" s="141"/>
      <c r="B357" s="289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</row>
    <row r="358" spans="1:35" x14ac:dyDescent="0.35">
      <c r="A358" s="141"/>
      <c r="B358" s="289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</row>
    <row r="359" spans="1:35" x14ac:dyDescent="0.35">
      <c r="A359" s="141"/>
      <c r="B359" s="289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</row>
    <row r="360" spans="1:35" x14ac:dyDescent="0.35">
      <c r="A360" s="141"/>
      <c r="B360" s="289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</row>
    <row r="361" spans="1:35" x14ac:dyDescent="0.35">
      <c r="A361" s="141"/>
      <c r="B361" s="289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</row>
    <row r="362" spans="1:35" x14ac:dyDescent="0.35">
      <c r="A362" s="141"/>
      <c r="B362" s="289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</row>
    <row r="363" spans="1:35" x14ac:dyDescent="0.35">
      <c r="A363" s="141"/>
      <c r="B363" s="289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</row>
    <row r="364" spans="1:35" x14ac:dyDescent="0.35">
      <c r="A364" s="141"/>
      <c r="B364" s="289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</row>
    <row r="365" spans="1:35" x14ac:dyDescent="0.35">
      <c r="A365" s="141"/>
      <c r="B365" s="289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</row>
    <row r="366" spans="1:35" x14ac:dyDescent="0.35">
      <c r="A366" s="141"/>
      <c r="B366" s="289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</row>
    <row r="367" spans="1:35" x14ac:dyDescent="0.35">
      <c r="A367" s="141"/>
      <c r="B367" s="289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</row>
    <row r="368" spans="1:35" x14ac:dyDescent="0.35">
      <c r="A368" s="141"/>
      <c r="B368" s="289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</row>
    <row r="369" spans="1:35" x14ac:dyDescent="0.35">
      <c r="A369" s="141"/>
      <c r="B369" s="289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</row>
    <row r="370" spans="1:35" x14ac:dyDescent="0.35">
      <c r="A370" s="141"/>
      <c r="B370" s="289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</row>
    <row r="371" spans="1:35" x14ac:dyDescent="0.35">
      <c r="A371" s="141"/>
      <c r="B371" s="289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</row>
    <row r="372" spans="1:35" x14ac:dyDescent="0.35">
      <c r="A372" s="141"/>
      <c r="B372" s="289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</row>
    <row r="373" spans="1:35" x14ac:dyDescent="0.35">
      <c r="A373" s="141"/>
      <c r="B373" s="289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</row>
    <row r="374" spans="1:35" x14ac:dyDescent="0.35">
      <c r="A374" s="141"/>
      <c r="B374" s="289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</row>
    <row r="375" spans="1:35" x14ac:dyDescent="0.35">
      <c r="A375" s="141"/>
      <c r="B375" s="289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</row>
    <row r="376" spans="1:35" x14ac:dyDescent="0.35">
      <c r="A376" s="141"/>
      <c r="B376" s="289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</row>
    <row r="377" spans="1:35" x14ac:dyDescent="0.35">
      <c r="A377" s="141"/>
      <c r="B377" s="289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</row>
    <row r="378" spans="1:35" x14ac:dyDescent="0.35">
      <c r="A378" s="141"/>
      <c r="B378" s="289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</row>
    <row r="379" spans="1:35" x14ac:dyDescent="0.35">
      <c r="A379" s="141"/>
      <c r="B379" s="289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</row>
    <row r="380" spans="1:35" x14ac:dyDescent="0.35">
      <c r="A380" s="141"/>
      <c r="B380" s="289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</row>
    <row r="381" spans="1:35" x14ac:dyDescent="0.35">
      <c r="A381" s="141"/>
      <c r="B381" s="289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</row>
    <row r="382" spans="1:35" x14ac:dyDescent="0.35">
      <c r="A382" s="141"/>
      <c r="B382" s="289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</row>
    <row r="383" spans="1:35" x14ac:dyDescent="0.35">
      <c r="A383" s="141"/>
      <c r="B383" s="289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</row>
    <row r="384" spans="1:35" x14ac:dyDescent="0.35">
      <c r="A384" s="141"/>
      <c r="B384" s="289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</row>
    <row r="385" spans="1:35" x14ac:dyDescent="0.35">
      <c r="A385" s="141"/>
      <c r="B385" s="289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</row>
    <row r="386" spans="1:35" x14ac:dyDescent="0.35">
      <c r="A386" s="141"/>
      <c r="B386" s="289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</row>
    <row r="387" spans="1:35" x14ac:dyDescent="0.35">
      <c r="A387" s="141"/>
      <c r="B387" s="289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</row>
    <row r="388" spans="1:35" x14ac:dyDescent="0.35">
      <c r="A388" s="141"/>
      <c r="B388" s="289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</row>
    <row r="389" spans="1:35" x14ac:dyDescent="0.35">
      <c r="A389" s="141"/>
      <c r="B389" s="289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</row>
    <row r="390" spans="1:35" x14ac:dyDescent="0.35">
      <c r="A390" s="141"/>
      <c r="B390" s="289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</row>
    <row r="391" spans="1:35" x14ac:dyDescent="0.35">
      <c r="A391" s="141"/>
      <c r="B391" s="289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</row>
    <row r="392" spans="1:35" x14ac:dyDescent="0.35">
      <c r="A392" s="141"/>
      <c r="B392" s="289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</row>
    <row r="393" spans="1:35" x14ac:dyDescent="0.35">
      <c r="A393" s="141"/>
      <c r="B393" s="289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</row>
    <row r="394" spans="1:35" x14ac:dyDescent="0.35">
      <c r="A394" s="141"/>
      <c r="B394" s="289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</row>
    <row r="395" spans="1:35" x14ac:dyDescent="0.35">
      <c r="A395" s="141"/>
      <c r="B395" s="289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</row>
    <row r="396" spans="1:35" x14ac:dyDescent="0.35">
      <c r="A396" s="141"/>
      <c r="B396" s="289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</row>
    <row r="397" spans="1:35" x14ac:dyDescent="0.35">
      <c r="A397" s="141"/>
      <c r="B397" s="289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</row>
    <row r="398" spans="1:35" x14ac:dyDescent="0.35">
      <c r="A398" s="141"/>
      <c r="B398" s="289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</row>
    <row r="399" spans="1:35" x14ac:dyDescent="0.35">
      <c r="A399" s="141"/>
      <c r="B399" s="289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</row>
    <row r="400" spans="1:35" x14ac:dyDescent="0.35">
      <c r="A400" s="141"/>
      <c r="B400" s="289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</row>
    <row r="401" spans="1:35" x14ac:dyDescent="0.35">
      <c r="A401" s="141"/>
      <c r="B401" s="289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</row>
    <row r="402" spans="1:35" x14ac:dyDescent="0.35">
      <c r="A402" s="141"/>
      <c r="B402" s="289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</row>
    <row r="403" spans="1:35" x14ac:dyDescent="0.35">
      <c r="A403" s="141"/>
      <c r="B403" s="289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</row>
    <row r="404" spans="1:35" x14ac:dyDescent="0.35">
      <c r="A404" s="141"/>
      <c r="B404" s="289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</row>
    <row r="405" spans="1:35" x14ac:dyDescent="0.35">
      <c r="A405" s="141"/>
      <c r="B405" s="289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</row>
    <row r="406" spans="1:35" x14ac:dyDescent="0.35">
      <c r="A406" s="141"/>
      <c r="B406" s="289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</row>
    <row r="407" spans="1:35" x14ac:dyDescent="0.35">
      <c r="A407" s="141"/>
      <c r="B407" s="289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</row>
    <row r="408" spans="1:35" x14ac:dyDescent="0.35">
      <c r="A408" s="141"/>
      <c r="B408" s="289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</row>
    <row r="409" spans="1:35" x14ac:dyDescent="0.35">
      <c r="A409" s="141"/>
      <c r="B409" s="289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</row>
    <row r="410" spans="1:35" x14ac:dyDescent="0.35">
      <c r="A410" s="141"/>
      <c r="B410" s="289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</row>
    <row r="411" spans="1:35" x14ac:dyDescent="0.35">
      <c r="A411" s="141"/>
      <c r="B411" s="289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</row>
    <row r="412" spans="1:35" x14ac:dyDescent="0.35">
      <c r="A412" s="141"/>
      <c r="B412" s="289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</row>
    <row r="413" spans="1:35" x14ac:dyDescent="0.35">
      <c r="A413" s="141"/>
      <c r="B413" s="289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</row>
    <row r="414" spans="1:35" x14ac:dyDescent="0.35">
      <c r="A414" s="141"/>
      <c r="B414" s="289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</row>
    <row r="415" spans="1:35" x14ac:dyDescent="0.35">
      <c r="A415" s="141"/>
      <c r="B415" s="289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</row>
    <row r="416" spans="1:35" x14ac:dyDescent="0.35">
      <c r="A416" s="141"/>
      <c r="B416" s="289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</row>
    <row r="417" spans="1:35" x14ac:dyDescent="0.35">
      <c r="A417" s="141"/>
      <c r="B417" s="289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</row>
    <row r="418" spans="1:35" x14ac:dyDescent="0.35">
      <c r="A418" s="141"/>
      <c r="B418" s="289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</row>
    <row r="419" spans="1:35" x14ac:dyDescent="0.35">
      <c r="A419" s="141"/>
      <c r="B419" s="289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</row>
    <row r="420" spans="1:35" x14ac:dyDescent="0.35">
      <c r="A420" s="141"/>
      <c r="B420" s="289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</row>
    <row r="421" spans="1:35" x14ac:dyDescent="0.35">
      <c r="A421" s="141"/>
      <c r="B421" s="289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</row>
    <row r="422" spans="1:35" x14ac:dyDescent="0.35">
      <c r="A422" s="141"/>
      <c r="B422" s="289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</row>
    <row r="423" spans="1:35" x14ac:dyDescent="0.35">
      <c r="A423" s="141"/>
      <c r="B423" s="289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</row>
    <row r="424" spans="1:35" x14ac:dyDescent="0.35">
      <c r="A424" s="141"/>
      <c r="B424" s="289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</row>
    <row r="425" spans="1:35" x14ac:dyDescent="0.35">
      <c r="A425" s="141"/>
      <c r="B425" s="289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</row>
    <row r="426" spans="1:35" x14ac:dyDescent="0.35">
      <c r="A426" s="141"/>
      <c r="B426" s="289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</row>
    <row r="427" spans="1:35" x14ac:dyDescent="0.35">
      <c r="A427" s="141"/>
      <c r="B427" s="289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</row>
    <row r="428" spans="1:35" x14ac:dyDescent="0.35">
      <c r="A428" s="141"/>
      <c r="B428" s="289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</row>
    <row r="429" spans="1:35" x14ac:dyDescent="0.35">
      <c r="A429" s="141"/>
      <c r="B429" s="289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</row>
    <row r="430" spans="1:35" x14ac:dyDescent="0.35">
      <c r="A430" s="141"/>
      <c r="B430" s="289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</row>
    <row r="431" spans="1:35" x14ac:dyDescent="0.35">
      <c r="A431" s="141"/>
      <c r="B431" s="289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</row>
    <row r="432" spans="1:35" x14ac:dyDescent="0.35">
      <c r="A432" s="141"/>
      <c r="B432" s="289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</row>
    <row r="433" spans="1:35" x14ac:dyDescent="0.35">
      <c r="A433" s="141"/>
      <c r="B433" s="289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</row>
    <row r="434" spans="1:35" x14ac:dyDescent="0.35">
      <c r="A434" s="141"/>
      <c r="B434" s="289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</row>
    <row r="435" spans="1:35" x14ac:dyDescent="0.35">
      <c r="A435" s="141"/>
      <c r="B435" s="289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</row>
    <row r="436" spans="1:35" x14ac:dyDescent="0.35">
      <c r="A436" s="141"/>
      <c r="B436" s="289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</row>
    <row r="437" spans="1:35" x14ac:dyDescent="0.35">
      <c r="A437" s="141"/>
      <c r="B437" s="289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</row>
    <row r="438" spans="1:35" x14ac:dyDescent="0.35">
      <c r="A438" s="141"/>
      <c r="B438" s="289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</row>
    <row r="439" spans="1:35" x14ac:dyDescent="0.35">
      <c r="A439" s="141"/>
      <c r="B439" s="289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</row>
    <row r="440" spans="1:35" x14ac:dyDescent="0.35">
      <c r="A440" s="141"/>
      <c r="B440" s="289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</row>
    <row r="441" spans="1:35" x14ac:dyDescent="0.35">
      <c r="A441" s="141"/>
      <c r="B441" s="289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</row>
    <row r="442" spans="1:35" x14ac:dyDescent="0.35">
      <c r="A442" s="141"/>
      <c r="B442" s="289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</row>
    <row r="443" spans="1:35" x14ac:dyDescent="0.35">
      <c r="A443" s="141"/>
      <c r="B443" s="289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</row>
    <row r="444" spans="1:35" x14ac:dyDescent="0.35">
      <c r="A444" s="141"/>
      <c r="B444" s="289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</row>
    <row r="445" spans="1:35" x14ac:dyDescent="0.35">
      <c r="A445" s="141"/>
      <c r="B445" s="289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</row>
    <row r="446" spans="1:35" x14ac:dyDescent="0.35">
      <c r="A446" s="141"/>
      <c r="B446" s="289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</row>
    <row r="447" spans="1:35" x14ac:dyDescent="0.35">
      <c r="A447" s="141"/>
      <c r="B447" s="289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</row>
    <row r="448" spans="1:35" x14ac:dyDescent="0.35">
      <c r="A448" s="141"/>
      <c r="B448" s="289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</row>
    <row r="449" spans="1:35" x14ac:dyDescent="0.35">
      <c r="A449" s="141"/>
      <c r="B449" s="289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</row>
    <row r="450" spans="1:35" x14ac:dyDescent="0.35">
      <c r="A450" s="141"/>
      <c r="B450" s="289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</row>
    <row r="451" spans="1:35" x14ac:dyDescent="0.35">
      <c r="A451" s="141"/>
      <c r="B451" s="289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</row>
    <row r="452" spans="1:35" x14ac:dyDescent="0.35">
      <c r="A452" s="141"/>
      <c r="B452" s="289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</row>
    <row r="453" spans="1:35" x14ac:dyDescent="0.35">
      <c r="A453" s="141"/>
      <c r="B453" s="289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</row>
    <row r="454" spans="1:35" x14ac:dyDescent="0.35">
      <c r="A454" s="141"/>
      <c r="B454" s="289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</row>
    <row r="455" spans="1:35" x14ac:dyDescent="0.35">
      <c r="A455" s="141"/>
      <c r="B455" s="289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</row>
    <row r="456" spans="1:35" x14ac:dyDescent="0.35">
      <c r="A456" s="141"/>
      <c r="B456" s="289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</row>
    <row r="457" spans="1:35" x14ac:dyDescent="0.35">
      <c r="A457" s="141"/>
      <c r="B457" s="289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</row>
    <row r="458" spans="1:35" x14ac:dyDescent="0.35">
      <c r="A458" s="141"/>
      <c r="B458" s="289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</row>
    <row r="459" spans="1:35" x14ac:dyDescent="0.35">
      <c r="A459" s="141"/>
      <c r="B459" s="289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</row>
    <row r="460" spans="1:35" x14ac:dyDescent="0.35">
      <c r="A460" s="141"/>
      <c r="B460" s="289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</row>
    <row r="461" spans="1:35" x14ac:dyDescent="0.35">
      <c r="A461" s="141"/>
      <c r="B461" s="289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</row>
    <row r="462" spans="1:35" x14ac:dyDescent="0.35">
      <c r="A462" s="141"/>
      <c r="B462" s="289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</row>
    <row r="463" spans="1:35" x14ac:dyDescent="0.35">
      <c r="A463" s="141"/>
      <c r="B463" s="289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</row>
    <row r="464" spans="1:35" x14ac:dyDescent="0.35">
      <c r="A464" s="141"/>
      <c r="B464" s="289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</row>
    <row r="465" spans="1:35" x14ac:dyDescent="0.35">
      <c r="A465" s="141"/>
      <c r="B465" s="289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</row>
    <row r="466" spans="1:35" x14ac:dyDescent="0.35">
      <c r="A466" s="141"/>
      <c r="B466" s="289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</row>
    <row r="467" spans="1:35" x14ac:dyDescent="0.35">
      <c r="A467" s="141"/>
      <c r="B467" s="289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</row>
    <row r="468" spans="1:35" x14ac:dyDescent="0.35">
      <c r="A468" s="141"/>
      <c r="B468" s="289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</row>
    <row r="469" spans="1:35" x14ac:dyDescent="0.35">
      <c r="A469" s="141"/>
      <c r="B469" s="289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</row>
    <row r="470" spans="1:35" x14ac:dyDescent="0.35">
      <c r="A470" s="141"/>
      <c r="B470" s="289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</row>
    <row r="471" spans="1:35" x14ac:dyDescent="0.35">
      <c r="A471" s="141"/>
      <c r="B471" s="289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</row>
    <row r="472" spans="1:35" x14ac:dyDescent="0.35">
      <c r="A472" s="141"/>
      <c r="B472" s="289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</row>
    <row r="473" spans="1:35" x14ac:dyDescent="0.35">
      <c r="A473" s="141"/>
      <c r="B473" s="289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</row>
    <row r="474" spans="1:35" x14ac:dyDescent="0.35">
      <c r="A474" s="141"/>
      <c r="B474" s="289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</row>
    <row r="475" spans="1:35" x14ac:dyDescent="0.35">
      <c r="A475" s="141"/>
      <c r="B475" s="289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</row>
    <row r="476" spans="1:35" x14ac:dyDescent="0.35">
      <c r="A476" s="141"/>
      <c r="B476" s="289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</row>
    <row r="477" spans="1:35" x14ac:dyDescent="0.35">
      <c r="A477" s="141"/>
      <c r="B477" s="289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</row>
    <row r="478" spans="1:35" x14ac:dyDescent="0.35">
      <c r="A478" s="141"/>
      <c r="B478" s="289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</row>
    <row r="479" spans="1:35" x14ac:dyDescent="0.35">
      <c r="A479" s="141"/>
      <c r="B479" s="289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</row>
    <row r="480" spans="1:35" x14ac:dyDescent="0.35">
      <c r="A480" s="141"/>
      <c r="B480" s="289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</row>
    <row r="481" spans="1:35" x14ac:dyDescent="0.35">
      <c r="A481" s="141"/>
      <c r="B481" s="289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</row>
    <row r="482" spans="1:35" x14ac:dyDescent="0.35">
      <c r="A482" s="141"/>
      <c r="B482" s="289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</row>
    <row r="483" spans="1:35" x14ac:dyDescent="0.35">
      <c r="A483" s="141"/>
      <c r="B483" s="289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</row>
    <row r="484" spans="1:35" x14ac:dyDescent="0.35">
      <c r="A484" s="141"/>
      <c r="B484" s="289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</row>
    <row r="485" spans="1:35" x14ac:dyDescent="0.35">
      <c r="A485" s="141"/>
      <c r="B485" s="289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</row>
    <row r="486" spans="1:35" x14ac:dyDescent="0.35">
      <c r="A486" s="141"/>
      <c r="B486" s="289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</row>
    <row r="487" spans="1:35" x14ac:dyDescent="0.35">
      <c r="A487" s="141"/>
      <c r="B487" s="289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</row>
    <row r="488" spans="1:35" x14ac:dyDescent="0.35">
      <c r="A488" s="141"/>
      <c r="B488" s="289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</row>
    <row r="489" spans="1:35" x14ac:dyDescent="0.35">
      <c r="A489" s="141"/>
      <c r="B489" s="289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</row>
    <row r="490" spans="1:35" x14ac:dyDescent="0.35">
      <c r="A490" s="141"/>
      <c r="B490" s="289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</row>
    <row r="491" spans="1:35" x14ac:dyDescent="0.35">
      <c r="A491" s="141"/>
      <c r="B491" s="289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</row>
    <row r="492" spans="1:35" x14ac:dyDescent="0.35">
      <c r="A492" s="141"/>
      <c r="B492" s="289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</row>
    <row r="493" spans="1:35" x14ac:dyDescent="0.35">
      <c r="A493" s="141"/>
      <c r="B493" s="289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</row>
    <row r="494" spans="1:35" x14ac:dyDescent="0.35">
      <c r="A494" s="141"/>
      <c r="B494" s="289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</row>
    <row r="495" spans="1:35" x14ac:dyDescent="0.35">
      <c r="A495" s="141"/>
      <c r="B495" s="289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</row>
    <row r="496" spans="1:35" x14ac:dyDescent="0.35">
      <c r="A496" s="141"/>
      <c r="B496" s="289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</row>
    <row r="497" spans="1:35" x14ac:dyDescent="0.35">
      <c r="A497" s="141"/>
      <c r="B497" s="289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</row>
    <row r="498" spans="1:35" x14ac:dyDescent="0.35">
      <c r="A498" s="141"/>
      <c r="B498" s="289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</row>
    <row r="499" spans="1:35" x14ac:dyDescent="0.35">
      <c r="A499" s="141"/>
      <c r="B499" s="289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</row>
    <row r="500" spans="1:35" x14ac:dyDescent="0.35">
      <c r="A500" s="141"/>
      <c r="B500" s="289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</row>
    <row r="501" spans="1:35" x14ac:dyDescent="0.35">
      <c r="A501" s="141"/>
      <c r="B501" s="289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</row>
    <row r="502" spans="1:35" x14ac:dyDescent="0.35">
      <c r="A502" s="141"/>
      <c r="B502" s="289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</row>
    <row r="503" spans="1:35" x14ac:dyDescent="0.35">
      <c r="A503" s="141"/>
      <c r="B503" s="289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</row>
    <row r="504" spans="1:35" x14ac:dyDescent="0.35">
      <c r="A504" s="141"/>
      <c r="B504" s="289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</row>
    <row r="505" spans="1:35" x14ac:dyDescent="0.35">
      <c r="A505" s="141"/>
      <c r="B505" s="289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</row>
    <row r="506" spans="1:35" x14ac:dyDescent="0.35">
      <c r="A506" s="141"/>
      <c r="B506" s="289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</row>
    <row r="507" spans="1:35" x14ac:dyDescent="0.35">
      <c r="A507" s="141"/>
      <c r="B507" s="289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</row>
    <row r="508" spans="1:35" x14ac:dyDescent="0.35">
      <c r="A508" s="141"/>
      <c r="B508" s="289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</row>
    <row r="509" spans="1:35" x14ac:dyDescent="0.35">
      <c r="A509" s="141"/>
      <c r="B509" s="289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</row>
    <row r="510" spans="1:35" x14ac:dyDescent="0.35">
      <c r="A510" s="141"/>
      <c r="B510" s="289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</row>
    <row r="511" spans="1:35" x14ac:dyDescent="0.35">
      <c r="A511" s="141"/>
      <c r="B511" s="289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</row>
    <row r="512" spans="1:35" x14ac:dyDescent="0.35">
      <c r="A512" s="141"/>
      <c r="B512" s="289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</row>
    <row r="513" spans="1:35" x14ac:dyDescent="0.35">
      <c r="A513" s="141"/>
      <c r="B513" s="289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</row>
    <row r="514" spans="1:35" x14ac:dyDescent="0.35">
      <c r="A514" s="141"/>
      <c r="B514" s="289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</row>
    <row r="515" spans="1:35" x14ac:dyDescent="0.35">
      <c r="A515" s="141"/>
      <c r="B515" s="289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</row>
    <row r="516" spans="1:35" x14ac:dyDescent="0.35">
      <c r="A516" s="141"/>
      <c r="B516" s="289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</row>
    <row r="517" spans="1:35" x14ac:dyDescent="0.35">
      <c r="A517" s="141"/>
      <c r="B517" s="289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</row>
    <row r="518" spans="1:35" x14ac:dyDescent="0.35">
      <c r="A518" s="141"/>
      <c r="B518" s="289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</row>
    <row r="519" spans="1:35" x14ac:dyDescent="0.35">
      <c r="A519" s="141"/>
      <c r="B519" s="289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</row>
    <row r="520" spans="1:35" x14ac:dyDescent="0.35">
      <c r="A520" s="141"/>
      <c r="B520" s="289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</row>
    <row r="521" spans="1:35" x14ac:dyDescent="0.35">
      <c r="A521" s="141"/>
      <c r="B521" s="289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</row>
    <row r="522" spans="1:35" x14ac:dyDescent="0.35">
      <c r="A522" s="141"/>
      <c r="B522" s="289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</row>
    <row r="523" spans="1:35" x14ac:dyDescent="0.35">
      <c r="A523" s="141"/>
      <c r="B523" s="289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</row>
    <row r="524" spans="1:35" x14ac:dyDescent="0.35">
      <c r="A524" s="141"/>
      <c r="B524" s="289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</row>
    <row r="525" spans="1:35" x14ac:dyDescent="0.35">
      <c r="A525" s="141"/>
      <c r="B525" s="289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</row>
    <row r="526" spans="1:35" x14ac:dyDescent="0.35">
      <c r="A526" s="141"/>
      <c r="B526" s="289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</row>
    <row r="527" spans="1:35" x14ac:dyDescent="0.35">
      <c r="A527" s="141"/>
      <c r="B527" s="289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</row>
    <row r="528" spans="1:35" x14ac:dyDescent="0.35">
      <c r="A528" s="141"/>
      <c r="B528" s="289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</row>
    <row r="529" spans="1:35" x14ac:dyDescent="0.35">
      <c r="A529" s="141"/>
      <c r="B529" s="289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</row>
    <row r="530" spans="1:35" x14ac:dyDescent="0.35">
      <c r="A530" s="141"/>
      <c r="B530" s="289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</row>
    <row r="531" spans="1:35" x14ac:dyDescent="0.35">
      <c r="A531" s="141"/>
      <c r="B531" s="289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</row>
    <row r="532" spans="1:35" x14ac:dyDescent="0.35">
      <c r="A532" s="141"/>
      <c r="B532" s="289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</row>
    <row r="533" spans="1:35" x14ac:dyDescent="0.35">
      <c r="A533" s="141"/>
      <c r="B533" s="289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</row>
    <row r="534" spans="1:35" x14ac:dyDescent="0.35">
      <c r="A534" s="141"/>
      <c r="B534" s="289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</row>
    <row r="535" spans="1:35" x14ac:dyDescent="0.35">
      <c r="A535" s="141"/>
      <c r="B535" s="289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</row>
    <row r="536" spans="1:35" x14ac:dyDescent="0.35">
      <c r="A536" s="141"/>
      <c r="B536" s="289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</row>
    <row r="537" spans="1:35" x14ac:dyDescent="0.35">
      <c r="A537" s="141"/>
      <c r="B537" s="289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</row>
    <row r="538" spans="1:35" x14ac:dyDescent="0.35">
      <c r="A538" s="141"/>
      <c r="B538" s="289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</row>
    <row r="539" spans="1:35" x14ac:dyDescent="0.35">
      <c r="A539" s="141"/>
      <c r="B539" s="289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</row>
    <row r="540" spans="1:35" x14ac:dyDescent="0.35">
      <c r="A540" s="141"/>
      <c r="B540" s="289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</row>
    <row r="541" spans="1:35" x14ac:dyDescent="0.35">
      <c r="A541" s="141"/>
      <c r="B541" s="289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</row>
    <row r="542" spans="1:35" x14ac:dyDescent="0.35">
      <c r="A542" s="141"/>
      <c r="B542" s="289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</row>
    <row r="543" spans="1:35" x14ac:dyDescent="0.35">
      <c r="A543" s="141"/>
      <c r="B543" s="289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</row>
    <row r="544" spans="1:35" x14ac:dyDescent="0.35">
      <c r="A544" s="141"/>
      <c r="B544" s="289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</row>
    <row r="545" spans="1:35" x14ac:dyDescent="0.35">
      <c r="A545" s="141"/>
      <c r="B545" s="289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</row>
    <row r="546" spans="1:35" x14ac:dyDescent="0.35">
      <c r="A546" s="141"/>
      <c r="B546" s="289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</row>
    <row r="547" spans="1:35" x14ac:dyDescent="0.35">
      <c r="A547" s="141"/>
      <c r="B547" s="289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</row>
    <row r="548" spans="1:35" x14ac:dyDescent="0.35">
      <c r="A548" s="141"/>
      <c r="B548" s="289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</row>
    <row r="549" spans="1:35" x14ac:dyDescent="0.35">
      <c r="A549" s="141"/>
      <c r="B549" s="289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</row>
    <row r="550" spans="1:35" x14ac:dyDescent="0.35">
      <c r="A550" s="141"/>
      <c r="B550" s="289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</row>
    <row r="551" spans="1:35" x14ac:dyDescent="0.35">
      <c r="A551" s="141"/>
      <c r="B551" s="289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</row>
    <row r="552" spans="1:35" x14ac:dyDescent="0.35">
      <c r="A552" s="141"/>
      <c r="B552" s="289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</row>
    <row r="553" spans="1:35" x14ac:dyDescent="0.35">
      <c r="A553" s="141"/>
      <c r="B553" s="289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</row>
    <row r="554" spans="1:35" x14ac:dyDescent="0.35">
      <c r="A554" s="141"/>
      <c r="B554" s="289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</row>
    <row r="555" spans="1:35" x14ac:dyDescent="0.35">
      <c r="A555" s="141"/>
      <c r="B555" s="289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</row>
    <row r="556" spans="1:35" x14ac:dyDescent="0.35">
      <c r="A556" s="141"/>
      <c r="B556" s="289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</row>
    <row r="557" spans="1:35" x14ac:dyDescent="0.35">
      <c r="A557" s="141"/>
      <c r="B557" s="289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</row>
    <row r="558" spans="1:35" x14ac:dyDescent="0.35">
      <c r="A558" s="141"/>
      <c r="B558" s="289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</row>
    <row r="559" spans="1:35" x14ac:dyDescent="0.35">
      <c r="A559" s="141"/>
      <c r="B559" s="289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</row>
    <row r="560" spans="1:35" x14ac:dyDescent="0.35">
      <c r="A560" s="141"/>
      <c r="B560" s="289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</row>
    <row r="561" spans="1:35" x14ac:dyDescent="0.35">
      <c r="A561" s="141"/>
      <c r="B561" s="289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</row>
    <row r="562" spans="1:35" x14ac:dyDescent="0.35">
      <c r="A562" s="141"/>
      <c r="B562" s="289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</row>
    <row r="563" spans="1:35" x14ac:dyDescent="0.35">
      <c r="A563" s="141"/>
      <c r="B563" s="289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</row>
    <row r="564" spans="1:35" x14ac:dyDescent="0.35">
      <c r="A564" s="141"/>
      <c r="B564" s="289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</row>
    <row r="565" spans="1:35" x14ac:dyDescent="0.35">
      <c r="A565" s="141"/>
      <c r="B565" s="289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</row>
    <row r="566" spans="1:35" x14ac:dyDescent="0.35">
      <c r="A566" s="141"/>
      <c r="B566" s="289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</row>
    <row r="567" spans="1:35" x14ac:dyDescent="0.35">
      <c r="A567" s="141"/>
      <c r="B567" s="289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</row>
    <row r="568" spans="1:35" x14ac:dyDescent="0.35">
      <c r="A568" s="141"/>
      <c r="B568" s="289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</row>
    <row r="569" spans="1:35" x14ac:dyDescent="0.35">
      <c r="A569" s="141"/>
      <c r="B569" s="289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</row>
    <row r="570" spans="1:35" x14ac:dyDescent="0.35">
      <c r="A570" s="141"/>
      <c r="B570" s="289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</row>
    <row r="571" spans="1:35" x14ac:dyDescent="0.35">
      <c r="A571" s="141"/>
      <c r="B571" s="289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</row>
    <row r="572" spans="1:35" x14ac:dyDescent="0.35">
      <c r="A572" s="141"/>
      <c r="B572" s="289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</row>
    <row r="573" spans="1:35" x14ac:dyDescent="0.35">
      <c r="A573" s="141"/>
      <c r="B573" s="289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</row>
    <row r="574" spans="1:35" x14ac:dyDescent="0.35">
      <c r="A574" s="141"/>
      <c r="B574" s="289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</row>
    <row r="575" spans="1:35" x14ac:dyDescent="0.35">
      <c r="A575" s="141"/>
      <c r="B575" s="289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</row>
    <row r="576" spans="1:35" x14ac:dyDescent="0.35">
      <c r="A576" s="141"/>
      <c r="B576" s="289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</row>
    <row r="577" spans="1:35" x14ac:dyDescent="0.35">
      <c r="A577" s="141"/>
      <c r="B577" s="289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</row>
    <row r="578" spans="1:35" x14ac:dyDescent="0.35">
      <c r="A578" s="141"/>
      <c r="B578" s="289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</row>
    <row r="579" spans="1:35" x14ac:dyDescent="0.35">
      <c r="A579" s="141"/>
      <c r="B579" s="289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</row>
    <row r="580" spans="1:35" x14ac:dyDescent="0.35">
      <c r="A580" s="141"/>
      <c r="B580" s="289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</row>
    <row r="581" spans="1:35" x14ac:dyDescent="0.35">
      <c r="A581" s="141"/>
      <c r="B581" s="289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</row>
    <row r="582" spans="1:35" x14ac:dyDescent="0.35">
      <c r="A582" s="141"/>
      <c r="B582" s="289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</row>
    <row r="583" spans="1:35" x14ac:dyDescent="0.35">
      <c r="A583" s="141"/>
      <c r="B583" s="289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</row>
    <row r="584" spans="1:35" x14ac:dyDescent="0.35">
      <c r="A584" s="141"/>
      <c r="B584" s="289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</row>
    <row r="585" spans="1:35" x14ac:dyDescent="0.35">
      <c r="A585" s="141"/>
      <c r="B585" s="289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</row>
    <row r="586" spans="1:35" x14ac:dyDescent="0.35">
      <c r="A586" s="141"/>
      <c r="B586" s="289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</row>
    <row r="587" spans="1:35" x14ac:dyDescent="0.35">
      <c r="A587" s="141"/>
      <c r="B587" s="289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</row>
    <row r="588" spans="1:35" x14ac:dyDescent="0.35">
      <c r="A588" s="141"/>
      <c r="B588" s="289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</row>
    <row r="589" spans="1:35" x14ac:dyDescent="0.35">
      <c r="A589" s="141"/>
      <c r="B589" s="289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</row>
    <row r="590" spans="1:35" x14ac:dyDescent="0.35">
      <c r="A590" s="141"/>
      <c r="B590" s="289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</row>
    <row r="591" spans="1:35" x14ac:dyDescent="0.35">
      <c r="A591" s="141"/>
      <c r="B591" s="289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</row>
    <row r="592" spans="1:35" x14ac:dyDescent="0.35">
      <c r="A592" s="141"/>
      <c r="B592" s="289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</row>
    <row r="593" spans="1:35" x14ac:dyDescent="0.35">
      <c r="A593" s="141"/>
      <c r="B593" s="289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</row>
    <row r="594" spans="1:35" x14ac:dyDescent="0.35">
      <c r="A594" s="141"/>
      <c r="B594" s="289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</row>
    <row r="595" spans="1:35" x14ac:dyDescent="0.35">
      <c r="A595" s="141"/>
      <c r="B595" s="289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</row>
    <row r="596" spans="1:35" x14ac:dyDescent="0.35">
      <c r="A596" s="141"/>
      <c r="B596" s="289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</row>
    <row r="597" spans="1:35" x14ac:dyDescent="0.35">
      <c r="A597" s="141"/>
      <c r="B597" s="289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</row>
    <row r="598" spans="1:35" x14ac:dyDescent="0.35">
      <c r="A598" s="141"/>
      <c r="B598" s="289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</row>
    <row r="599" spans="1:35" x14ac:dyDescent="0.35">
      <c r="A599" s="141"/>
      <c r="B599" s="289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</row>
    <row r="600" spans="1:35" x14ac:dyDescent="0.35">
      <c r="A600" s="141"/>
      <c r="B600" s="289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</row>
    <row r="601" spans="1:35" x14ac:dyDescent="0.35">
      <c r="A601" s="141"/>
      <c r="B601" s="289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</row>
    <row r="602" spans="1:35" x14ac:dyDescent="0.35">
      <c r="A602" s="141"/>
      <c r="B602" s="289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</row>
    <row r="603" spans="1:35" x14ac:dyDescent="0.35">
      <c r="A603" s="141"/>
      <c r="B603" s="289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</row>
    <row r="604" spans="1:35" x14ac:dyDescent="0.35">
      <c r="A604" s="141"/>
      <c r="B604" s="289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</row>
    <row r="605" spans="1:35" x14ac:dyDescent="0.35">
      <c r="A605" s="141"/>
      <c r="B605" s="289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</row>
    <row r="606" spans="1:35" x14ac:dyDescent="0.35">
      <c r="A606" s="141"/>
      <c r="B606" s="289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</row>
    <row r="607" spans="1:35" x14ac:dyDescent="0.35">
      <c r="A607" s="141"/>
      <c r="B607" s="289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</row>
    <row r="608" spans="1:35" x14ac:dyDescent="0.35">
      <c r="A608" s="141"/>
      <c r="B608" s="289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</row>
    <row r="609" spans="1:35" x14ac:dyDescent="0.35">
      <c r="A609" s="141"/>
      <c r="B609" s="289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</row>
    <row r="610" spans="1:35" x14ac:dyDescent="0.35">
      <c r="A610" s="141"/>
      <c r="B610" s="289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</row>
    <row r="611" spans="1:35" x14ac:dyDescent="0.35">
      <c r="A611" s="141"/>
      <c r="B611" s="289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</row>
    <row r="612" spans="1:35" x14ac:dyDescent="0.35">
      <c r="A612" s="141"/>
      <c r="B612" s="289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</row>
    <row r="613" spans="1:35" x14ac:dyDescent="0.35">
      <c r="A613" s="141"/>
      <c r="B613" s="289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</row>
    <row r="614" spans="1:35" x14ac:dyDescent="0.35">
      <c r="A614" s="141"/>
      <c r="B614" s="289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</row>
    <row r="615" spans="1:35" x14ac:dyDescent="0.35">
      <c r="A615" s="141"/>
      <c r="B615" s="289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</row>
    <row r="616" spans="1:35" x14ac:dyDescent="0.35">
      <c r="A616" s="141"/>
      <c r="B616" s="289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</row>
    <row r="617" spans="1:35" x14ac:dyDescent="0.35">
      <c r="A617" s="141"/>
      <c r="B617" s="289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</row>
    <row r="618" spans="1:35" x14ac:dyDescent="0.35">
      <c r="A618" s="141"/>
      <c r="B618" s="289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</row>
    <row r="619" spans="1:35" x14ac:dyDescent="0.35">
      <c r="A619" s="141"/>
      <c r="B619" s="289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</row>
    <row r="620" spans="1:35" x14ac:dyDescent="0.35">
      <c r="A620" s="141"/>
      <c r="B620" s="289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</row>
    <row r="621" spans="1:35" x14ac:dyDescent="0.35">
      <c r="A621" s="141"/>
      <c r="B621" s="289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</row>
    <row r="622" spans="1:35" x14ac:dyDescent="0.35">
      <c r="A622" s="141"/>
      <c r="B622" s="289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</row>
    <row r="623" spans="1:35" x14ac:dyDescent="0.35">
      <c r="A623" s="141"/>
      <c r="B623" s="289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</row>
    <row r="624" spans="1:35" x14ac:dyDescent="0.35">
      <c r="A624" s="141"/>
      <c r="B624" s="289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</row>
    <row r="625" spans="1:35" x14ac:dyDescent="0.35">
      <c r="A625" s="141"/>
      <c r="B625" s="289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</row>
    <row r="626" spans="1:35" x14ac:dyDescent="0.35">
      <c r="A626" s="141"/>
      <c r="B626" s="289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</row>
    <row r="627" spans="1:35" x14ac:dyDescent="0.35">
      <c r="A627" s="141"/>
      <c r="B627" s="289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</row>
    <row r="628" spans="1:35" x14ac:dyDescent="0.35">
      <c r="A628" s="141"/>
      <c r="B628" s="289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</row>
    <row r="629" spans="1:35" x14ac:dyDescent="0.35">
      <c r="A629" s="141"/>
      <c r="B629" s="289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</row>
    <row r="630" spans="1:35" x14ac:dyDescent="0.35">
      <c r="A630" s="141"/>
      <c r="B630" s="289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</row>
    <row r="631" spans="1:35" x14ac:dyDescent="0.35">
      <c r="A631" s="141"/>
      <c r="B631" s="289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</row>
    <row r="632" spans="1:35" x14ac:dyDescent="0.35">
      <c r="A632" s="141"/>
      <c r="B632" s="289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</row>
    <row r="633" spans="1:35" x14ac:dyDescent="0.35">
      <c r="A633" s="141"/>
      <c r="B633" s="289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</row>
    <row r="634" spans="1:35" x14ac:dyDescent="0.35">
      <c r="A634" s="141"/>
      <c r="B634" s="289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</row>
    <row r="635" spans="1:35" x14ac:dyDescent="0.35">
      <c r="A635" s="141"/>
      <c r="B635" s="289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</row>
    <row r="636" spans="1:35" x14ac:dyDescent="0.35">
      <c r="A636" s="141"/>
      <c r="B636" s="289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</row>
    <row r="637" spans="1:35" x14ac:dyDescent="0.35">
      <c r="A637" s="141"/>
      <c r="B637" s="289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</row>
    <row r="638" spans="1:35" x14ac:dyDescent="0.35">
      <c r="A638" s="141"/>
      <c r="B638" s="289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</row>
    <row r="639" spans="1:35" x14ac:dyDescent="0.35">
      <c r="A639" s="141"/>
      <c r="B639" s="289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</row>
    <row r="640" spans="1:35" x14ac:dyDescent="0.35">
      <c r="A640" s="141"/>
      <c r="B640" s="289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</row>
    <row r="641" spans="1:35" x14ac:dyDescent="0.35">
      <c r="A641" s="141"/>
      <c r="B641" s="289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</row>
    <row r="642" spans="1:35" x14ac:dyDescent="0.35">
      <c r="A642" s="141"/>
      <c r="B642" s="289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</row>
    <row r="643" spans="1:35" x14ac:dyDescent="0.35">
      <c r="A643" s="141"/>
      <c r="B643" s="289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</row>
    <row r="644" spans="1:35" x14ac:dyDescent="0.35">
      <c r="A644" s="141"/>
      <c r="B644" s="289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</row>
    <row r="645" spans="1:35" x14ac:dyDescent="0.35">
      <c r="A645" s="141"/>
      <c r="B645" s="289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</row>
    <row r="646" spans="1:35" x14ac:dyDescent="0.35">
      <c r="A646" s="141"/>
      <c r="B646" s="289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</row>
    <row r="647" spans="1:35" x14ac:dyDescent="0.35">
      <c r="A647" s="141"/>
      <c r="B647" s="289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</row>
    <row r="648" spans="1:35" x14ac:dyDescent="0.35">
      <c r="A648" s="141"/>
      <c r="B648" s="289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</row>
    <row r="649" spans="1:35" x14ac:dyDescent="0.35">
      <c r="A649" s="141"/>
      <c r="B649" s="289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</row>
    <row r="650" spans="1:35" x14ac:dyDescent="0.35">
      <c r="A650" s="141"/>
      <c r="B650" s="289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</row>
    <row r="651" spans="1:35" x14ac:dyDescent="0.35">
      <c r="A651" s="141"/>
      <c r="B651" s="289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</row>
    <row r="652" spans="1:35" x14ac:dyDescent="0.35">
      <c r="A652" s="141"/>
      <c r="B652" s="289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</row>
    <row r="653" spans="1:35" x14ac:dyDescent="0.35">
      <c r="A653" s="141"/>
      <c r="B653" s="289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</row>
    <row r="654" spans="1:35" x14ac:dyDescent="0.35">
      <c r="A654" s="141"/>
      <c r="B654" s="289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</row>
    <row r="655" spans="1:35" x14ac:dyDescent="0.35">
      <c r="A655" s="141"/>
      <c r="B655" s="289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</row>
    <row r="656" spans="1:35" x14ac:dyDescent="0.35">
      <c r="A656" s="141"/>
      <c r="B656" s="289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</row>
    <row r="657" spans="1:35" x14ac:dyDescent="0.35">
      <c r="A657" s="141"/>
      <c r="B657" s="289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</row>
    <row r="658" spans="1:35" x14ac:dyDescent="0.35">
      <c r="A658" s="141"/>
      <c r="B658" s="289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</row>
    <row r="659" spans="1:35" x14ac:dyDescent="0.35">
      <c r="A659" s="141"/>
      <c r="B659" s="289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</row>
    <row r="660" spans="1:35" x14ac:dyDescent="0.35">
      <c r="A660" s="141"/>
      <c r="B660" s="289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</row>
    <row r="661" spans="1:35" x14ac:dyDescent="0.35">
      <c r="A661" s="141"/>
      <c r="B661" s="289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</row>
    <row r="662" spans="1:35" x14ac:dyDescent="0.35">
      <c r="A662" s="141"/>
      <c r="B662" s="289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</row>
    <row r="663" spans="1:35" x14ac:dyDescent="0.35">
      <c r="A663" s="141"/>
      <c r="B663" s="289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</row>
    <row r="664" spans="1:35" x14ac:dyDescent="0.35">
      <c r="A664" s="141"/>
      <c r="B664" s="289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</row>
    <row r="665" spans="1:35" x14ac:dyDescent="0.35">
      <c r="A665" s="141"/>
      <c r="B665" s="289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</row>
    <row r="666" spans="1:35" x14ac:dyDescent="0.35">
      <c r="A666" s="141"/>
      <c r="B666" s="289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</row>
    <row r="667" spans="1:35" x14ac:dyDescent="0.35">
      <c r="A667" s="141"/>
      <c r="B667" s="289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</row>
    <row r="668" spans="1:35" x14ac:dyDescent="0.35">
      <c r="A668" s="141"/>
      <c r="B668" s="289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</row>
    <row r="669" spans="1:35" x14ac:dyDescent="0.35">
      <c r="A669" s="141"/>
      <c r="B669" s="289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</row>
    <row r="670" spans="1:35" x14ac:dyDescent="0.35">
      <c r="A670" s="141"/>
      <c r="B670" s="289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</row>
    <row r="671" spans="1:35" x14ac:dyDescent="0.35">
      <c r="A671" s="141"/>
      <c r="B671" s="289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</row>
    <row r="672" spans="1:35" x14ac:dyDescent="0.35">
      <c r="A672" s="141"/>
      <c r="B672" s="289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</row>
    <row r="673" spans="1:35" x14ac:dyDescent="0.35">
      <c r="A673" s="141"/>
      <c r="B673" s="289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</row>
    <row r="674" spans="1:35" x14ac:dyDescent="0.35">
      <c r="A674" s="141"/>
      <c r="B674" s="289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</row>
    <row r="675" spans="1:35" x14ac:dyDescent="0.35">
      <c r="A675" s="141"/>
      <c r="B675" s="289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</row>
    <row r="676" spans="1:35" x14ac:dyDescent="0.35">
      <c r="A676" s="141"/>
      <c r="B676" s="289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</row>
    <row r="677" spans="1:35" x14ac:dyDescent="0.35">
      <c r="A677" s="141"/>
      <c r="B677" s="289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</row>
    <row r="678" spans="1:35" x14ac:dyDescent="0.35">
      <c r="A678" s="141"/>
      <c r="B678" s="289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</row>
    <row r="679" spans="1:35" x14ac:dyDescent="0.35">
      <c r="A679" s="141"/>
      <c r="B679" s="289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</row>
    <row r="680" spans="1:35" x14ac:dyDescent="0.35">
      <c r="A680" s="141"/>
      <c r="B680" s="289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</row>
    <row r="681" spans="1:35" x14ac:dyDescent="0.35">
      <c r="A681" s="141"/>
      <c r="B681" s="289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</row>
    <row r="682" spans="1:35" x14ac:dyDescent="0.35">
      <c r="A682" s="141"/>
      <c r="B682" s="289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</row>
    <row r="683" spans="1:35" x14ac:dyDescent="0.35">
      <c r="A683" s="141"/>
      <c r="B683" s="289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</row>
    <row r="684" spans="1:35" x14ac:dyDescent="0.35">
      <c r="A684" s="141"/>
      <c r="B684" s="289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</row>
    <row r="685" spans="1:35" x14ac:dyDescent="0.35">
      <c r="A685" s="141"/>
      <c r="B685" s="289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</row>
    <row r="686" spans="1:35" x14ac:dyDescent="0.35">
      <c r="A686" s="141"/>
      <c r="B686" s="289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</row>
    <row r="687" spans="1:35" x14ac:dyDescent="0.35">
      <c r="A687" s="141"/>
      <c r="B687" s="289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</row>
    <row r="688" spans="1:35" x14ac:dyDescent="0.35">
      <c r="A688" s="141"/>
      <c r="B688" s="289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</row>
    <row r="689" spans="1:35" x14ac:dyDescent="0.35">
      <c r="A689" s="141"/>
      <c r="B689" s="289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</row>
    <row r="690" spans="1:35" x14ac:dyDescent="0.35">
      <c r="A690" s="141"/>
      <c r="B690" s="289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</row>
    <row r="691" spans="1:35" x14ac:dyDescent="0.35">
      <c r="A691" s="141"/>
      <c r="B691" s="289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</row>
    <row r="692" spans="1:35" x14ac:dyDescent="0.35">
      <c r="A692" s="141"/>
      <c r="B692" s="289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</row>
    <row r="693" spans="1:35" x14ac:dyDescent="0.35">
      <c r="A693" s="141"/>
      <c r="B693" s="289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</row>
    <row r="694" spans="1:35" x14ac:dyDescent="0.35">
      <c r="A694" s="141"/>
      <c r="B694" s="289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</row>
    <row r="695" spans="1:35" x14ac:dyDescent="0.35">
      <c r="A695" s="141"/>
      <c r="B695" s="289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</row>
    <row r="696" spans="1:35" x14ac:dyDescent="0.35">
      <c r="A696" s="141"/>
      <c r="B696" s="289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</row>
    <row r="697" spans="1:35" x14ac:dyDescent="0.35">
      <c r="A697" s="141"/>
      <c r="B697" s="289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</row>
    <row r="698" spans="1:35" x14ac:dyDescent="0.35">
      <c r="A698" s="141"/>
      <c r="B698" s="289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</row>
    <row r="699" spans="1:35" x14ac:dyDescent="0.35">
      <c r="A699" s="141"/>
      <c r="B699" s="289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</row>
    <row r="700" spans="1:35" x14ac:dyDescent="0.35">
      <c r="A700" s="141"/>
      <c r="B700" s="289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</row>
    <row r="701" spans="1:35" x14ac:dyDescent="0.35">
      <c r="A701" s="141"/>
      <c r="B701" s="289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</row>
    <row r="702" spans="1:35" x14ac:dyDescent="0.35">
      <c r="A702" s="141"/>
      <c r="B702" s="289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</row>
    <row r="703" spans="1:35" x14ac:dyDescent="0.35">
      <c r="A703" s="141"/>
      <c r="B703" s="289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</row>
    <row r="704" spans="1:35" x14ac:dyDescent="0.35">
      <c r="A704" s="141"/>
      <c r="B704" s="289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</row>
    <row r="705" spans="1:35" x14ac:dyDescent="0.35">
      <c r="A705" s="141"/>
      <c r="B705" s="289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</row>
    <row r="706" spans="1:35" x14ac:dyDescent="0.35">
      <c r="A706" s="141"/>
      <c r="B706" s="289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</row>
    <row r="707" spans="1:35" x14ac:dyDescent="0.35">
      <c r="A707" s="141"/>
      <c r="B707" s="289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</row>
    <row r="708" spans="1:35" x14ac:dyDescent="0.35">
      <c r="A708" s="141"/>
      <c r="B708" s="289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</row>
    <row r="709" spans="1:35" x14ac:dyDescent="0.35">
      <c r="A709" s="141"/>
      <c r="B709" s="289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</row>
    <row r="710" spans="1:35" x14ac:dyDescent="0.35">
      <c r="A710" s="141"/>
      <c r="B710" s="289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</row>
    <row r="711" spans="1:35" x14ac:dyDescent="0.35">
      <c r="A711" s="141"/>
      <c r="B711" s="289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</row>
    <row r="712" spans="1:35" x14ac:dyDescent="0.35">
      <c r="A712" s="141"/>
      <c r="B712" s="289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</row>
    <row r="713" spans="1:35" x14ac:dyDescent="0.35">
      <c r="A713" s="141"/>
      <c r="B713" s="289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</row>
    <row r="714" spans="1:35" x14ac:dyDescent="0.35">
      <c r="A714" s="141"/>
      <c r="B714" s="289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</row>
    <row r="715" spans="1:35" x14ac:dyDescent="0.35">
      <c r="A715" s="141"/>
      <c r="B715" s="289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</row>
    <row r="716" spans="1:35" x14ac:dyDescent="0.35">
      <c r="A716" s="141"/>
      <c r="B716" s="289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</row>
    <row r="717" spans="1:35" x14ac:dyDescent="0.35">
      <c r="A717" s="141"/>
      <c r="B717" s="289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</row>
    <row r="718" spans="1:35" x14ac:dyDescent="0.35">
      <c r="A718" s="141"/>
      <c r="B718" s="289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</row>
    <row r="719" spans="1:35" x14ac:dyDescent="0.35">
      <c r="A719" s="141"/>
      <c r="B719" s="289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</row>
    <row r="720" spans="1:35" x14ac:dyDescent="0.35">
      <c r="A720" s="141"/>
      <c r="B720" s="289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</row>
    <row r="721" spans="1:35" x14ac:dyDescent="0.35">
      <c r="A721" s="141"/>
      <c r="B721" s="289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</row>
    <row r="722" spans="1:35" x14ac:dyDescent="0.35">
      <c r="A722" s="141"/>
      <c r="B722" s="289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</row>
    <row r="723" spans="1:35" x14ac:dyDescent="0.35">
      <c r="A723" s="141"/>
      <c r="B723" s="289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</row>
    <row r="724" spans="1:35" x14ac:dyDescent="0.35">
      <c r="A724" s="141"/>
      <c r="B724" s="289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</row>
    <row r="725" spans="1:35" x14ac:dyDescent="0.35">
      <c r="A725" s="141"/>
      <c r="B725" s="289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</row>
    <row r="726" spans="1:35" x14ac:dyDescent="0.35">
      <c r="A726" s="141"/>
      <c r="B726" s="289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</row>
    <row r="727" spans="1:35" x14ac:dyDescent="0.35">
      <c r="A727" s="141"/>
      <c r="B727" s="289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</row>
    <row r="728" spans="1:35" x14ac:dyDescent="0.35">
      <c r="A728" s="141"/>
      <c r="B728" s="289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</row>
    <row r="729" spans="1:35" x14ac:dyDescent="0.35">
      <c r="A729" s="141"/>
      <c r="B729" s="289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</row>
    <row r="730" spans="1:35" x14ac:dyDescent="0.35">
      <c r="A730" s="141"/>
      <c r="B730" s="289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</row>
    <row r="731" spans="1:35" x14ac:dyDescent="0.35">
      <c r="A731" s="141"/>
      <c r="B731" s="289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</row>
    <row r="732" spans="1:35" x14ac:dyDescent="0.35">
      <c r="A732" s="141"/>
      <c r="B732" s="289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</row>
    <row r="733" spans="1:35" x14ac:dyDescent="0.35">
      <c r="A733" s="141"/>
      <c r="B733" s="289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</row>
    <row r="734" spans="1:35" x14ac:dyDescent="0.35">
      <c r="A734" s="141"/>
      <c r="B734" s="289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</row>
    <row r="735" spans="1:35" x14ac:dyDescent="0.35">
      <c r="A735" s="141"/>
      <c r="B735" s="289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</row>
    <row r="736" spans="1:35" x14ac:dyDescent="0.35">
      <c r="A736" s="141"/>
      <c r="B736" s="289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</row>
    <row r="737" spans="1:35" x14ac:dyDescent="0.35">
      <c r="A737" s="141"/>
      <c r="B737" s="289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</row>
    <row r="738" spans="1:35" x14ac:dyDescent="0.35">
      <c r="A738" s="141"/>
      <c r="B738" s="289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</row>
    <row r="739" spans="1:35" x14ac:dyDescent="0.35">
      <c r="A739" s="141"/>
      <c r="B739" s="289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</row>
    <row r="740" spans="1:35" x14ac:dyDescent="0.35">
      <c r="A740" s="141"/>
      <c r="B740" s="289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</row>
    <row r="741" spans="1:35" x14ac:dyDescent="0.35">
      <c r="A741" s="141"/>
      <c r="B741" s="289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</row>
    <row r="742" spans="1:35" x14ac:dyDescent="0.35">
      <c r="A742" s="141"/>
      <c r="B742" s="289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</row>
    <row r="743" spans="1:35" x14ac:dyDescent="0.35">
      <c r="A743" s="141"/>
      <c r="B743" s="289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</row>
    <row r="744" spans="1:35" x14ac:dyDescent="0.35">
      <c r="A744" s="141"/>
      <c r="B744" s="289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</row>
    <row r="745" spans="1:35" x14ac:dyDescent="0.35">
      <c r="A745" s="141"/>
      <c r="B745" s="289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</row>
    <row r="746" spans="1:35" x14ac:dyDescent="0.35">
      <c r="A746" s="141"/>
      <c r="B746" s="289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</row>
    <row r="747" spans="1:35" x14ac:dyDescent="0.35">
      <c r="A747" s="141"/>
      <c r="B747" s="289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</row>
    <row r="748" spans="1:35" x14ac:dyDescent="0.35">
      <c r="A748" s="141"/>
      <c r="B748" s="289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</row>
    <row r="749" spans="1:35" x14ac:dyDescent="0.35">
      <c r="A749" s="141"/>
      <c r="B749" s="289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</row>
    <row r="750" spans="1:35" x14ac:dyDescent="0.35">
      <c r="A750" s="141"/>
      <c r="B750" s="289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  <c r="AH750" s="141"/>
      <c r="AI750" s="141"/>
    </row>
    <row r="751" spans="1:35" x14ac:dyDescent="0.35">
      <c r="A751" s="141"/>
      <c r="B751" s="289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</row>
    <row r="752" spans="1:35" x14ac:dyDescent="0.35">
      <c r="A752" s="141"/>
      <c r="B752" s="289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  <c r="AH752" s="141"/>
      <c r="AI752" s="141"/>
    </row>
    <row r="753" spans="1:35" x14ac:dyDescent="0.35">
      <c r="A753" s="141"/>
      <c r="B753" s="289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  <c r="AH753" s="141"/>
      <c r="AI753" s="141"/>
    </row>
    <row r="754" spans="1:35" x14ac:dyDescent="0.35">
      <c r="A754" s="141"/>
      <c r="B754" s="289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  <c r="AH754" s="141"/>
      <c r="AI754" s="141"/>
    </row>
    <row r="755" spans="1:35" x14ac:dyDescent="0.35">
      <c r="A755" s="141"/>
      <c r="B755" s="289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</row>
    <row r="756" spans="1:35" x14ac:dyDescent="0.35">
      <c r="A756" s="141"/>
      <c r="B756" s="289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  <c r="AH756" s="141"/>
      <c r="AI756" s="141"/>
    </row>
    <row r="757" spans="1:35" x14ac:dyDescent="0.35">
      <c r="A757" s="141"/>
      <c r="B757" s="289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  <c r="AH757" s="141"/>
      <c r="AI757" s="141"/>
    </row>
    <row r="758" spans="1:35" x14ac:dyDescent="0.35">
      <c r="A758" s="141"/>
      <c r="B758" s="289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  <c r="AH758" s="141"/>
      <c r="AI758" s="141"/>
    </row>
    <row r="759" spans="1:35" x14ac:dyDescent="0.35">
      <c r="A759" s="141"/>
      <c r="B759" s="289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  <c r="AH759" s="141"/>
      <c r="AI759" s="141"/>
    </row>
    <row r="760" spans="1:35" x14ac:dyDescent="0.35">
      <c r="A760" s="141"/>
      <c r="B760" s="289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  <c r="AH760" s="141"/>
      <c r="AI760" s="141"/>
    </row>
    <row r="761" spans="1:35" x14ac:dyDescent="0.35">
      <c r="A761" s="141"/>
      <c r="B761" s="289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</row>
    <row r="762" spans="1:35" x14ac:dyDescent="0.35">
      <c r="A762" s="141"/>
      <c r="B762" s="289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  <c r="AH762" s="141"/>
      <c r="AI762" s="141"/>
    </row>
    <row r="763" spans="1:35" x14ac:dyDescent="0.35">
      <c r="A763" s="141"/>
      <c r="B763" s="289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</row>
    <row r="764" spans="1:35" x14ac:dyDescent="0.35">
      <c r="A764" s="141"/>
      <c r="B764" s="289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  <c r="AH764" s="141"/>
      <c r="AI764" s="141"/>
    </row>
    <row r="765" spans="1:35" x14ac:dyDescent="0.35">
      <c r="A765" s="141"/>
      <c r="B765" s="289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</row>
    <row r="766" spans="1:35" x14ac:dyDescent="0.35">
      <c r="A766" s="141"/>
      <c r="B766" s="289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  <c r="AH766" s="141"/>
      <c r="AI766" s="141"/>
    </row>
    <row r="767" spans="1:35" x14ac:dyDescent="0.35">
      <c r="A767" s="141"/>
      <c r="B767" s="289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</row>
    <row r="768" spans="1:35" x14ac:dyDescent="0.35">
      <c r="A768" s="141"/>
      <c r="B768" s="289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  <c r="AH768" s="141"/>
      <c r="AI768" s="141"/>
    </row>
    <row r="769" spans="1:35" x14ac:dyDescent="0.35">
      <c r="A769" s="141"/>
      <c r="B769" s="289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</row>
    <row r="770" spans="1:35" x14ac:dyDescent="0.35">
      <c r="A770" s="141"/>
      <c r="B770" s="289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  <c r="AH770" s="141"/>
      <c r="AI770" s="141"/>
    </row>
    <row r="771" spans="1:35" x14ac:dyDescent="0.35">
      <c r="A771" s="141"/>
      <c r="B771" s="289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</row>
    <row r="772" spans="1:35" x14ac:dyDescent="0.35">
      <c r="A772" s="141"/>
      <c r="B772" s="289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  <c r="AH772" s="141"/>
      <c r="AI772" s="141"/>
    </row>
    <row r="773" spans="1:35" x14ac:dyDescent="0.35">
      <c r="A773" s="141"/>
      <c r="B773" s="289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</row>
    <row r="774" spans="1:35" x14ac:dyDescent="0.35">
      <c r="A774" s="141"/>
      <c r="B774" s="289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  <c r="AH774" s="141"/>
      <c r="AI774" s="141"/>
    </row>
    <row r="775" spans="1:35" x14ac:dyDescent="0.35">
      <c r="A775" s="141"/>
      <c r="B775" s="289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</row>
    <row r="776" spans="1:35" x14ac:dyDescent="0.35">
      <c r="A776" s="141"/>
      <c r="B776" s="289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  <c r="AH776" s="141"/>
      <c r="AI776" s="141"/>
    </row>
    <row r="777" spans="1:35" x14ac:dyDescent="0.35">
      <c r="A777" s="141"/>
      <c r="B777" s="289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</row>
    <row r="778" spans="1:35" x14ac:dyDescent="0.35">
      <c r="A778" s="141"/>
      <c r="B778" s="289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  <c r="AH778" s="141"/>
      <c r="AI778" s="141"/>
    </row>
    <row r="779" spans="1:35" x14ac:dyDescent="0.35">
      <c r="A779" s="141"/>
      <c r="B779" s="289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  <c r="AH779" s="141"/>
      <c r="AI779" s="141"/>
    </row>
    <row r="780" spans="1:35" x14ac:dyDescent="0.35">
      <c r="A780" s="141"/>
      <c r="B780" s="289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  <c r="AH780" s="141"/>
      <c r="AI780" s="141"/>
    </row>
    <row r="781" spans="1:35" x14ac:dyDescent="0.35">
      <c r="A781" s="141"/>
      <c r="B781" s="289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</row>
    <row r="782" spans="1:35" x14ac:dyDescent="0.35">
      <c r="A782" s="141"/>
      <c r="B782" s="289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  <c r="AH782" s="141"/>
      <c r="AI782" s="141"/>
    </row>
    <row r="783" spans="1:35" x14ac:dyDescent="0.35">
      <c r="A783" s="141"/>
      <c r="B783" s="289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</row>
    <row r="784" spans="1:35" x14ac:dyDescent="0.35">
      <c r="A784" s="141"/>
      <c r="B784" s="289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  <c r="AH784" s="141"/>
      <c r="AI784" s="141"/>
    </row>
    <row r="785" spans="1:35" x14ac:dyDescent="0.35">
      <c r="A785" s="141"/>
      <c r="B785" s="289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  <c r="AH785" s="141"/>
      <c r="AI785" s="141"/>
    </row>
    <row r="786" spans="1:35" x14ac:dyDescent="0.35">
      <c r="A786" s="141"/>
      <c r="B786" s="289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  <c r="AH786" s="141"/>
      <c r="AI786" s="141"/>
    </row>
    <row r="787" spans="1:35" x14ac:dyDescent="0.35">
      <c r="A787" s="141"/>
      <c r="B787" s="289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</row>
    <row r="788" spans="1:35" x14ac:dyDescent="0.35">
      <c r="A788" s="141"/>
      <c r="B788" s="289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</row>
    <row r="789" spans="1:35" x14ac:dyDescent="0.35">
      <c r="A789" s="141"/>
      <c r="B789" s="289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</row>
    <row r="790" spans="1:35" x14ac:dyDescent="0.35">
      <c r="A790" s="141"/>
      <c r="B790" s="289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</row>
    <row r="791" spans="1:35" x14ac:dyDescent="0.35">
      <c r="A791" s="141"/>
      <c r="B791" s="289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</row>
    <row r="792" spans="1:35" x14ac:dyDescent="0.35">
      <c r="A792" s="141"/>
      <c r="B792" s="289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</row>
    <row r="793" spans="1:35" x14ac:dyDescent="0.35">
      <c r="A793" s="141"/>
      <c r="B793" s="289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</row>
    <row r="794" spans="1:35" x14ac:dyDescent="0.35">
      <c r="A794" s="141"/>
      <c r="B794" s="289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</row>
    <row r="795" spans="1:35" x14ac:dyDescent="0.35">
      <c r="A795" s="141"/>
      <c r="B795" s="289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</row>
    <row r="796" spans="1:35" x14ac:dyDescent="0.35">
      <c r="A796" s="141"/>
      <c r="B796" s="289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</row>
    <row r="797" spans="1:35" x14ac:dyDescent="0.35">
      <c r="A797" s="141"/>
      <c r="B797" s="289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</row>
    <row r="798" spans="1:35" x14ac:dyDescent="0.35">
      <c r="A798" s="141"/>
      <c r="B798" s="289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  <c r="AH798" s="141"/>
      <c r="AI798" s="141"/>
    </row>
    <row r="799" spans="1:35" x14ac:dyDescent="0.35">
      <c r="A799" s="141"/>
      <c r="B799" s="289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</row>
    <row r="800" spans="1:35" x14ac:dyDescent="0.35">
      <c r="A800" s="141"/>
      <c r="B800" s="289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  <c r="AH800" s="141"/>
      <c r="AI800" s="141"/>
    </row>
    <row r="801" spans="1:35" x14ac:dyDescent="0.35">
      <c r="A801" s="141"/>
      <c r="B801" s="289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</row>
    <row r="802" spans="1:35" x14ac:dyDescent="0.35">
      <c r="A802" s="141"/>
      <c r="B802" s="289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  <c r="AH802" s="141"/>
      <c r="AI802" s="141"/>
    </row>
    <row r="803" spans="1:35" x14ac:dyDescent="0.35">
      <c r="A803" s="141"/>
      <c r="B803" s="289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</row>
    <row r="804" spans="1:35" x14ac:dyDescent="0.35">
      <c r="A804" s="141"/>
      <c r="B804" s="289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  <c r="AH804" s="141"/>
      <c r="AI804" s="141"/>
    </row>
    <row r="805" spans="1:35" x14ac:dyDescent="0.35">
      <c r="A805" s="141"/>
      <c r="B805" s="289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</row>
    <row r="806" spans="1:35" x14ac:dyDescent="0.35">
      <c r="A806" s="141"/>
      <c r="B806" s="289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  <c r="AH806" s="141"/>
      <c r="AI806" s="141"/>
    </row>
    <row r="807" spans="1:35" x14ac:dyDescent="0.35">
      <c r="A807" s="141"/>
      <c r="B807" s="289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</row>
    <row r="808" spans="1:35" x14ac:dyDescent="0.35">
      <c r="A808" s="141"/>
      <c r="B808" s="289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  <c r="AH808" s="141"/>
      <c r="AI808" s="141"/>
    </row>
    <row r="809" spans="1:35" x14ac:dyDescent="0.35">
      <c r="A809" s="141"/>
      <c r="B809" s="289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  <c r="AH809" s="141"/>
      <c r="AI809" s="141"/>
    </row>
    <row r="810" spans="1:35" x14ac:dyDescent="0.35">
      <c r="A810" s="141"/>
      <c r="B810" s="289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  <c r="AH810" s="141"/>
      <c r="AI810" s="141"/>
    </row>
    <row r="811" spans="1:35" x14ac:dyDescent="0.35">
      <c r="A811" s="141"/>
      <c r="B811" s="289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</row>
    <row r="812" spans="1:35" x14ac:dyDescent="0.35">
      <c r="A812" s="141"/>
      <c r="B812" s="289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  <c r="AH812" s="141"/>
      <c r="AI812" s="141"/>
    </row>
    <row r="813" spans="1:35" x14ac:dyDescent="0.35">
      <c r="A813" s="141"/>
      <c r="B813" s="289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  <c r="AH813" s="141"/>
      <c r="AI813" s="141"/>
    </row>
    <row r="814" spans="1:35" x14ac:dyDescent="0.35">
      <c r="A814" s="141"/>
      <c r="B814" s="289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  <c r="AH814" s="141"/>
      <c r="AI814" s="141"/>
    </row>
    <row r="815" spans="1:35" x14ac:dyDescent="0.35">
      <c r="A815" s="141"/>
      <c r="B815" s="289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  <c r="AH815" s="141"/>
      <c r="AI815" s="141"/>
    </row>
    <row r="816" spans="1:35" x14ac:dyDescent="0.35">
      <c r="A816" s="141"/>
      <c r="B816" s="289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</row>
    <row r="817" spans="1:35" x14ac:dyDescent="0.35">
      <c r="A817" s="141"/>
      <c r="B817" s="289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  <c r="AH817" s="141"/>
      <c r="AI817" s="141"/>
    </row>
    <row r="818" spans="1:35" x14ac:dyDescent="0.35">
      <c r="A818" s="141"/>
      <c r="B818" s="289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</row>
    <row r="819" spans="1:35" x14ac:dyDescent="0.35">
      <c r="A819" s="141"/>
      <c r="B819" s="289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  <c r="AH819" s="141"/>
      <c r="AI819" s="141"/>
    </row>
    <row r="820" spans="1:35" x14ac:dyDescent="0.35">
      <c r="A820" s="141"/>
      <c r="B820" s="289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</row>
    <row r="821" spans="1:35" x14ac:dyDescent="0.35">
      <c r="A821" s="141"/>
      <c r="B821" s="289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  <c r="AH821" s="141"/>
      <c r="AI821" s="141"/>
    </row>
    <row r="822" spans="1:35" x14ac:dyDescent="0.35">
      <c r="A822" s="141"/>
      <c r="B822" s="289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</row>
    <row r="823" spans="1:35" x14ac:dyDescent="0.35">
      <c r="A823" s="141"/>
      <c r="B823" s="289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  <c r="AH823" s="141"/>
      <c r="AI823" s="141"/>
    </row>
    <row r="824" spans="1:35" x14ac:dyDescent="0.35">
      <c r="A824" s="141"/>
      <c r="B824" s="289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</row>
    <row r="825" spans="1:35" x14ac:dyDescent="0.35">
      <c r="A825" s="141"/>
      <c r="B825" s="289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  <c r="AH825" s="141"/>
      <c r="AI825" s="141"/>
    </row>
    <row r="826" spans="1:35" x14ac:dyDescent="0.35">
      <c r="A826" s="141"/>
      <c r="B826" s="289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</row>
    <row r="827" spans="1:35" x14ac:dyDescent="0.35">
      <c r="A827" s="141"/>
      <c r="B827" s="289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  <c r="AH827" s="141"/>
      <c r="AI827" s="141"/>
    </row>
    <row r="828" spans="1:35" x14ac:dyDescent="0.35">
      <c r="A828" s="141"/>
      <c r="B828" s="289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  <c r="AH828" s="141"/>
      <c r="AI828" s="141"/>
    </row>
    <row r="829" spans="1:35" x14ac:dyDescent="0.35">
      <c r="A829" s="141"/>
      <c r="B829" s="289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  <c r="AH829" s="141"/>
      <c r="AI829" s="141"/>
    </row>
    <row r="830" spans="1:35" x14ac:dyDescent="0.35">
      <c r="A830" s="141"/>
      <c r="B830" s="289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</row>
    <row r="831" spans="1:35" x14ac:dyDescent="0.35">
      <c r="A831" s="141"/>
      <c r="B831" s="289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  <c r="AH831" s="141"/>
      <c r="AI831" s="141"/>
    </row>
    <row r="832" spans="1:35" x14ac:dyDescent="0.35">
      <c r="A832" s="141"/>
      <c r="B832" s="289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  <c r="AH832" s="141"/>
      <c r="AI832" s="141"/>
    </row>
    <row r="833" spans="1:35" x14ac:dyDescent="0.35">
      <c r="A833" s="141"/>
      <c r="B833" s="289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</row>
    <row r="834" spans="1:35" x14ac:dyDescent="0.35">
      <c r="A834" s="141"/>
      <c r="B834" s="289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  <c r="AH834" s="141"/>
      <c r="AI834" s="141"/>
    </row>
    <row r="835" spans="1:35" x14ac:dyDescent="0.35">
      <c r="A835" s="141"/>
      <c r="B835" s="289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</row>
    <row r="836" spans="1:35" x14ac:dyDescent="0.35">
      <c r="A836" s="141"/>
      <c r="B836" s="289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  <c r="AH836" s="141"/>
      <c r="AI836" s="141"/>
    </row>
    <row r="837" spans="1:35" x14ac:dyDescent="0.35">
      <c r="A837" s="141"/>
      <c r="B837" s="289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</row>
    <row r="838" spans="1:35" x14ac:dyDescent="0.35">
      <c r="A838" s="141"/>
      <c r="B838" s="289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  <c r="AH838" s="141"/>
      <c r="AI838" s="141"/>
    </row>
    <row r="839" spans="1:35" x14ac:dyDescent="0.35">
      <c r="A839" s="141"/>
      <c r="B839" s="289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  <c r="AH839" s="141"/>
      <c r="AI839" s="141"/>
    </row>
    <row r="840" spans="1:35" x14ac:dyDescent="0.35">
      <c r="A840" s="141"/>
      <c r="B840" s="289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  <c r="AH840" s="141"/>
      <c r="AI840" s="141"/>
    </row>
    <row r="841" spans="1:35" x14ac:dyDescent="0.35">
      <c r="A841" s="141"/>
      <c r="B841" s="289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  <c r="AH841" s="141"/>
      <c r="AI841" s="141"/>
    </row>
    <row r="842" spans="1:35" x14ac:dyDescent="0.35">
      <c r="A842" s="141"/>
      <c r="B842" s="289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</row>
    <row r="843" spans="1:35" x14ac:dyDescent="0.35">
      <c r="A843" s="141"/>
      <c r="B843" s="289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  <c r="AH843" s="141"/>
      <c r="AI843" s="141"/>
    </row>
    <row r="844" spans="1:35" x14ac:dyDescent="0.35">
      <c r="A844" s="141"/>
      <c r="B844" s="289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</row>
    <row r="845" spans="1:35" x14ac:dyDescent="0.35">
      <c r="A845" s="141"/>
      <c r="B845" s="289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  <c r="AH845" s="141"/>
      <c r="AI845" s="141"/>
    </row>
    <row r="846" spans="1:35" x14ac:dyDescent="0.35">
      <c r="A846" s="141"/>
      <c r="B846" s="289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  <c r="AH846" s="141"/>
      <c r="AI846" s="141"/>
    </row>
    <row r="847" spans="1:35" x14ac:dyDescent="0.35">
      <c r="A847" s="141"/>
      <c r="B847" s="289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  <c r="AH847" s="141"/>
      <c r="AI847" s="141"/>
    </row>
    <row r="848" spans="1:35" x14ac:dyDescent="0.35">
      <c r="A848" s="141"/>
      <c r="B848" s="289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</row>
    <row r="849" spans="1:35" x14ac:dyDescent="0.35">
      <c r="A849" s="141"/>
      <c r="B849" s="289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  <c r="AH849" s="141"/>
      <c r="AI849" s="141"/>
    </row>
    <row r="850" spans="1:35" x14ac:dyDescent="0.35">
      <c r="A850" s="141"/>
      <c r="B850" s="289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  <c r="AH850" s="141"/>
      <c r="AI850" s="141"/>
    </row>
    <row r="851" spans="1:35" x14ac:dyDescent="0.35">
      <c r="A851" s="141"/>
      <c r="B851" s="289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</row>
    <row r="852" spans="1:35" x14ac:dyDescent="0.35">
      <c r="A852" s="141"/>
      <c r="B852" s="289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  <c r="AH852" s="141"/>
      <c r="AI852" s="141"/>
    </row>
    <row r="853" spans="1:35" x14ac:dyDescent="0.35">
      <c r="A853" s="141"/>
      <c r="B853" s="289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</row>
    <row r="854" spans="1:35" x14ac:dyDescent="0.35">
      <c r="A854" s="141"/>
      <c r="B854" s="289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  <c r="AH854" s="141"/>
      <c r="AI854" s="141"/>
    </row>
    <row r="855" spans="1:35" x14ac:dyDescent="0.35">
      <c r="A855" s="141"/>
      <c r="B855" s="289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  <c r="AH855" s="141"/>
      <c r="AI855" s="141"/>
    </row>
    <row r="856" spans="1:35" x14ac:dyDescent="0.35">
      <c r="A856" s="141"/>
      <c r="B856" s="289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  <c r="AH856" s="141"/>
      <c r="AI856" s="141"/>
    </row>
    <row r="857" spans="1:35" x14ac:dyDescent="0.35">
      <c r="A857" s="141"/>
      <c r="B857" s="289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</row>
    <row r="858" spans="1:35" x14ac:dyDescent="0.35">
      <c r="A858" s="141"/>
      <c r="B858" s="289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  <c r="AH858" s="141"/>
      <c r="AI858" s="141"/>
    </row>
    <row r="859" spans="1:35" x14ac:dyDescent="0.35">
      <c r="A859" s="141"/>
      <c r="B859" s="289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</row>
    <row r="860" spans="1:35" x14ac:dyDescent="0.35">
      <c r="A860" s="141"/>
      <c r="B860" s="289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  <c r="AH860" s="141"/>
      <c r="AI860" s="141"/>
    </row>
    <row r="861" spans="1:35" x14ac:dyDescent="0.35">
      <c r="A861" s="141"/>
      <c r="B861" s="289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</row>
    <row r="862" spans="1:35" x14ac:dyDescent="0.35">
      <c r="A862" s="141"/>
      <c r="B862" s="289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  <c r="AH862" s="141"/>
      <c r="AI862" s="141"/>
    </row>
    <row r="863" spans="1:35" x14ac:dyDescent="0.35">
      <c r="A863" s="141"/>
      <c r="B863" s="289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  <c r="AH863" s="141"/>
      <c r="AI863" s="141"/>
    </row>
    <row r="864" spans="1:35" x14ac:dyDescent="0.35">
      <c r="A864" s="141"/>
      <c r="B864" s="289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</row>
    <row r="865" spans="1:35" x14ac:dyDescent="0.35">
      <c r="A865" s="141"/>
      <c r="B865" s="289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  <c r="AH865" s="141"/>
      <c r="AI865" s="141"/>
    </row>
    <row r="866" spans="1:35" x14ac:dyDescent="0.35">
      <c r="A866" s="141"/>
      <c r="B866" s="289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</row>
    <row r="867" spans="1:35" x14ac:dyDescent="0.35">
      <c r="A867" s="141"/>
      <c r="B867" s="289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  <c r="AH867" s="141"/>
      <c r="AI867" s="141"/>
    </row>
    <row r="868" spans="1:35" x14ac:dyDescent="0.35">
      <c r="A868" s="141"/>
      <c r="B868" s="289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  <c r="AH868" s="141"/>
      <c r="AI868" s="141"/>
    </row>
    <row r="869" spans="1:35" x14ac:dyDescent="0.35">
      <c r="A869" s="141"/>
      <c r="B869" s="289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  <c r="AH869" s="141"/>
      <c r="AI869" s="141"/>
    </row>
    <row r="870" spans="1:35" x14ac:dyDescent="0.35">
      <c r="A870" s="141"/>
      <c r="B870" s="289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  <c r="AH870" s="141"/>
      <c r="AI870" s="141"/>
    </row>
    <row r="871" spans="1:35" x14ac:dyDescent="0.35">
      <c r="A871" s="141"/>
      <c r="B871" s="289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</row>
    <row r="872" spans="1:35" x14ac:dyDescent="0.35">
      <c r="A872" s="141"/>
      <c r="B872" s="289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  <c r="AH872" s="141"/>
      <c r="AI872" s="141"/>
    </row>
    <row r="873" spans="1:35" x14ac:dyDescent="0.35">
      <c r="A873" s="141"/>
      <c r="B873" s="289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  <c r="AH873" s="141"/>
      <c r="AI873" s="141"/>
    </row>
    <row r="874" spans="1:35" x14ac:dyDescent="0.35">
      <c r="A874" s="141"/>
      <c r="B874" s="289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  <c r="AH874" s="141"/>
      <c r="AI874" s="141"/>
    </row>
    <row r="875" spans="1:35" x14ac:dyDescent="0.35">
      <c r="A875" s="141"/>
      <c r="B875" s="289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</row>
    <row r="876" spans="1:35" x14ac:dyDescent="0.35">
      <c r="A876" s="141"/>
      <c r="B876" s="289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  <c r="AH876" s="141"/>
      <c r="AI876" s="141"/>
    </row>
    <row r="877" spans="1:35" x14ac:dyDescent="0.35">
      <c r="A877" s="141"/>
      <c r="B877" s="289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</row>
    <row r="878" spans="1:35" x14ac:dyDescent="0.35">
      <c r="A878" s="141"/>
      <c r="B878" s="289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  <c r="AH878" s="141"/>
      <c r="AI878" s="141"/>
    </row>
    <row r="879" spans="1:35" x14ac:dyDescent="0.35">
      <c r="A879" s="141"/>
      <c r="B879" s="289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</row>
    <row r="880" spans="1:35" x14ac:dyDescent="0.35">
      <c r="A880" s="141"/>
      <c r="B880" s="289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  <c r="AH880" s="141"/>
      <c r="AI880" s="141"/>
    </row>
    <row r="881" spans="1:35" x14ac:dyDescent="0.35">
      <c r="A881" s="141"/>
      <c r="B881" s="289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  <c r="AH881" s="141"/>
      <c r="AI881" s="141"/>
    </row>
    <row r="882" spans="1:35" x14ac:dyDescent="0.35">
      <c r="A882" s="141"/>
      <c r="B882" s="289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  <c r="AH882" s="141"/>
      <c r="AI882" s="141"/>
    </row>
    <row r="883" spans="1:35" x14ac:dyDescent="0.35">
      <c r="A883" s="141"/>
      <c r="B883" s="289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</row>
    <row r="884" spans="1:35" x14ac:dyDescent="0.35">
      <c r="A884" s="141"/>
      <c r="B884" s="289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  <c r="AH884" s="141"/>
      <c r="AI884" s="141"/>
    </row>
    <row r="885" spans="1:35" x14ac:dyDescent="0.35">
      <c r="A885" s="141"/>
      <c r="B885" s="289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</row>
    <row r="886" spans="1:35" x14ac:dyDescent="0.35">
      <c r="A886" s="141"/>
      <c r="B886" s="289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  <c r="AH886" s="141"/>
      <c r="AI886" s="141"/>
    </row>
    <row r="887" spans="1:35" x14ac:dyDescent="0.35">
      <c r="A887" s="141"/>
      <c r="B887" s="289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</row>
    <row r="888" spans="1:35" x14ac:dyDescent="0.35">
      <c r="A888" s="141"/>
      <c r="B888" s="289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  <c r="AH888" s="141"/>
      <c r="AI888" s="141"/>
    </row>
    <row r="889" spans="1:35" x14ac:dyDescent="0.35">
      <c r="A889" s="141"/>
      <c r="B889" s="289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</row>
    <row r="890" spans="1:35" x14ac:dyDescent="0.35">
      <c r="A890" s="141"/>
      <c r="B890" s="289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  <c r="AH890" s="141"/>
      <c r="AI890" s="141"/>
    </row>
    <row r="891" spans="1:35" x14ac:dyDescent="0.35">
      <c r="A891" s="141"/>
      <c r="B891" s="289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</row>
    <row r="892" spans="1:35" x14ac:dyDescent="0.35">
      <c r="A892" s="141"/>
      <c r="B892" s="289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  <c r="AH892" s="141"/>
      <c r="AI892" s="141"/>
    </row>
    <row r="893" spans="1:35" x14ac:dyDescent="0.35">
      <c r="A893" s="141"/>
      <c r="B893" s="289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</row>
    <row r="894" spans="1:35" x14ac:dyDescent="0.35">
      <c r="A894" s="141"/>
      <c r="B894" s="289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  <c r="AH894" s="141"/>
      <c r="AI894" s="141"/>
    </row>
    <row r="895" spans="1:35" x14ac:dyDescent="0.35">
      <c r="A895" s="141"/>
      <c r="B895" s="289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  <c r="AH895" s="141"/>
      <c r="AI895" s="141"/>
    </row>
    <row r="896" spans="1:35" x14ac:dyDescent="0.35">
      <c r="A896" s="141"/>
      <c r="B896" s="289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  <c r="AH896" s="141"/>
      <c r="AI896" s="141"/>
    </row>
    <row r="897" spans="1:35" x14ac:dyDescent="0.35">
      <c r="A897" s="141"/>
      <c r="B897" s="289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</row>
    <row r="898" spans="1:35" x14ac:dyDescent="0.35">
      <c r="A898" s="141"/>
      <c r="B898" s="289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  <c r="AH898" s="141"/>
      <c r="AI898" s="141"/>
    </row>
    <row r="899" spans="1:35" x14ac:dyDescent="0.35">
      <c r="A899" s="141"/>
      <c r="B899" s="289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</row>
    <row r="900" spans="1:35" x14ac:dyDescent="0.35">
      <c r="A900" s="141"/>
      <c r="B900" s="289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  <c r="AH900" s="141"/>
      <c r="AI900" s="141"/>
    </row>
    <row r="901" spans="1:35" x14ac:dyDescent="0.35">
      <c r="A901" s="141"/>
      <c r="B901" s="289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</row>
    <row r="902" spans="1:35" x14ac:dyDescent="0.35">
      <c r="A902" s="141"/>
      <c r="B902" s="289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  <c r="AH902" s="141"/>
      <c r="AI902" s="141"/>
    </row>
    <row r="903" spans="1:35" x14ac:dyDescent="0.35">
      <c r="A903" s="141"/>
      <c r="B903" s="289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  <c r="AH903" s="141"/>
      <c r="AI903" s="141"/>
    </row>
    <row r="904" spans="1:35" x14ac:dyDescent="0.35">
      <c r="A904" s="141"/>
      <c r="B904" s="289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  <c r="AH904" s="141"/>
      <c r="AI904" s="141"/>
    </row>
    <row r="905" spans="1:35" x14ac:dyDescent="0.35">
      <c r="A905" s="141"/>
      <c r="B905" s="289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  <c r="AH905" s="141"/>
      <c r="AI905" s="141"/>
    </row>
    <row r="906" spans="1:35" x14ac:dyDescent="0.35">
      <c r="A906" s="141"/>
      <c r="B906" s="289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  <c r="AH906" s="141"/>
      <c r="AI906" s="141"/>
    </row>
    <row r="907" spans="1:35" x14ac:dyDescent="0.35">
      <c r="A907" s="141"/>
      <c r="B907" s="289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</row>
    <row r="908" spans="1:35" x14ac:dyDescent="0.35">
      <c r="A908" s="141"/>
      <c r="B908" s="289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  <c r="AH908" s="141"/>
      <c r="AI908" s="141"/>
    </row>
    <row r="909" spans="1:35" x14ac:dyDescent="0.35">
      <c r="A909" s="141"/>
      <c r="B909" s="289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</row>
    <row r="910" spans="1:35" x14ac:dyDescent="0.35">
      <c r="A910" s="141"/>
      <c r="B910" s="289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  <c r="AH910" s="141"/>
      <c r="AI910" s="141"/>
    </row>
    <row r="911" spans="1:35" x14ac:dyDescent="0.35">
      <c r="A911" s="141"/>
      <c r="B911" s="289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  <c r="AH911" s="141"/>
      <c r="AI911" s="141"/>
    </row>
    <row r="912" spans="1:35" x14ac:dyDescent="0.35">
      <c r="A912" s="141"/>
      <c r="B912" s="289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  <c r="AH912" s="141"/>
      <c r="AI912" s="141"/>
    </row>
    <row r="913" spans="1:35" x14ac:dyDescent="0.35">
      <c r="A913" s="141"/>
      <c r="B913" s="289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  <c r="AH913" s="141"/>
      <c r="AI913" s="141"/>
    </row>
    <row r="914" spans="1:35" x14ac:dyDescent="0.35">
      <c r="A914" s="141"/>
      <c r="B914" s="289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  <c r="AH914" s="141"/>
      <c r="AI914" s="141"/>
    </row>
    <row r="915" spans="1:35" x14ac:dyDescent="0.35">
      <c r="A915" s="141"/>
      <c r="B915" s="289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</row>
    <row r="916" spans="1:35" x14ac:dyDescent="0.35">
      <c r="A916" s="141"/>
      <c r="B916" s="289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  <c r="AH916" s="141"/>
      <c r="AI916" s="141"/>
    </row>
    <row r="917" spans="1:35" x14ac:dyDescent="0.35">
      <c r="A917" s="141"/>
      <c r="B917" s="289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  <c r="AH917" s="141"/>
      <c r="AI917" s="141"/>
    </row>
    <row r="918" spans="1:35" x14ac:dyDescent="0.35">
      <c r="A918" s="141"/>
      <c r="B918" s="289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  <c r="AH918" s="141"/>
      <c r="AI918" s="141"/>
    </row>
    <row r="919" spans="1:35" x14ac:dyDescent="0.35">
      <c r="A919" s="141"/>
      <c r="B919" s="289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  <c r="AH919" s="141"/>
      <c r="AI919" s="141"/>
    </row>
    <row r="920" spans="1:35" x14ac:dyDescent="0.35">
      <c r="A920" s="141"/>
      <c r="B920" s="289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  <c r="AH920" s="141"/>
      <c r="AI920" s="141"/>
    </row>
    <row r="921" spans="1:35" x14ac:dyDescent="0.35">
      <c r="A921" s="141"/>
      <c r="B921" s="289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</row>
    <row r="922" spans="1:35" x14ac:dyDescent="0.35">
      <c r="A922" s="141"/>
      <c r="B922" s="289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  <c r="AH922" s="141"/>
      <c r="AI922" s="141"/>
    </row>
    <row r="923" spans="1:35" x14ac:dyDescent="0.35">
      <c r="A923" s="141"/>
      <c r="B923" s="289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</row>
    <row r="924" spans="1:35" x14ac:dyDescent="0.35">
      <c r="A924" s="141"/>
      <c r="B924" s="289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  <c r="AH924" s="141"/>
      <c r="AI924" s="141"/>
    </row>
    <row r="925" spans="1:35" x14ac:dyDescent="0.35">
      <c r="A925" s="141"/>
      <c r="B925" s="289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  <c r="AH925" s="141"/>
      <c r="AI925" s="141"/>
    </row>
    <row r="926" spans="1:35" x14ac:dyDescent="0.35">
      <c r="A926" s="141"/>
      <c r="B926" s="289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  <c r="AH926" s="141"/>
      <c r="AI926" s="141"/>
    </row>
    <row r="927" spans="1:35" x14ac:dyDescent="0.35">
      <c r="A927" s="141"/>
      <c r="B927" s="289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  <c r="AH927" s="141"/>
      <c r="AI927" s="141"/>
    </row>
    <row r="928" spans="1:35" x14ac:dyDescent="0.35">
      <c r="A928" s="141"/>
      <c r="B928" s="289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  <c r="AH928" s="141"/>
      <c r="AI928" s="141"/>
    </row>
    <row r="929" spans="1:35" x14ac:dyDescent="0.35">
      <c r="A929" s="141"/>
      <c r="B929" s="289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</row>
    <row r="930" spans="1:35" x14ac:dyDescent="0.35">
      <c r="A930" s="141"/>
      <c r="B930" s="289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  <c r="AH930" s="141"/>
      <c r="AI930" s="141"/>
    </row>
    <row r="931" spans="1:35" x14ac:dyDescent="0.35">
      <c r="A931" s="141"/>
      <c r="B931" s="289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</row>
    <row r="932" spans="1:35" x14ac:dyDescent="0.35">
      <c r="A932" s="141"/>
      <c r="B932" s="289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  <c r="AH932" s="141"/>
      <c r="AI932" s="141"/>
    </row>
    <row r="933" spans="1:35" x14ac:dyDescent="0.35">
      <c r="A933" s="141"/>
      <c r="B933" s="289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</row>
    <row r="934" spans="1:35" x14ac:dyDescent="0.35">
      <c r="A934" s="141"/>
      <c r="B934" s="289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  <c r="AH934" s="141"/>
      <c r="AI934" s="141"/>
    </row>
    <row r="935" spans="1:35" x14ac:dyDescent="0.35">
      <c r="A935" s="141"/>
      <c r="B935" s="289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</row>
    <row r="936" spans="1:35" x14ac:dyDescent="0.35">
      <c r="A936" s="141"/>
      <c r="B936" s="289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  <c r="AH936" s="141"/>
      <c r="AI936" s="141"/>
    </row>
    <row r="937" spans="1:35" x14ac:dyDescent="0.35">
      <c r="A937" s="141"/>
      <c r="B937" s="289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  <c r="AH937" s="141"/>
      <c r="AI937" s="141"/>
    </row>
    <row r="938" spans="1:35" x14ac:dyDescent="0.35">
      <c r="A938" s="141"/>
      <c r="B938" s="289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  <c r="AH938" s="141"/>
      <c r="AI938" s="141"/>
    </row>
    <row r="939" spans="1:35" x14ac:dyDescent="0.35">
      <c r="A939" s="141"/>
      <c r="B939" s="289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  <c r="AH939" s="141"/>
      <c r="AI939" s="141"/>
    </row>
    <row r="940" spans="1:35" x14ac:dyDescent="0.35">
      <c r="A940" s="141"/>
      <c r="B940" s="289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  <c r="AH940" s="141"/>
      <c r="AI940" s="141"/>
    </row>
    <row r="941" spans="1:35" x14ac:dyDescent="0.35">
      <c r="A941" s="141"/>
      <c r="B941" s="289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  <c r="AH941" s="141"/>
      <c r="AI941" s="141"/>
    </row>
    <row r="942" spans="1:35" x14ac:dyDescent="0.35">
      <c r="A942" s="141"/>
      <c r="B942" s="289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</row>
    <row r="943" spans="1:35" x14ac:dyDescent="0.35">
      <c r="A943" s="141"/>
      <c r="B943" s="289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  <c r="AH943" s="141"/>
      <c r="AI943" s="141"/>
    </row>
    <row r="944" spans="1:35" x14ac:dyDescent="0.35">
      <c r="A944" s="141"/>
      <c r="B944" s="289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</row>
    <row r="945" spans="1:35" x14ac:dyDescent="0.35">
      <c r="A945" s="141"/>
      <c r="B945" s="289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  <c r="AH945" s="141"/>
      <c r="AI945" s="141"/>
    </row>
    <row r="946" spans="1:35" x14ac:dyDescent="0.35">
      <c r="A946" s="141"/>
      <c r="B946" s="289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</row>
    <row r="947" spans="1:35" x14ac:dyDescent="0.35">
      <c r="A947" s="141"/>
      <c r="B947" s="289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  <c r="AH947" s="141"/>
      <c r="AI947" s="141"/>
    </row>
    <row r="948" spans="1:35" x14ac:dyDescent="0.35">
      <c r="A948" s="141"/>
      <c r="B948" s="289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/>
      <c r="AI948" s="141"/>
    </row>
    <row r="949" spans="1:35" x14ac:dyDescent="0.35">
      <c r="A949" s="141"/>
      <c r="B949" s="289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  <c r="AH949" s="141"/>
      <c r="AI949" s="141"/>
    </row>
    <row r="950" spans="1:35" x14ac:dyDescent="0.35">
      <c r="A950" s="141"/>
      <c r="B950" s="289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</row>
    <row r="951" spans="1:35" x14ac:dyDescent="0.35">
      <c r="A951" s="141"/>
      <c r="B951" s="289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  <c r="AH951" s="141"/>
      <c r="AI951" s="141"/>
    </row>
    <row r="952" spans="1:35" x14ac:dyDescent="0.35">
      <c r="A952" s="141"/>
      <c r="B952" s="289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</row>
    <row r="953" spans="1:35" x14ac:dyDescent="0.35">
      <c r="A953" s="141"/>
      <c r="B953" s="289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  <c r="AH953" s="141"/>
      <c r="AI953" s="141"/>
    </row>
    <row r="954" spans="1:35" x14ac:dyDescent="0.35">
      <c r="A954" s="141"/>
      <c r="B954" s="289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</row>
    <row r="955" spans="1:35" x14ac:dyDescent="0.35">
      <c r="A955" s="141"/>
      <c r="B955" s="289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  <c r="AH955" s="141"/>
      <c r="AI955" s="141"/>
    </row>
    <row r="956" spans="1:35" x14ac:dyDescent="0.35">
      <c r="A956" s="141"/>
      <c r="B956" s="289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</row>
    <row r="957" spans="1:35" x14ac:dyDescent="0.35">
      <c r="A957" s="141"/>
      <c r="B957" s="289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  <c r="AH957" s="141"/>
      <c r="AI957" s="141"/>
    </row>
    <row r="958" spans="1:35" x14ac:dyDescent="0.35">
      <c r="A958" s="141"/>
      <c r="B958" s="289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</row>
    <row r="959" spans="1:35" x14ac:dyDescent="0.35">
      <c r="A959" s="141"/>
      <c r="B959" s="289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  <c r="AH959" s="141"/>
      <c r="AI959" s="141"/>
    </row>
    <row r="960" spans="1:35" x14ac:dyDescent="0.35">
      <c r="A960" s="141"/>
      <c r="B960" s="289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/>
      <c r="AI960" s="141"/>
    </row>
    <row r="961" spans="1:35" x14ac:dyDescent="0.35">
      <c r="A961" s="141"/>
      <c r="B961" s="289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  <c r="AH961" s="141"/>
      <c r="AI961" s="141"/>
    </row>
    <row r="962" spans="1:35" x14ac:dyDescent="0.35">
      <c r="A962" s="141"/>
      <c r="B962" s="289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  <c r="AH962" s="141"/>
      <c r="AI962" s="141"/>
    </row>
    <row r="963" spans="1:35" x14ac:dyDescent="0.35">
      <c r="A963" s="141"/>
      <c r="B963" s="289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  <c r="AH963" s="141"/>
      <c r="AI963" s="141"/>
    </row>
    <row r="964" spans="1:35" x14ac:dyDescent="0.35">
      <c r="A964" s="141"/>
      <c r="B964" s="289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</row>
    <row r="965" spans="1:35" x14ac:dyDescent="0.35">
      <c r="A965" s="141"/>
      <c r="B965" s="289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  <c r="AH965" s="141"/>
      <c r="AI965" s="141"/>
    </row>
    <row r="966" spans="1:35" x14ac:dyDescent="0.35">
      <c r="A966" s="141"/>
      <c r="B966" s="289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  <c r="AH966" s="141"/>
      <c r="AI966" s="141"/>
    </row>
    <row r="967" spans="1:35" x14ac:dyDescent="0.35">
      <c r="A967" s="141"/>
      <c r="B967" s="289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  <c r="AH967" s="141"/>
      <c r="AI967" s="141"/>
    </row>
    <row r="968" spans="1:35" x14ac:dyDescent="0.35">
      <c r="A968" s="141"/>
      <c r="B968" s="289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</row>
    <row r="969" spans="1:35" x14ac:dyDescent="0.35">
      <c r="A969" s="141"/>
      <c r="B969" s="289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  <c r="AH969" s="141"/>
      <c r="AI969" s="141"/>
    </row>
    <row r="970" spans="1:35" x14ac:dyDescent="0.35">
      <c r="A970" s="141"/>
      <c r="B970" s="289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  <c r="AH970" s="141"/>
      <c r="AI970" s="141"/>
    </row>
    <row r="971" spans="1:35" x14ac:dyDescent="0.35">
      <c r="A971" s="141"/>
      <c r="B971" s="289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  <c r="AH971" s="141"/>
      <c r="AI971" s="141"/>
    </row>
    <row r="972" spans="1:35" x14ac:dyDescent="0.35">
      <c r="A972" s="141"/>
      <c r="B972" s="289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  <c r="AH972" s="141"/>
      <c r="AI972" s="141"/>
    </row>
    <row r="973" spans="1:35" x14ac:dyDescent="0.35">
      <c r="A973" s="141"/>
      <c r="B973" s="289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  <c r="AH973" s="141"/>
      <c r="AI973" s="141"/>
    </row>
    <row r="974" spans="1:35" x14ac:dyDescent="0.35">
      <c r="A974" s="141"/>
      <c r="B974" s="289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  <c r="AH974" s="141"/>
      <c r="AI974" s="141"/>
    </row>
    <row r="975" spans="1:35" x14ac:dyDescent="0.35">
      <c r="A975" s="141"/>
      <c r="B975" s="289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  <c r="AH975" s="141"/>
      <c r="AI975" s="141"/>
    </row>
    <row r="976" spans="1:35" x14ac:dyDescent="0.35">
      <c r="A976" s="141"/>
      <c r="B976" s="289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  <c r="AH976" s="141"/>
      <c r="AI976" s="141"/>
    </row>
    <row r="977" spans="1:35" x14ac:dyDescent="0.35">
      <c r="A977" s="141"/>
      <c r="B977" s="289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  <c r="AF977" s="141"/>
      <c r="AG977" s="141"/>
      <c r="AH977" s="141"/>
      <c r="AI977" s="141"/>
    </row>
    <row r="978" spans="1:35" x14ac:dyDescent="0.35">
      <c r="A978" s="141"/>
      <c r="B978" s="289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  <c r="AF978" s="141"/>
      <c r="AG978" s="141"/>
      <c r="AH978" s="141"/>
      <c r="AI978" s="141"/>
    </row>
    <row r="979" spans="1:35" x14ac:dyDescent="0.35">
      <c r="A979" s="141"/>
      <c r="B979" s="289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  <c r="AF979" s="141"/>
      <c r="AG979" s="141"/>
      <c r="AH979" s="141"/>
      <c r="AI979" s="141"/>
    </row>
    <row r="980" spans="1:35" x14ac:dyDescent="0.35">
      <c r="A980" s="141"/>
      <c r="B980" s="289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  <c r="AF980" s="141"/>
      <c r="AG980" s="141"/>
      <c r="AH980" s="141"/>
      <c r="AI980" s="141"/>
    </row>
    <row r="981" spans="1:35" x14ac:dyDescent="0.35">
      <c r="A981" s="141"/>
      <c r="B981" s="289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  <c r="AF981" s="141"/>
      <c r="AG981" s="141"/>
      <c r="AH981" s="141"/>
      <c r="AI981" s="141"/>
    </row>
    <row r="982" spans="1:35" x14ac:dyDescent="0.35">
      <c r="A982" s="141"/>
      <c r="B982" s="289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  <c r="AF982" s="141"/>
      <c r="AG982" s="141"/>
      <c r="AH982" s="141"/>
      <c r="AI982" s="141"/>
    </row>
    <row r="983" spans="1:35" x14ac:dyDescent="0.35">
      <c r="A983" s="141"/>
      <c r="B983" s="289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  <c r="AF983" s="141"/>
      <c r="AG983" s="141"/>
      <c r="AH983" s="141"/>
      <c r="AI983" s="141"/>
    </row>
    <row r="984" spans="1:35" x14ac:dyDescent="0.35">
      <c r="A984" s="141"/>
      <c r="B984" s="289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  <c r="AF984" s="141"/>
      <c r="AG984" s="141"/>
      <c r="AH984" s="141"/>
      <c r="AI984" s="14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K100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53125" defaultRowHeight="15" customHeight="1" x14ac:dyDescent="0.35"/>
  <cols>
    <col min="1" max="1" width="28.7265625" customWidth="1"/>
  </cols>
  <sheetData>
    <row r="1" spans="1:37" x14ac:dyDescent="0.35">
      <c r="A1" s="345" t="s">
        <v>0</v>
      </c>
      <c r="B1" s="346"/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</row>
    <row r="2" spans="1:37" x14ac:dyDescent="0.35">
      <c r="A2" s="291"/>
      <c r="B2" s="291"/>
      <c r="C2" s="291"/>
      <c r="D2" s="291"/>
      <c r="E2" s="290" t="s">
        <v>333</v>
      </c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1"/>
      <c r="Q2" s="291"/>
      <c r="R2" s="291"/>
      <c r="S2" s="291"/>
      <c r="T2" s="291"/>
      <c r="U2" s="291"/>
      <c r="V2" s="291"/>
      <c r="W2" s="291"/>
      <c r="X2" s="291"/>
      <c r="Y2" s="291"/>
      <c r="Z2" s="291"/>
      <c r="AA2" s="291"/>
      <c r="AB2" s="291"/>
      <c r="AC2" s="291"/>
      <c r="AD2" s="291"/>
      <c r="AE2" s="291"/>
      <c r="AF2" s="291"/>
      <c r="AG2" s="291"/>
      <c r="AH2" s="291"/>
      <c r="AI2" s="291"/>
      <c r="AJ2" s="291"/>
      <c r="AK2" s="291"/>
    </row>
    <row r="3" spans="1:37" x14ac:dyDescent="0.35">
      <c r="A3" s="291"/>
      <c r="B3" s="291" t="b">
        <v>1</v>
      </c>
      <c r="C3" s="292" t="b">
        <v>1</v>
      </c>
      <c r="D3" s="292" t="b">
        <v>1</v>
      </c>
      <c r="E3" s="292" t="b">
        <v>1</v>
      </c>
      <c r="F3" s="292" t="b">
        <v>1</v>
      </c>
      <c r="G3" s="292" t="b">
        <v>1</v>
      </c>
      <c r="H3" s="292" t="b">
        <v>1</v>
      </c>
      <c r="I3" s="292" t="b">
        <v>1</v>
      </c>
      <c r="J3" s="292" t="b">
        <v>1</v>
      </c>
      <c r="K3" s="292" t="b">
        <v>1</v>
      </c>
      <c r="L3" s="292" t="b">
        <v>1</v>
      </c>
      <c r="M3" s="292" t="b">
        <v>1</v>
      </c>
      <c r="N3" s="292" t="b">
        <v>1</v>
      </c>
      <c r="O3" s="292" t="b">
        <v>1</v>
      </c>
      <c r="P3" s="292" t="b">
        <v>1</v>
      </c>
      <c r="Q3" s="292" t="b">
        <v>1</v>
      </c>
      <c r="R3" s="292" t="b">
        <v>1</v>
      </c>
      <c r="S3" s="292" t="b">
        <v>1</v>
      </c>
      <c r="T3" s="292" t="b">
        <v>1</v>
      </c>
      <c r="U3" s="292" t="b">
        <v>1</v>
      </c>
      <c r="V3" s="292" t="b">
        <v>1</v>
      </c>
      <c r="W3" s="292" t="b">
        <v>1</v>
      </c>
      <c r="X3" s="292" t="b">
        <v>1</v>
      </c>
      <c r="Y3" s="292" t="b">
        <v>1</v>
      </c>
      <c r="Z3" s="292" t="b">
        <v>1</v>
      </c>
      <c r="AA3" s="292" t="b">
        <v>1</v>
      </c>
      <c r="AB3" s="292" t="b">
        <v>1</v>
      </c>
      <c r="AC3" s="292" t="b">
        <v>1</v>
      </c>
      <c r="AD3" s="292" t="b">
        <v>1</v>
      </c>
      <c r="AE3" s="292" t="b">
        <v>1</v>
      </c>
      <c r="AF3" s="292" t="b">
        <v>1</v>
      </c>
      <c r="AG3" s="292" t="b">
        <v>1</v>
      </c>
      <c r="AH3" s="292" t="b">
        <v>1</v>
      </c>
      <c r="AI3" s="292" t="b">
        <v>1</v>
      </c>
      <c r="AJ3" s="292" t="b">
        <v>1</v>
      </c>
      <c r="AK3" s="291"/>
    </row>
    <row r="4" spans="1:37" x14ac:dyDescent="0.35">
      <c r="A4" s="293" t="s">
        <v>301</v>
      </c>
      <c r="B4" s="294" t="s">
        <v>302</v>
      </c>
      <c r="C4" s="294" t="s">
        <v>303</v>
      </c>
      <c r="D4" s="294" t="s">
        <v>97</v>
      </c>
      <c r="E4" s="294" t="s">
        <v>99</v>
      </c>
      <c r="F4" s="294" t="s">
        <v>304</v>
      </c>
      <c r="G4" s="294" t="s">
        <v>100</v>
      </c>
      <c r="H4" s="294" t="s">
        <v>94</v>
      </c>
      <c r="I4" s="294" t="s">
        <v>104</v>
      </c>
      <c r="J4" s="294" t="s">
        <v>15</v>
      </c>
      <c r="K4" s="294" t="s">
        <v>305</v>
      </c>
      <c r="L4" s="294" t="s">
        <v>306</v>
      </c>
      <c r="M4" s="294" t="s">
        <v>307</v>
      </c>
      <c r="N4" s="294" t="s">
        <v>308</v>
      </c>
      <c r="O4" s="294" t="s">
        <v>309</v>
      </c>
      <c r="P4" s="294" t="s">
        <v>310</v>
      </c>
      <c r="Q4" s="294" t="s">
        <v>101</v>
      </c>
      <c r="R4" s="294" t="s">
        <v>102</v>
      </c>
      <c r="S4" s="294" t="s">
        <v>20</v>
      </c>
      <c r="T4" s="294" t="s">
        <v>255</v>
      </c>
      <c r="U4" s="294" t="s">
        <v>39</v>
      </c>
      <c r="V4" s="294" t="s">
        <v>61</v>
      </c>
      <c r="W4" s="294" t="s">
        <v>9</v>
      </c>
      <c r="X4" s="294" t="s">
        <v>4</v>
      </c>
      <c r="Y4" s="294" t="s">
        <v>254</v>
      </c>
      <c r="Z4" s="294" t="s">
        <v>96</v>
      </c>
      <c r="AA4" s="294" t="s">
        <v>259</v>
      </c>
      <c r="AB4" s="294" t="s">
        <v>260</v>
      </c>
      <c r="AC4" s="294" t="s">
        <v>261</v>
      </c>
      <c r="AD4" s="294" t="s">
        <v>262</v>
      </c>
      <c r="AE4" s="294" t="s">
        <v>256</v>
      </c>
      <c r="AF4" s="294" t="s">
        <v>257</v>
      </c>
      <c r="AG4" s="294" t="s">
        <v>258</v>
      </c>
      <c r="AH4" s="294" t="s">
        <v>78</v>
      </c>
      <c r="AI4" s="294" t="s">
        <v>95</v>
      </c>
      <c r="AJ4" s="294" t="s">
        <v>311</v>
      </c>
      <c r="AK4" s="295" t="s">
        <v>312</v>
      </c>
    </row>
    <row r="5" spans="1:37" x14ac:dyDescent="0.35">
      <c r="A5" s="334"/>
      <c r="B5" s="334"/>
      <c r="C5" s="334"/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/>
      <c r="V5" s="334"/>
      <c r="W5" s="334"/>
      <c r="X5" s="334"/>
      <c r="Y5" s="334"/>
      <c r="Z5" s="334"/>
      <c r="AA5" s="334"/>
      <c r="AB5" s="334"/>
      <c r="AC5" s="334"/>
      <c r="AD5" s="334"/>
      <c r="AE5" s="334"/>
      <c r="AF5" s="334"/>
      <c r="AG5" s="334"/>
      <c r="AH5" s="334"/>
      <c r="AI5" s="334"/>
      <c r="AJ5" s="334"/>
      <c r="AK5" s="334"/>
    </row>
    <row r="6" spans="1:37" x14ac:dyDescent="0.35">
      <c r="A6" s="297" t="s">
        <v>313</v>
      </c>
      <c r="B6" s="297">
        <v>736294</v>
      </c>
      <c r="C6" s="297">
        <v>919274.5</v>
      </c>
      <c r="D6" s="298">
        <v>510732</v>
      </c>
      <c r="E6" s="297">
        <v>540963</v>
      </c>
      <c r="F6" s="297">
        <v>330541</v>
      </c>
      <c r="G6" s="297">
        <v>1716607</v>
      </c>
      <c r="H6" s="297">
        <v>641725</v>
      </c>
      <c r="I6" s="297">
        <v>1571502.5</v>
      </c>
      <c r="J6" s="297">
        <v>550265</v>
      </c>
      <c r="K6" s="297">
        <v>610111</v>
      </c>
      <c r="L6" s="297">
        <v>304710.5</v>
      </c>
      <c r="M6" s="297">
        <v>677210</v>
      </c>
      <c r="N6" s="299">
        <v>309178</v>
      </c>
      <c r="O6" s="299">
        <v>1499043.5</v>
      </c>
      <c r="P6" s="299">
        <v>252628</v>
      </c>
      <c r="Q6" s="300">
        <v>1059917</v>
      </c>
      <c r="R6" s="300">
        <v>480962</v>
      </c>
      <c r="S6" s="299">
        <v>623237.5</v>
      </c>
      <c r="T6" s="299">
        <v>1123129</v>
      </c>
      <c r="U6" s="297">
        <v>1092355</v>
      </c>
      <c r="V6" s="347">
        <v>468779</v>
      </c>
      <c r="W6" s="299">
        <v>824216</v>
      </c>
      <c r="X6" s="299">
        <v>575689.5</v>
      </c>
      <c r="Y6" s="299">
        <v>666770</v>
      </c>
      <c r="Z6" s="299">
        <v>655174.5</v>
      </c>
      <c r="AA6" s="299">
        <v>716363</v>
      </c>
      <c r="AB6" s="299">
        <v>900413.5</v>
      </c>
      <c r="AC6" s="299">
        <v>647507</v>
      </c>
      <c r="AD6" s="299">
        <v>670061</v>
      </c>
      <c r="AE6" s="299">
        <v>641258</v>
      </c>
      <c r="AF6" s="299">
        <v>1534824.5</v>
      </c>
      <c r="AG6" s="299">
        <v>453453.5</v>
      </c>
      <c r="AH6" s="299">
        <v>641725</v>
      </c>
      <c r="AI6" s="299">
        <v>635621.5</v>
      </c>
      <c r="AJ6" s="348">
        <v>273920.5</v>
      </c>
      <c r="AK6" s="303">
        <f t="shared" ref="AK6:AK7" si="0">SUM(B6:AJ6)</f>
        <v>25856162</v>
      </c>
    </row>
    <row r="7" spans="1:37" x14ac:dyDescent="0.35">
      <c r="A7" s="304" t="s">
        <v>314</v>
      </c>
      <c r="B7" s="305">
        <v>487405.33</v>
      </c>
      <c r="C7" s="305">
        <v>623433.82999999996</v>
      </c>
      <c r="D7" s="306">
        <v>348854.75</v>
      </c>
      <c r="E7" s="305">
        <v>359062.46</v>
      </c>
      <c r="F7" s="305">
        <v>217829.62</v>
      </c>
      <c r="G7" s="305">
        <v>1158880.18</v>
      </c>
      <c r="H7" s="305">
        <v>427735.27</v>
      </c>
      <c r="I7" s="305">
        <v>1067451.74</v>
      </c>
      <c r="J7" s="305">
        <v>369484.17</v>
      </c>
      <c r="K7" s="305">
        <v>411472.29</v>
      </c>
      <c r="L7" s="305">
        <v>203245.08</v>
      </c>
      <c r="M7" s="305">
        <v>454569.8</v>
      </c>
      <c r="N7" s="307">
        <v>204263.09</v>
      </c>
      <c r="O7" s="307">
        <v>1025984.25</v>
      </c>
      <c r="P7" s="307">
        <v>171210.75</v>
      </c>
      <c r="Q7" s="307">
        <v>710921.03</v>
      </c>
      <c r="R7" s="307">
        <v>322470.71999999997</v>
      </c>
      <c r="S7" s="307">
        <v>419147.42</v>
      </c>
      <c r="T7" s="307">
        <v>770926.53</v>
      </c>
      <c r="U7" s="307">
        <v>740138.61</v>
      </c>
      <c r="V7" s="334">
        <v>316349.25</v>
      </c>
      <c r="W7" s="307">
        <v>552617.61</v>
      </c>
      <c r="X7" s="307">
        <v>385184.17</v>
      </c>
      <c r="Y7" s="307">
        <v>447277.69</v>
      </c>
      <c r="Z7" s="307">
        <v>436893.86</v>
      </c>
      <c r="AA7" s="307">
        <v>477019.61</v>
      </c>
      <c r="AB7" s="307">
        <v>593503.62</v>
      </c>
      <c r="AC7" s="307">
        <v>433072.03</v>
      </c>
      <c r="AD7" s="307">
        <v>443869.26</v>
      </c>
      <c r="AE7" s="307">
        <v>426800.29</v>
      </c>
      <c r="AF7" s="307">
        <v>1031408.11</v>
      </c>
      <c r="AG7" s="307">
        <v>302381.15000000002</v>
      </c>
      <c r="AH7" s="307">
        <v>427735.27</v>
      </c>
      <c r="AI7" s="307">
        <v>426238.17</v>
      </c>
      <c r="AJ7" s="325">
        <v>182620.65</v>
      </c>
      <c r="AK7" s="303">
        <f t="shared" si="0"/>
        <v>17377457.659999993</v>
      </c>
    </row>
    <row r="8" spans="1:37" x14ac:dyDescent="0.35">
      <c r="A8" s="304" t="s">
        <v>266</v>
      </c>
      <c r="B8" s="305">
        <f t="shared" ref="B8:AK8" si="1">B6-B7</f>
        <v>248888.66999999998</v>
      </c>
      <c r="C8" s="305">
        <f t="shared" si="1"/>
        <v>295840.67000000004</v>
      </c>
      <c r="D8" s="305">
        <f t="shared" si="1"/>
        <v>161877.25</v>
      </c>
      <c r="E8" s="305">
        <f t="shared" si="1"/>
        <v>181900.53999999998</v>
      </c>
      <c r="F8" s="305">
        <f t="shared" si="1"/>
        <v>112711.38</v>
      </c>
      <c r="G8" s="305">
        <f t="shared" si="1"/>
        <v>557726.82000000007</v>
      </c>
      <c r="H8" s="305">
        <f t="shared" si="1"/>
        <v>213989.72999999998</v>
      </c>
      <c r="I8" s="305">
        <f t="shared" si="1"/>
        <v>504050.76</v>
      </c>
      <c r="J8" s="305">
        <f t="shared" si="1"/>
        <v>180780.83000000002</v>
      </c>
      <c r="K8" s="305">
        <f t="shared" si="1"/>
        <v>198638.71000000002</v>
      </c>
      <c r="L8" s="305">
        <f t="shared" si="1"/>
        <v>101465.42000000001</v>
      </c>
      <c r="M8" s="305">
        <f t="shared" si="1"/>
        <v>222640.2</v>
      </c>
      <c r="N8" s="305">
        <f t="shared" si="1"/>
        <v>104914.91</v>
      </c>
      <c r="O8" s="305">
        <f t="shared" si="1"/>
        <v>473059.25</v>
      </c>
      <c r="P8" s="305">
        <f t="shared" si="1"/>
        <v>81417.25</v>
      </c>
      <c r="Q8" s="305">
        <f t="shared" si="1"/>
        <v>348995.97</v>
      </c>
      <c r="R8" s="305">
        <f t="shared" si="1"/>
        <v>158491.28000000003</v>
      </c>
      <c r="S8" s="305">
        <f t="shared" si="1"/>
        <v>204090.08000000002</v>
      </c>
      <c r="T8" s="305">
        <f t="shared" si="1"/>
        <v>352202.47</v>
      </c>
      <c r="U8" s="305">
        <f t="shared" si="1"/>
        <v>352216.39</v>
      </c>
      <c r="V8" s="305">
        <f t="shared" si="1"/>
        <v>152429.75</v>
      </c>
      <c r="W8" s="305">
        <f t="shared" si="1"/>
        <v>271598.39</v>
      </c>
      <c r="X8" s="305">
        <f t="shared" si="1"/>
        <v>190505.33000000002</v>
      </c>
      <c r="Y8" s="305">
        <f t="shared" si="1"/>
        <v>219492.31</v>
      </c>
      <c r="Z8" s="305">
        <f t="shared" si="1"/>
        <v>218280.64</v>
      </c>
      <c r="AA8" s="305">
        <f t="shared" si="1"/>
        <v>239343.39</v>
      </c>
      <c r="AB8" s="305">
        <f t="shared" si="1"/>
        <v>306909.88</v>
      </c>
      <c r="AC8" s="305">
        <f t="shared" si="1"/>
        <v>214434.96999999997</v>
      </c>
      <c r="AD8" s="305">
        <f t="shared" si="1"/>
        <v>226191.74</v>
      </c>
      <c r="AE8" s="305">
        <f t="shared" si="1"/>
        <v>214457.71000000002</v>
      </c>
      <c r="AF8" s="305">
        <f t="shared" si="1"/>
        <v>503416.39</v>
      </c>
      <c r="AG8" s="305">
        <f t="shared" si="1"/>
        <v>151072.34999999998</v>
      </c>
      <c r="AH8" s="305">
        <f t="shared" si="1"/>
        <v>213989.72999999998</v>
      </c>
      <c r="AI8" s="305">
        <f t="shared" si="1"/>
        <v>209383.33000000002</v>
      </c>
      <c r="AJ8" s="305">
        <f t="shared" si="1"/>
        <v>91299.85</v>
      </c>
      <c r="AK8" s="305">
        <f t="shared" si="1"/>
        <v>8478704.3400000073</v>
      </c>
    </row>
    <row r="9" spans="1:37" x14ac:dyDescent="0.35">
      <c r="A9" s="309" t="s">
        <v>267</v>
      </c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49"/>
      <c r="U9" s="349"/>
      <c r="V9" s="349"/>
      <c r="W9" s="349"/>
      <c r="X9" s="349"/>
      <c r="Y9" s="349"/>
      <c r="Z9" s="349"/>
      <c r="AA9" s="349"/>
      <c r="AB9" s="349"/>
      <c r="AC9" s="349"/>
      <c r="AD9" s="349"/>
      <c r="AE9" s="349"/>
      <c r="AF9" s="349"/>
      <c r="AG9" s="349"/>
      <c r="AH9" s="349"/>
      <c r="AI9" s="349"/>
      <c r="AJ9" s="349"/>
      <c r="AK9" s="350"/>
    </row>
    <row r="10" spans="1:37" x14ac:dyDescent="0.35">
      <c r="A10" s="304" t="s">
        <v>90</v>
      </c>
      <c r="B10" s="305">
        <v>18532.5</v>
      </c>
      <c r="C10" s="305">
        <v>22239</v>
      </c>
      <c r="D10" s="305">
        <v>11119.5</v>
      </c>
      <c r="E10" s="305">
        <v>11119.5</v>
      </c>
      <c r="F10" s="305">
        <v>7413</v>
      </c>
      <c r="G10" s="305">
        <v>22239</v>
      </c>
      <c r="H10" s="305">
        <v>14723</v>
      </c>
      <c r="I10" s="305">
        <v>22239</v>
      </c>
      <c r="J10" s="305">
        <v>11119.5</v>
      </c>
      <c r="K10" s="305">
        <v>11119.5</v>
      </c>
      <c r="L10" s="307">
        <v>7413</v>
      </c>
      <c r="M10" s="307">
        <v>18423.5</v>
      </c>
      <c r="N10" s="307">
        <v>11010</v>
      </c>
      <c r="O10" s="307">
        <v>33140</v>
      </c>
      <c r="P10" s="307">
        <v>3706.5</v>
      </c>
      <c r="Q10" s="307">
        <v>25944.3</v>
      </c>
      <c r="R10" s="307">
        <v>11119.5</v>
      </c>
      <c r="S10" s="307">
        <v>18314</v>
      </c>
      <c r="T10" s="307">
        <v>22133</v>
      </c>
      <c r="U10" s="307">
        <v>22133</v>
      </c>
      <c r="V10" s="325">
        <v>11121</v>
      </c>
      <c r="W10" s="307">
        <v>22133</v>
      </c>
      <c r="X10" s="305">
        <v>14719</v>
      </c>
      <c r="Y10" s="307">
        <v>14828</v>
      </c>
      <c r="Z10" s="307">
        <v>14719</v>
      </c>
      <c r="AA10" s="307">
        <v>22129</v>
      </c>
      <c r="AB10" s="307">
        <v>22133</v>
      </c>
      <c r="AC10" s="307">
        <v>18426</v>
      </c>
      <c r="AD10" s="307">
        <v>22133</v>
      </c>
      <c r="AE10" s="307">
        <v>18426</v>
      </c>
      <c r="AF10" s="307">
        <v>28582</v>
      </c>
      <c r="AG10" s="307">
        <v>10719</v>
      </c>
      <c r="AH10" s="307">
        <v>14723</v>
      </c>
      <c r="AI10" s="307">
        <v>14719</v>
      </c>
      <c r="AJ10" s="325">
        <v>9082</v>
      </c>
      <c r="AK10" s="303">
        <f t="shared" ref="AK10:AK45" si="2">SUM(B10:AJ10)</f>
        <v>583792.30000000005</v>
      </c>
    </row>
    <row r="11" spans="1:37" x14ac:dyDescent="0.35">
      <c r="A11" s="313" t="s">
        <v>91</v>
      </c>
      <c r="B11" s="314">
        <v>15910</v>
      </c>
      <c r="C11" s="314">
        <v>20683</v>
      </c>
      <c r="D11" s="314">
        <v>9546</v>
      </c>
      <c r="E11" s="314">
        <v>11137</v>
      </c>
      <c r="F11" s="314">
        <v>6364</v>
      </c>
      <c r="G11" s="314">
        <v>23865</v>
      </c>
      <c r="H11" s="314">
        <v>10380</v>
      </c>
      <c r="I11" s="314">
        <v>22274</v>
      </c>
      <c r="J11" s="314">
        <v>11137</v>
      </c>
      <c r="K11" s="314">
        <v>9546</v>
      </c>
      <c r="L11" s="314">
        <v>6364</v>
      </c>
      <c r="M11" s="314">
        <v>11137</v>
      </c>
      <c r="N11" s="314">
        <v>6364</v>
      </c>
      <c r="O11" s="314">
        <v>22274</v>
      </c>
      <c r="P11" s="314">
        <v>6364</v>
      </c>
      <c r="Q11" s="314">
        <v>15910</v>
      </c>
      <c r="R11" s="314">
        <v>11137</v>
      </c>
      <c r="S11" s="314">
        <v>14319</v>
      </c>
      <c r="T11" s="314">
        <v>17501</v>
      </c>
      <c r="U11" s="314">
        <v>17501</v>
      </c>
      <c r="V11" s="323">
        <v>7955</v>
      </c>
      <c r="W11" s="314">
        <v>12728</v>
      </c>
      <c r="X11" s="314">
        <v>7955</v>
      </c>
      <c r="Y11" s="314">
        <v>9546</v>
      </c>
      <c r="Z11" s="314">
        <v>11137</v>
      </c>
      <c r="AA11" s="314">
        <v>15570</v>
      </c>
      <c r="AB11" s="314">
        <v>15570</v>
      </c>
      <c r="AC11" s="314">
        <v>12110</v>
      </c>
      <c r="AD11" s="314">
        <v>12110</v>
      </c>
      <c r="AE11" s="314">
        <v>8650</v>
      </c>
      <c r="AF11" s="314">
        <v>27680</v>
      </c>
      <c r="AG11" s="314">
        <v>8650</v>
      </c>
      <c r="AH11" s="314">
        <v>10380</v>
      </c>
      <c r="AI11" s="314">
        <v>12110</v>
      </c>
      <c r="AJ11" s="323">
        <v>6364</v>
      </c>
      <c r="AK11" s="303">
        <f t="shared" si="2"/>
        <v>448228</v>
      </c>
    </row>
    <row r="12" spans="1:37" x14ac:dyDescent="0.35">
      <c r="A12" s="317" t="s">
        <v>92</v>
      </c>
      <c r="B12" s="307">
        <v>13169</v>
      </c>
      <c r="C12" s="307">
        <v>20717.5</v>
      </c>
      <c r="D12" s="307">
        <v>10496</v>
      </c>
      <c r="E12" s="307">
        <v>11808</v>
      </c>
      <c r="F12" s="307">
        <v>5248</v>
      </c>
      <c r="G12" s="307">
        <v>40672</v>
      </c>
      <c r="H12" s="307">
        <v>10400</v>
      </c>
      <c r="I12" s="307">
        <v>31488</v>
      </c>
      <c r="J12" s="307">
        <v>10797.25</v>
      </c>
      <c r="K12" s="307">
        <v>10496</v>
      </c>
      <c r="L12" s="307">
        <v>5248</v>
      </c>
      <c r="M12" s="307">
        <v>15744</v>
      </c>
      <c r="N12" s="307">
        <v>6560</v>
      </c>
      <c r="O12" s="307">
        <v>28864</v>
      </c>
      <c r="P12" s="307">
        <v>6560</v>
      </c>
      <c r="Q12" s="307">
        <v>20992</v>
      </c>
      <c r="R12" s="307">
        <v>10676</v>
      </c>
      <c r="S12" s="307">
        <v>16862</v>
      </c>
      <c r="T12" s="307">
        <v>23098</v>
      </c>
      <c r="U12" s="307">
        <v>22304</v>
      </c>
      <c r="V12" s="325">
        <v>11808</v>
      </c>
      <c r="W12" s="307">
        <v>15744</v>
      </c>
      <c r="X12" s="318">
        <v>10496</v>
      </c>
      <c r="Y12" s="307">
        <v>13120</v>
      </c>
      <c r="Z12" s="307">
        <v>11808</v>
      </c>
      <c r="AA12" s="307">
        <v>13320</v>
      </c>
      <c r="AB12" s="307">
        <v>18216</v>
      </c>
      <c r="AC12" s="307">
        <v>12203</v>
      </c>
      <c r="AD12" s="307">
        <v>10854</v>
      </c>
      <c r="AE12" s="307">
        <v>9648</v>
      </c>
      <c r="AF12" s="307">
        <v>28636</v>
      </c>
      <c r="AG12" s="307">
        <v>8907</v>
      </c>
      <c r="AH12" s="307">
        <v>10400</v>
      </c>
      <c r="AI12" s="307">
        <v>10854</v>
      </c>
      <c r="AJ12" s="325">
        <v>5248</v>
      </c>
      <c r="AK12" s="303">
        <f t="shared" si="2"/>
        <v>513461.75</v>
      </c>
    </row>
    <row r="13" spans="1:37" x14ac:dyDescent="0.35">
      <c r="A13" s="313" t="s">
        <v>268</v>
      </c>
      <c r="B13" s="314">
        <v>2970</v>
      </c>
      <c r="C13" s="314">
        <v>4320</v>
      </c>
      <c r="D13" s="314">
        <v>2970</v>
      </c>
      <c r="E13" s="314">
        <v>2970</v>
      </c>
      <c r="F13" s="314">
        <v>1620</v>
      </c>
      <c r="G13" s="314">
        <v>7020</v>
      </c>
      <c r="H13" s="314">
        <v>3200</v>
      </c>
      <c r="I13" s="314">
        <v>5400</v>
      </c>
      <c r="J13" s="314">
        <v>3780</v>
      </c>
      <c r="K13" s="314">
        <v>3780</v>
      </c>
      <c r="L13" s="314">
        <v>2430</v>
      </c>
      <c r="M13" s="314">
        <v>4050</v>
      </c>
      <c r="N13" s="314">
        <v>1620</v>
      </c>
      <c r="O13" s="314">
        <v>7560</v>
      </c>
      <c r="P13" s="314">
        <v>1350</v>
      </c>
      <c r="Q13" s="314">
        <v>7560</v>
      </c>
      <c r="R13" s="314">
        <v>2970</v>
      </c>
      <c r="S13" s="314">
        <v>4320</v>
      </c>
      <c r="T13" s="314">
        <v>5400</v>
      </c>
      <c r="U13" s="314">
        <v>5400</v>
      </c>
      <c r="V13" s="323">
        <v>2970</v>
      </c>
      <c r="W13" s="314">
        <v>5130</v>
      </c>
      <c r="X13" s="314">
        <v>3240</v>
      </c>
      <c r="Y13" s="314">
        <v>4590</v>
      </c>
      <c r="Z13" s="314">
        <v>3240</v>
      </c>
      <c r="AA13" s="314">
        <v>7040</v>
      </c>
      <c r="AB13" s="314">
        <v>6080</v>
      </c>
      <c r="AC13" s="314">
        <v>4800</v>
      </c>
      <c r="AD13" s="314">
        <v>6350</v>
      </c>
      <c r="AE13" s="314">
        <v>6080</v>
      </c>
      <c r="AF13" s="314">
        <v>3840</v>
      </c>
      <c r="AG13" s="314">
        <v>1670</v>
      </c>
      <c r="AH13" s="314">
        <v>3200</v>
      </c>
      <c r="AI13" s="314">
        <v>4750</v>
      </c>
      <c r="AJ13" s="323">
        <v>1620</v>
      </c>
      <c r="AK13" s="303">
        <f t="shared" si="2"/>
        <v>145290</v>
      </c>
    </row>
    <row r="14" spans="1:37" x14ac:dyDescent="0.35">
      <c r="A14" s="317" t="s">
        <v>55</v>
      </c>
      <c r="B14" s="307">
        <v>59462.5</v>
      </c>
      <c r="C14" s="307">
        <v>83162.5</v>
      </c>
      <c r="D14" s="307">
        <v>52049.5</v>
      </c>
      <c r="E14" s="307">
        <v>51875</v>
      </c>
      <c r="F14" s="307">
        <v>38550</v>
      </c>
      <c r="G14" s="307">
        <v>133337.5</v>
      </c>
      <c r="H14" s="307">
        <v>59878.400000000001</v>
      </c>
      <c r="I14" s="307">
        <v>119175</v>
      </c>
      <c r="J14" s="307">
        <v>57025</v>
      </c>
      <c r="K14" s="307">
        <v>64375</v>
      </c>
      <c r="L14" s="307">
        <v>32287.5</v>
      </c>
      <c r="M14" s="307">
        <v>67412.5</v>
      </c>
      <c r="N14" s="307">
        <v>30250</v>
      </c>
      <c r="O14" s="307">
        <v>123500</v>
      </c>
      <c r="P14" s="307">
        <v>32487.5</v>
      </c>
      <c r="Q14" s="307">
        <v>87500.5</v>
      </c>
      <c r="R14" s="307">
        <v>57250</v>
      </c>
      <c r="S14" s="307">
        <v>55239</v>
      </c>
      <c r="T14" s="307">
        <v>74562.3</v>
      </c>
      <c r="U14" s="307">
        <v>84687.5</v>
      </c>
      <c r="V14" s="325">
        <v>44812.5</v>
      </c>
      <c r="W14" s="307">
        <v>65625</v>
      </c>
      <c r="X14" s="305">
        <v>51811</v>
      </c>
      <c r="Y14" s="307">
        <v>55112.5</v>
      </c>
      <c r="Z14" s="307">
        <v>63437.5</v>
      </c>
      <c r="AA14" s="307">
        <v>69188.479999999996</v>
      </c>
      <c r="AB14" s="307">
        <v>90555.75</v>
      </c>
      <c r="AC14" s="307">
        <v>59899.98</v>
      </c>
      <c r="AD14" s="351">
        <v>56874.12</v>
      </c>
      <c r="AE14" s="307">
        <v>16768.5</v>
      </c>
      <c r="AF14" s="307">
        <v>106084.84</v>
      </c>
      <c r="AG14" s="307">
        <v>43279</v>
      </c>
      <c r="AH14" s="307">
        <v>59878.400000000001</v>
      </c>
      <c r="AI14" s="307">
        <v>60183</v>
      </c>
      <c r="AJ14" s="325">
        <v>31243</v>
      </c>
      <c r="AK14" s="303">
        <f t="shared" si="2"/>
        <v>2238820.77</v>
      </c>
    </row>
    <row r="15" spans="1:37" x14ac:dyDescent="0.35">
      <c r="A15" s="324" t="s">
        <v>269</v>
      </c>
      <c r="B15" s="307">
        <v>4300</v>
      </c>
      <c r="C15" s="307">
        <v>5990</v>
      </c>
      <c r="D15" s="307">
        <v>4450</v>
      </c>
      <c r="E15" s="307">
        <v>4600</v>
      </c>
      <c r="F15" s="307">
        <v>2800</v>
      </c>
      <c r="G15" s="307">
        <v>9200</v>
      </c>
      <c r="H15" s="307">
        <v>4719.6000000000004</v>
      </c>
      <c r="I15" s="307">
        <v>7900</v>
      </c>
      <c r="J15" s="307">
        <v>4800</v>
      </c>
      <c r="K15" s="307">
        <v>4600</v>
      </c>
      <c r="L15" s="307">
        <v>1800</v>
      </c>
      <c r="M15" s="307">
        <v>5550</v>
      </c>
      <c r="N15" s="307">
        <v>1800</v>
      </c>
      <c r="O15" s="307">
        <v>7690</v>
      </c>
      <c r="P15" s="307">
        <v>2300</v>
      </c>
      <c r="Q15" s="307">
        <v>6900</v>
      </c>
      <c r="R15" s="307">
        <v>4600</v>
      </c>
      <c r="S15" s="307">
        <v>4100</v>
      </c>
      <c r="T15" s="307">
        <v>4600</v>
      </c>
      <c r="U15" s="307">
        <v>6750</v>
      </c>
      <c r="V15" s="325">
        <v>2800</v>
      </c>
      <c r="W15" s="307">
        <v>4100</v>
      </c>
      <c r="X15" s="325">
        <v>3100</v>
      </c>
      <c r="Y15" s="307">
        <v>3950</v>
      </c>
      <c r="Z15" s="325">
        <v>4100</v>
      </c>
      <c r="AA15" s="325">
        <v>5711.5</v>
      </c>
      <c r="AB15" s="307">
        <v>7080.3</v>
      </c>
      <c r="AC15" s="307">
        <v>3350.8</v>
      </c>
      <c r="AD15" s="307">
        <v>4719.6000000000004</v>
      </c>
      <c r="AE15" s="307">
        <v>2667.6</v>
      </c>
      <c r="AF15" s="307">
        <v>6663.9</v>
      </c>
      <c r="AG15" s="307">
        <v>3026.7</v>
      </c>
      <c r="AH15" s="307">
        <v>4719.6000000000004</v>
      </c>
      <c r="AI15" s="307">
        <v>3100</v>
      </c>
      <c r="AJ15" s="325">
        <v>1300</v>
      </c>
      <c r="AK15" s="317">
        <f t="shared" si="2"/>
        <v>159839.60000000003</v>
      </c>
    </row>
    <row r="16" spans="1:37" x14ac:dyDescent="0.35">
      <c r="A16" s="322" t="s">
        <v>57</v>
      </c>
      <c r="B16" s="314">
        <v>4562.5</v>
      </c>
      <c r="C16" s="314"/>
      <c r="D16" s="314">
        <v>375</v>
      </c>
      <c r="E16" s="314">
        <v>687.5</v>
      </c>
      <c r="F16" s="314">
        <v>2187.5</v>
      </c>
      <c r="G16" s="314">
        <v>2312.5</v>
      </c>
      <c r="H16" s="314">
        <v>1731.24</v>
      </c>
      <c r="I16" s="323">
        <v>1562.5</v>
      </c>
      <c r="J16" s="314">
        <v>375</v>
      </c>
      <c r="K16" s="314">
        <v>750</v>
      </c>
      <c r="L16" s="314">
        <v>3156.25</v>
      </c>
      <c r="M16" s="314">
        <v>1750</v>
      </c>
      <c r="N16" s="314">
        <v>1875</v>
      </c>
      <c r="O16" s="314">
        <v>2978</v>
      </c>
      <c r="P16" s="314"/>
      <c r="Q16" s="314">
        <v>937</v>
      </c>
      <c r="R16" s="314">
        <v>1812.5</v>
      </c>
      <c r="S16" s="314">
        <v>4687.5</v>
      </c>
      <c r="T16" s="314">
        <v>2250</v>
      </c>
      <c r="U16" s="314">
        <v>2750</v>
      </c>
      <c r="V16" s="323">
        <v>3687.5</v>
      </c>
      <c r="W16" s="314">
        <v>1062.5</v>
      </c>
      <c r="X16" s="314">
        <v>875</v>
      </c>
      <c r="Y16" s="314">
        <v>937</v>
      </c>
      <c r="Z16" s="323">
        <v>187.5</v>
      </c>
      <c r="AA16" s="323">
        <v>3462.48</v>
      </c>
      <c r="AB16" s="314">
        <v>7117.32</v>
      </c>
      <c r="AC16" s="314">
        <v>3398.36</v>
      </c>
      <c r="AD16" s="314">
        <v>2308.3200000000002</v>
      </c>
      <c r="AE16" s="314">
        <v>6375</v>
      </c>
      <c r="AF16" s="314">
        <v>3654.84</v>
      </c>
      <c r="AG16" s="314">
        <v>2499.7199999999998</v>
      </c>
      <c r="AH16" s="314">
        <v>1731.24</v>
      </c>
      <c r="AI16" s="314">
        <v>499</v>
      </c>
      <c r="AJ16" s="323">
        <v>1500</v>
      </c>
      <c r="AK16" s="303">
        <f t="shared" si="2"/>
        <v>76035.77</v>
      </c>
    </row>
    <row r="17" spans="1:37" x14ac:dyDescent="0.35">
      <c r="A17" s="322" t="s">
        <v>270</v>
      </c>
      <c r="B17" s="314">
        <v>1500</v>
      </c>
      <c r="C17" s="314">
        <v>1500</v>
      </c>
      <c r="D17" s="314">
        <v>1500</v>
      </c>
      <c r="E17" s="314">
        <v>1450</v>
      </c>
      <c r="F17" s="314">
        <v>1350</v>
      </c>
      <c r="G17" s="314">
        <v>1500</v>
      </c>
      <c r="H17" s="314">
        <v>1400</v>
      </c>
      <c r="I17" s="314">
        <v>900</v>
      </c>
      <c r="J17" s="314">
        <v>700</v>
      </c>
      <c r="K17" s="314">
        <v>1550</v>
      </c>
      <c r="L17" s="314">
        <v>1550</v>
      </c>
      <c r="M17" s="314">
        <v>1450</v>
      </c>
      <c r="N17" s="314"/>
      <c r="O17" s="314">
        <v>2100</v>
      </c>
      <c r="P17" s="314"/>
      <c r="Q17" s="314">
        <v>1600</v>
      </c>
      <c r="R17" s="323">
        <v>1400</v>
      </c>
      <c r="S17" s="314">
        <v>3000</v>
      </c>
      <c r="T17" s="314">
        <v>1400</v>
      </c>
      <c r="U17" s="314">
        <v>1300</v>
      </c>
      <c r="V17" s="323">
        <v>1400</v>
      </c>
      <c r="W17" s="314">
        <v>1400</v>
      </c>
      <c r="X17" s="323">
        <v>1300</v>
      </c>
      <c r="Y17" s="314">
        <v>1450</v>
      </c>
      <c r="Z17" s="323">
        <v>1500</v>
      </c>
      <c r="AA17" s="323">
        <v>1650</v>
      </c>
      <c r="AB17" s="314">
        <v>1000</v>
      </c>
      <c r="AC17" s="314">
        <v>550</v>
      </c>
      <c r="AD17" s="314">
        <v>2313</v>
      </c>
      <c r="AE17" s="314">
        <v>300</v>
      </c>
      <c r="AF17" s="314">
        <v>1650</v>
      </c>
      <c r="AG17" s="314">
        <v>1400</v>
      </c>
      <c r="AH17" s="314">
        <v>1400</v>
      </c>
      <c r="AI17" s="314">
        <v>1500</v>
      </c>
      <c r="AJ17" s="323">
        <v>300</v>
      </c>
      <c r="AK17" s="303">
        <f t="shared" si="2"/>
        <v>46263</v>
      </c>
    </row>
    <row r="18" spans="1:37" x14ac:dyDescent="0.35">
      <c r="A18" s="313" t="s">
        <v>315</v>
      </c>
      <c r="B18" s="314"/>
      <c r="C18" s="314">
        <v>4131</v>
      </c>
      <c r="D18" s="314">
        <v>172</v>
      </c>
      <c r="E18" s="314"/>
      <c r="F18" s="314">
        <v>2346.04</v>
      </c>
      <c r="G18" s="314">
        <v>941.25</v>
      </c>
      <c r="H18" s="314">
        <v>974</v>
      </c>
      <c r="I18" s="314">
        <v>5067.5</v>
      </c>
      <c r="J18" s="314">
        <v>1690.25</v>
      </c>
      <c r="K18" s="314">
        <v>924</v>
      </c>
      <c r="L18" s="314">
        <v>330</v>
      </c>
      <c r="M18" s="323"/>
      <c r="N18" s="314">
        <v>200</v>
      </c>
      <c r="O18" s="314">
        <v>1093</v>
      </c>
      <c r="P18" s="314">
        <v>2502</v>
      </c>
      <c r="Q18" s="314">
        <v>1766</v>
      </c>
      <c r="R18" s="314">
        <v>736</v>
      </c>
      <c r="S18" s="314">
        <v>858.95</v>
      </c>
      <c r="T18" s="314">
        <v>659</v>
      </c>
      <c r="U18" s="314">
        <v>472</v>
      </c>
      <c r="V18" s="323">
        <v>30</v>
      </c>
      <c r="W18" s="314">
        <v>1045</v>
      </c>
      <c r="X18" s="314">
        <v>1429</v>
      </c>
      <c r="Y18" s="314">
        <v>9359</v>
      </c>
      <c r="Z18" s="314">
        <v>2551</v>
      </c>
      <c r="AA18" s="314">
        <v>1495.05</v>
      </c>
      <c r="AB18" s="323"/>
      <c r="AC18" s="314">
        <v>1193.75</v>
      </c>
      <c r="AD18" s="314">
        <v>60</v>
      </c>
      <c r="AE18" s="314">
        <v>225</v>
      </c>
      <c r="AF18" s="314">
        <v>2420</v>
      </c>
      <c r="AG18" s="314">
        <v>635</v>
      </c>
      <c r="AH18" s="314">
        <v>974</v>
      </c>
      <c r="AI18" s="314">
        <v>1220</v>
      </c>
      <c r="AJ18" s="323">
        <v>501</v>
      </c>
      <c r="AK18" s="303">
        <f t="shared" si="2"/>
        <v>48000.790000000008</v>
      </c>
    </row>
    <row r="19" spans="1:37" x14ac:dyDescent="0.35">
      <c r="A19" s="321" t="s">
        <v>272</v>
      </c>
      <c r="B19" s="305">
        <v>5804.76</v>
      </c>
      <c r="C19" s="305">
        <v>6888.1</v>
      </c>
      <c r="D19" s="305">
        <v>4721.43</v>
      </c>
      <c r="E19" s="305">
        <v>4721.43</v>
      </c>
      <c r="F19" s="305">
        <v>3638.1</v>
      </c>
      <c r="G19" s="305">
        <v>10138.1</v>
      </c>
      <c r="H19" s="305">
        <v>4834.1000000000004</v>
      </c>
      <c r="I19" s="305">
        <v>10138.1</v>
      </c>
      <c r="J19" s="305">
        <v>4721.43</v>
      </c>
      <c r="K19" s="305">
        <v>4721.43</v>
      </c>
      <c r="L19" s="305">
        <v>3638.1</v>
      </c>
      <c r="M19" s="305">
        <v>5804.76</v>
      </c>
      <c r="N19" s="305">
        <v>2554.7600000000002</v>
      </c>
      <c r="O19" s="305">
        <v>10138.1</v>
      </c>
      <c r="P19" s="305">
        <v>2554.7600000000002</v>
      </c>
      <c r="Q19" s="305">
        <v>6888.1</v>
      </c>
      <c r="R19" s="305">
        <v>4721.43</v>
      </c>
      <c r="S19" s="305">
        <v>4721.43</v>
      </c>
      <c r="T19" s="305">
        <v>7971.43</v>
      </c>
      <c r="U19" s="305">
        <v>7971.43</v>
      </c>
      <c r="V19" s="334">
        <v>3638.1</v>
      </c>
      <c r="W19" s="305">
        <v>5804.76</v>
      </c>
      <c r="X19" s="334">
        <v>4721.43</v>
      </c>
      <c r="Y19" s="305">
        <v>3638.1</v>
      </c>
      <c r="Z19" s="305">
        <v>4721.43</v>
      </c>
      <c r="AA19" s="305">
        <v>7057.1</v>
      </c>
      <c r="AB19" s="305">
        <v>7057.1</v>
      </c>
      <c r="AC19" s="305">
        <v>5945.6</v>
      </c>
      <c r="AD19" s="305">
        <v>4834.1000000000004</v>
      </c>
      <c r="AE19" s="305">
        <v>4834.1000000000004</v>
      </c>
      <c r="AF19" s="305">
        <v>9280.1</v>
      </c>
      <c r="AG19" s="305">
        <v>3722.6</v>
      </c>
      <c r="AH19" s="305">
        <v>4834.1000000000004</v>
      </c>
      <c r="AI19" s="305">
        <v>4721.43</v>
      </c>
      <c r="AJ19" s="334"/>
      <c r="AK19" s="303">
        <f t="shared" si="2"/>
        <v>192101.33000000002</v>
      </c>
    </row>
    <row r="20" spans="1:37" x14ac:dyDescent="0.35">
      <c r="A20" s="322" t="s">
        <v>273</v>
      </c>
      <c r="B20" s="314">
        <v>71.430000000000007</v>
      </c>
      <c r="C20" s="314">
        <v>671.43</v>
      </c>
      <c r="D20" s="314">
        <v>471.43</v>
      </c>
      <c r="E20" s="314">
        <v>71.430000000000007</v>
      </c>
      <c r="F20" s="314">
        <v>271.43</v>
      </c>
      <c r="G20" s="314">
        <v>471.43</v>
      </c>
      <c r="H20" s="314">
        <v>671.43</v>
      </c>
      <c r="I20" s="314">
        <v>671.43</v>
      </c>
      <c r="J20" s="314"/>
      <c r="K20" s="314">
        <v>271.43</v>
      </c>
      <c r="L20" s="314">
        <v>471.43</v>
      </c>
      <c r="M20" s="314">
        <v>271.43</v>
      </c>
      <c r="N20" s="314"/>
      <c r="O20" s="314">
        <v>871.45</v>
      </c>
      <c r="P20" s="314">
        <v>271.43</v>
      </c>
      <c r="Q20" s="314">
        <v>671.43</v>
      </c>
      <c r="R20" s="314">
        <v>271.43</v>
      </c>
      <c r="S20" s="314">
        <v>471.43</v>
      </c>
      <c r="T20" s="314">
        <v>671.73</v>
      </c>
      <c r="U20" s="314">
        <v>471.43</v>
      </c>
      <c r="V20" s="323">
        <v>271.43</v>
      </c>
      <c r="W20" s="314">
        <v>471.43</v>
      </c>
      <c r="X20" s="323">
        <v>271.43</v>
      </c>
      <c r="Y20" s="314">
        <v>400</v>
      </c>
      <c r="Z20" s="323"/>
      <c r="AA20" s="323"/>
      <c r="AB20" s="314">
        <v>1093.75</v>
      </c>
      <c r="AC20" s="314">
        <v>271.45</v>
      </c>
      <c r="AD20" s="314">
        <v>871.43</v>
      </c>
      <c r="AE20" s="314">
        <v>271.43</v>
      </c>
      <c r="AF20" s="314">
        <v>271.43</v>
      </c>
      <c r="AG20" s="314"/>
      <c r="AH20" s="314">
        <v>671.43</v>
      </c>
      <c r="AI20" s="314">
        <v>271</v>
      </c>
      <c r="AJ20" s="323"/>
      <c r="AK20" s="303">
        <f t="shared" si="2"/>
        <v>13222.270000000004</v>
      </c>
    </row>
    <row r="21" spans="1:37" x14ac:dyDescent="0.35">
      <c r="A21" s="324" t="s">
        <v>274</v>
      </c>
      <c r="B21" s="307">
        <v>1425.36</v>
      </c>
      <c r="C21" s="307">
        <v>4455.3599999999997</v>
      </c>
      <c r="D21" s="307">
        <v>2435.36</v>
      </c>
      <c r="E21" s="307">
        <v>415.36</v>
      </c>
      <c r="F21" s="307">
        <v>2435.36</v>
      </c>
      <c r="G21" s="307">
        <v>2435.36</v>
      </c>
      <c r="H21" s="307">
        <v>3445.36</v>
      </c>
      <c r="I21" s="307">
        <v>6475</v>
      </c>
      <c r="J21" s="307"/>
      <c r="K21" s="307">
        <v>1425.36</v>
      </c>
      <c r="L21" s="307">
        <v>2435.36</v>
      </c>
      <c r="M21" s="307">
        <v>1425.36</v>
      </c>
      <c r="N21" s="307"/>
      <c r="O21" s="307">
        <v>4455.3599999999997</v>
      </c>
      <c r="P21" s="307">
        <v>1425.36</v>
      </c>
      <c r="Q21" s="307">
        <v>5465.36</v>
      </c>
      <c r="R21" s="307">
        <v>1425.36</v>
      </c>
      <c r="S21" s="307">
        <v>2435.36</v>
      </c>
      <c r="T21" s="307">
        <v>5465.36</v>
      </c>
      <c r="U21" s="307">
        <v>3445.36</v>
      </c>
      <c r="V21" s="325">
        <v>1425.36</v>
      </c>
      <c r="W21" s="307">
        <v>2435.36</v>
      </c>
      <c r="X21" s="334">
        <v>1425.36</v>
      </c>
      <c r="Y21" s="307">
        <v>1510</v>
      </c>
      <c r="Z21" s="307"/>
      <c r="AA21" s="307"/>
      <c r="AB21" s="307">
        <v>871.43</v>
      </c>
      <c r="AC21" s="307">
        <v>1425.36</v>
      </c>
      <c r="AD21" s="307">
        <v>4455.3599999999997</v>
      </c>
      <c r="AE21" s="307">
        <v>1425.36</v>
      </c>
      <c r="AF21" s="307">
        <v>1425.36</v>
      </c>
      <c r="AG21" s="307"/>
      <c r="AH21" s="307">
        <v>3445.36</v>
      </c>
      <c r="AI21" s="307">
        <v>1425</v>
      </c>
      <c r="AJ21" s="325"/>
      <c r="AK21" s="303">
        <f t="shared" si="2"/>
        <v>74195.430000000008</v>
      </c>
    </row>
    <row r="22" spans="1:37" x14ac:dyDescent="0.35">
      <c r="A22" s="313" t="s">
        <v>275</v>
      </c>
      <c r="B22" s="314">
        <v>343.75</v>
      </c>
      <c r="C22" s="314">
        <v>843.75</v>
      </c>
      <c r="D22" s="314">
        <v>593.75</v>
      </c>
      <c r="E22" s="314">
        <v>343.75</v>
      </c>
      <c r="F22" s="314">
        <v>593.75</v>
      </c>
      <c r="G22" s="314">
        <v>593.75</v>
      </c>
      <c r="H22" s="314">
        <v>843.75</v>
      </c>
      <c r="I22" s="314">
        <v>1093.75</v>
      </c>
      <c r="J22" s="314"/>
      <c r="K22" s="314">
        <v>343.75</v>
      </c>
      <c r="L22" s="314">
        <v>343.75</v>
      </c>
      <c r="M22" s="314">
        <v>343.75</v>
      </c>
      <c r="N22" s="314"/>
      <c r="O22" s="314">
        <v>1093.75</v>
      </c>
      <c r="P22" s="314">
        <v>343.75</v>
      </c>
      <c r="Q22" s="314">
        <v>1343.75</v>
      </c>
      <c r="R22" s="314">
        <v>343.75</v>
      </c>
      <c r="S22" s="314">
        <v>593.75</v>
      </c>
      <c r="T22" s="314">
        <v>1343.75</v>
      </c>
      <c r="U22" s="314">
        <v>843.75</v>
      </c>
      <c r="V22" s="323">
        <v>343.75</v>
      </c>
      <c r="W22" s="314">
        <v>593.75</v>
      </c>
      <c r="X22" s="323">
        <v>93.75</v>
      </c>
      <c r="Y22" s="314">
        <v>500</v>
      </c>
      <c r="Z22" s="314"/>
      <c r="AA22" s="314"/>
      <c r="AB22" s="314">
        <v>4455.3599999999997</v>
      </c>
      <c r="AC22" s="314">
        <v>343.75</v>
      </c>
      <c r="AD22" s="314">
        <v>1093.75</v>
      </c>
      <c r="AE22" s="314">
        <v>343.75</v>
      </c>
      <c r="AF22" s="314">
        <v>343.75</v>
      </c>
      <c r="AG22" s="314"/>
      <c r="AH22" s="314">
        <v>843.75</v>
      </c>
      <c r="AI22" s="314">
        <v>343</v>
      </c>
      <c r="AJ22" s="323"/>
      <c r="AK22" s="303">
        <f t="shared" si="2"/>
        <v>21485.86</v>
      </c>
    </row>
    <row r="23" spans="1:37" x14ac:dyDescent="0.35">
      <c r="A23" s="304" t="s">
        <v>316</v>
      </c>
      <c r="B23" s="334"/>
      <c r="C23" s="334"/>
      <c r="D23" s="334"/>
      <c r="E23" s="334"/>
      <c r="F23" s="334"/>
      <c r="G23" s="334"/>
      <c r="H23" s="334"/>
      <c r="I23" s="334"/>
      <c r="J23" s="334"/>
      <c r="K23" s="334"/>
      <c r="L23" s="334"/>
      <c r="M23" s="334"/>
      <c r="N23" s="334"/>
      <c r="O23" s="334"/>
      <c r="P23" s="334"/>
      <c r="Q23" s="334"/>
      <c r="R23" s="334"/>
      <c r="S23" s="334"/>
      <c r="T23" s="334"/>
      <c r="U23" s="334"/>
      <c r="V23" s="334"/>
      <c r="W23" s="334"/>
      <c r="X23" s="334"/>
      <c r="Y23" s="334"/>
      <c r="Z23" s="334"/>
      <c r="AA23" s="334"/>
      <c r="AB23" s="334"/>
      <c r="AC23" s="334"/>
      <c r="AD23" s="334"/>
      <c r="AE23" s="334"/>
      <c r="AF23" s="334"/>
      <c r="AG23" s="334"/>
      <c r="AH23" s="334"/>
      <c r="AI23" s="334"/>
      <c r="AJ23" s="334"/>
      <c r="AK23" s="303">
        <f t="shared" si="2"/>
        <v>0</v>
      </c>
    </row>
    <row r="24" spans="1:37" x14ac:dyDescent="0.35">
      <c r="A24" s="313" t="s">
        <v>277</v>
      </c>
      <c r="B24" s="314">
        <v>200</v>
      </c>
      <c r="C24" s="314">
        <v>840</v>
      </c>
      <c r="D24" s="314">
        <v>50</v>
      </c>
      <c r="E24" s="314">
        <v>50</v>
      </c>
      <c r="F24" s="314"/>
      <c r="G24" s="314">
        <v>150</v>
      </c>
      <c r="H24" s="314">
        <v>1270</v>
      </c>
      <c r="I24" s="314">
        <v>272</v>
      </c>
      <c r="J24" s="314">
        <v>170</v>
      </c>
      <c r="K24" s="314">
        <v>140</v>
      </c>
      <c r="L24" s="314">
        <v>250</v>
      </c>
      <c r="M24" s="314">
        <v>550</v>
      </c>
      <c r="N24" s="314">
        <v>250</v>
      </c>
      <c r="O24" s="314">
        <v>550</v>
      </c>
      <c r="P24" s="314">
        <v>350</v>
      </c>
      <c r="Q24" s="314">
        <v>1400</v>
      </c>
      <c r="R24" s="314">
        <v>1490</v>
      </c>
      <c r="S24" s="314">
        <v>800</v>
      </c>
      <c r="T24" s="314">
        <v>50</v>
      </c>
      <c r="U24" s="314">
        <v>80</v>
      </c>
      <c r="V24" s="323"/>
      <c r="W24" s="314">
        <v>1050</v>
      </c>
      <c r="X24" s="314">
        <v>625</v>
      </c>
      <c r="Y24" s="314">
        <v>250</v>
      </c>
      <c r="Z24" s="314">
        <v>120</v>
      </c>
      <c r="AA24" s="314">
        <v>460</v>
      </c>
      <c r="AB24" s="314">
        <v>700</v>
      </c>
      <c r="AC24" s="314">
        <v>310</v>
      </c>
      <c r="AD24" s="314">
        <v>945</v>
      </c>
      <c r="AE24" s="314">
        <v>2850</v>
      </c>
      <c r="AF24" s="314">
        <v>1230</v>
      </c>
      <c r="AG24" s="314">
        <v>910</v>
      </c>
      <c r="AH24" s="314">
        <v>1270</v>
      </c>
      <c r="AI24" s="314">
        <v>460</v>
      </c>
      <c r="AJ24" s="323">
        <v>400</v>
      </c>
      <c r="AK24" s="303">
        <f t="shared" si="2"/>
        <v>20492</v>
      </c>
    </row>
    <row r="25" spans="1:37" x14ac:dyDescent="0.35">
      <c r="A25" s="317" t="s">
        <v>278</v>
      </c>
      <c r="B25" s="325"/>
      <c r="C25" s="307">
        <v>400</v>
      </c>
      <c r="D25" s="325"/>
      <c r="E25" s="325"/>
      <c r="F25" s="325"/>
      <c r="G25" s="325"/>
      <c r="H25" s="325">
        <v>430</v>
      </c>
      <c r="I25" s="325"/>
      <c r="J25" s="325"/>
      <c r="K25" s="325">
        <v>90</v>
      </c>
      <c r="L25" s="325">
        <v>130</v>
      </c>
      <c r="M25" s="307">
        <v>2520</v>
      </c>
      <c r="N25" s="307">
        <v>90</v>
      </c>
      <c r="O25" s="326">
        <v>3335</v>
      </c>
      <c r="P25" s="325"/>
      <c r="Q25" s="307">
        <v>1550</v>
      </c>
      <c r="R25" s="291">
        <v>400</v>
      </c>
      <c r="S25" s="307">
        <v>260</v>
      </c>
      <c r="T25" s="307">
        <v>1420</v>
      </c>
      <c r="U25" s="307">
        <v>1260</v>
      </c>
      <c r="V25" s="325">
        <v>440</v>
      </c>
      <c r="W25" s="307">
        <v>635</v>
      </c>
      <c r="X25" s="307">
        <v>810</v>
      </c>
      <c r="Y25" s="307">
        <v>90</v>
      </c>
      <c r="Z25" s="307"/>
      <c r="AA25" s="307">
        <v>180</v>
      </c>
      <c r="AB25" s="307">
        <v>515</v>
      </c>
      <c r="AC25" s="307">
        <v>190</v>
      </c>
      <c r="AD25" s="307">
        <v>230</v>
      </c>
      <c r="AE25" s="307">
        <v>1560</v>
      </c>
      <c r="AF25" s="307">
        <v>2130</v>
      </c>
      <c r="AG25" s="307">
        <v>900</v>
      </c>
      <c r="AH25" s="307">
        <v>430</v>
      </c>
      <c r="AI25" s="307">
        <v>600</v>
      </c>
      <c r="AJ25" s="325">
        <v>90</v>
      </c>
      <c r="AK25" s="303">
        <f t="shared" si="2"/>
        <v>20685</v>
      </c>
    </row>
    <row r="26" spans="1:37" x14ac:dyDescent="0.35">
      <c r="A26" s="313" t="s">
        <v>279</v>
      </c>
      <c r="B26" s="314">
        <v>44000</v>
      </c>
      <c r="C26" s="314">
        <v>10000</v>
      </c>
      <c r="D26" s="314">
        <v>26750</v>
      </c>
      <c r="E26" s="314">
        <v>35000</v>
      </c>
      <c r="F26" s="314">
        <v>20000</v>
      </c>
      <c r="G26" s="314">
        <v>66150</v>
      </c>
      <c r="H26" s="314">
        <v>18000</v>
      </c>
      <c r="I26" s="314">
        <v>38217.86</v>
      </c>
      <c r="J26" s="314">
        <v>28000</v>
      </c>
      <c r="K26" s="314">
        <v>16000</v>
      </c>
      <c r="L26" s="314">
        <v>8269</v>
      </c>
      <c r="M26" s="314">
        <v>16000</v>
      </c>
      <c r="N26" s="314">
        <v>10000</v>
      </c>
      <c r="O26" s="314">
        <v>30500</v>
      </c>
      <c r="P26" s="314"/>
      <c r="Q26" s="314">
        <v>26250</v>
      </c>
      <c r="R26" s="314">
        <v>10000</v>
      </c>
      <c r="S26" s="314">
        <v>13000</v>
      </c>
      <c r="T26" s="314">
        <v>25000</v>
      </c>
      <c r="U26" s="314">
        <v>14500</v>
      </c>
      <c r="V26" s="323">
        <v>15000</v>
      </c>
      <c r="W26" s="314">
        <v>31500</v>
      </c>
      <c r="X26" s="323">
        <v>20000</v>
      </c>
      <c r="Y26" s="314">
        <v>16500</v>
      </c>
      <c r="Z26" s="314">
        <v>15000</v>
      </c>
      <c r="AA26" s="314"/>
      <c r="AB26" s="314">
        <v>9316.9</v>
      </c>
      <c r="AC26" s="314">
        <v>30000</v>
      </c>
      <c r="AD26" s="314">
        <v>20000</v>
      </c>
      <c r="AE26" s="314">
        <v>12000</v>
      </c>
      <c r="AF26" s="314">
        <v>20000</v>
      </c>
      <c r="AG26" s="314">
        <v>14000</v>
      </c>
      <c r="AH26" s="314">
        <v>18000</v>
      </c>
      <c r="AI26" s="314">
        <v>36000</v>
      </c>
      <c r="AJ26" s="323">
        <v>12000</v>
      </c>
      <c r="AK26" s="303">
        <f t="shared" si="2"/>
        <v>724953.76</v>
      </c>
    </row>
    <row r="27" spans="1:37" x14ac:dyDescent="0.35">
      <c r="A27" s="317" t="s">
        <v>280</v>
      </c>
      <c r="B27" s="307">
        <v>5759</v>
      </c>
      <c r="C27" s="307">
        <v>6124</v>
      </c>
      <c r="D27" s="307">
        <v>4734.66</v>
      </c>
      <c r="E27" s="307">
        <v>9149.58</v>
      </c>
      <c r="F27" s="307">
        <v>186.44</v>
      </c>
      <c r="G27" s="307">
        <v>13716.26</v>
      </c>
      <c r="H27" s="307">
        <v>6593.1</v>
      </c>
      <c r="I27" s="307">
        <v>10080</v>
      </c>
      <c r="J27" s="307">
        <v>9475</v>
      </c>
      <c r="K27" s="325">
        <v>8304</v>
      </c>
      <c r="L27" s="307">
        <v>4926</v>
      </c>
      <c r="M27" s="307">
        <v>6730</v>
      </c>
      <c r="N27" s="307">
        <v>2519.2199999999998</v>
      </c>
      <c r="O27" s="325">
        <v>8189.65</v>
      </c>
      <c r="P27" s="307">
        <v>3391.88</v>
      </c>
      <c r="Q27" s="307">
        <v>71.64</v>
      </c>
      <c r="R27" s="325">
        <v>5252.63</v>
      </c>
      <c r="S27" s="325">
        <v>4966</v>
      </c>
      <c r="T27" s="307">
        <v>5552.79</v>
      </c>
      <c r="U27" s="325">
        <v>6244</v>
      </c>
      <c r="V27" s="325">
        <v>4078</v>
      </c>
      <c r="W27" s="327">
        <v>5640</v>
      </c>
      <c r="X27" s="325">
        <v>6905</v>
      </c>
      <c r="Y27" s="325">
        <v>3171</v>
      </c>
      <c r="Z27" s="307">
        <v>6258.75</v>
      </c>
      <c r="AA27" s="307">
        <v>9038.7000000000007</v>
      </c>
      <c r="AB27" s="307">
        <v>7761</v>
      </c>
      <c r="AC27" s="307">
        <v>8122</v>
      </c>
      <c r="AD27" s="307">
        <v>5767.18</v>
      </c>
      <c r="AE27" s="307"/>
      <c r="AF27" s="307">
        <v>7833</v>
      </c>
      <c r="AG27" s="307">
        <v>7932.47</v>
      </c>
      <c r="AH27" s="325">
        <v>6593.1</v>
      </c>
      <c r="AI27" s="325">
        <v>15502</v>
      </c>
      <c r="AJ27" s="325">
        <v>5000</v>
      </c>
      <c r="AK27" s="303">
        <f t="shared" si="2"/>
        <v>221568.05</v>
      </c>
    </row>
    <row r="28" spans="1:37" x14ac:dyDescent="0.35">
      <c r="A28" s="313" t="s">
        <v>281</v>
      </c>
      <c r="B28" s="314">
        <v>1991</v>
      </c>
      <c r="C28" s="323">
        <v>660</v>
      </c>
      <c r="D28" s="314">
        <v>1471.68</v>
      </c>
      <c r="E28" s="314">
        <v>1742.22</v>
      </c>
      <c r="F28" s="314">
        <v>563.26</v>
      </c>
      <c r="G28" s="314">
        <v>4351.78</v>
      </c>
      <c r="H28" s="314">
        <v>3785.58</v>
      </c>
      <c r="I28" s="314">
        <v>3712.8</v>
      </c>
      <c r="J28" s="314">
        <v>1956</v>
      </c>
      <c r="K28" s="314">
        <v>500</v>
      </c>
      <c r="L28" s="314">
        <v>202</v>
      </c>
      <c r="M28" s="314">
        <v>812</v>
      </c>
      <c r="N28" s="314">
        <v>120</v>
      </c>
      <c r="O28" s="314">
        <v>1762.46</v>
      </c>
      <c r="P28" s="314">
        <v>278.3</v>
      </c>
      <c r="Q28" s="314">
        <v>1675</v>
      </c>
      <c r="R28" s="314">
        <v>585</v>
      </c>
      <c r="S28" s="314">
        <v>1719</v>
      </c>
      <c r="T28" s="323"/>
      <c r="U28" s="314">
        <v>482</v>
      </c>
      <c r="V28" s="323">
        <v>510</v>
      </c>
      <c r="W28" s="314">
        <v>606</v>
      </c>
      <c r="X28" s="323">
        <v>707.28</v>
      </c>
      <c r="Y28" s="314">
        <v>250</v>
      </c>
      <c r="Z28" s="323"/>
      <c r="AA28" s="314">
        <v>1300</v>
      </c>
      <c r="AB28" s="314">
        <v>677.7</v>
      </c>
      <c r="AC28" s="314">
        <v>339.6</v>
      </c>
      <c r="AD28" s="314">
        <v>856.2</v>
      </c>
      <c r="AE28" s="314">
        <v>302.39999999999998</v>
      </c>
      <c r="AF28" s="314">
        <v>2545.4699999999998</v>
      </c>
      <c r="AG28" s="314">
        <v>471.16</v>
      </c>
      <c r="AH28" s="314">
        <v>3785.58</v>
      </c>
      <c r="AI28" s="314">
        <v>84</v>
      </c>
      <c r="AJ28" s="323">
        <v>500</v>
      </c>
      <c r="AK28" s="303">
        <f t="shared" si="2"/>
        <v>41305.47</v>
      </c>
    </row>
    <row r="29" spans="1:37" x14ac:dyDescent="0.35">
      <c r="A29" s="317" t="s">
        <v>282</v>
      </c>
      <c r="B29" s="307">
        <v>24516.75</v>
      </c>
      <c r="C29" s="307">
        <v>5420.54</v>
      </c>
      <c r="D29" s="307">
        <v>13448.36</v>
      </c>
      <c r="E29" s="307">
        <v>17396.05</v>
      </c>
      <c r="F29" s="325">
        <v>12585.82</v>
      </c>
      <c r="G29" s="325">
        <v>42166.38</v>
      </c>
      <c r="H29" s="325">
        <v>15549.64</v>
      </c>
      <c r="I29" s="307">
        <v>24826.34</v>
      </c>
      <c r="J29" s="307">
        <v>9287.25</v>
      </c>
      <c r="K29" s="325">
        <v>2377.0700000000002</v>
      </c>
      <c r="L29" s="325">
        <v>1766</v>
      </c>
      <c r="M29" s="325">
        <v>7184.43</v>
      </c>
      <c r="N29" s="325">
        <v>5177.6099999999997</v>
      </c>
      <c r="O29" s="325">
        <v>13903.45</v>
      </c>
      <c r="P29" s="307">
        <v>15378.72</v>
      </c>
      <c r="Q29" s="307">
        <v>29189.95</v>
      </c>
      <c r="R29" s="325">
        <v>22922.97</v>
      </c>
      <c r="S29" s="307">
        <v>18305.73</v>
      </c>
      <c r="T29" s="307">
        <v>11306.8</v>
      </c>
      <c r="U29" s="307">
        <v>4061.84</v>
      </c>
      <c r="V29" s="325">
        <v>3186.66</v>
      </c>
      <c r="W29" s="307">
        <v>5476.4</v>
      </c>
      <c r="X29" s="325">
        <v>830</v>
      </c>
      <c r="Y29" s="307">
        <v>2557.9699999999998</v>
      </c>
      <c r="Z29" s="307">
        <v>3883.16</v>
      </c>
      <c r="AA29" s="307">
        <v>12675.4</v>
      </c>
      <c r="AB29" s="325">
        <v>17556</v>
      </c>
      <c r="AC29" s="307">
        <v>2475.91</v>
      </c>
      <c r="AD29" s="307">
        <v>8567.23</v>
      </c>
      <c r="AE29" s="307">
        <v>5455</v>
      </c>
      <c r="AF29" s="307">
        <v>35504.46</v>
      </c>
      <c r="AG29" s="307">
        <v>19390.29</v>
      </c>
      <c r="AH29" s="327">
        <v>15549.64</v>
      </c>
      <c r="AI29" s="327">
        <v>11343</v>
      </c>
      <c r="AJ29" s="325">
        <v>3140</v>
      </c>
      <c r="AK29" s="303">
        <f t="shared" si="2"/>
        <v>444362.81999999989</v>
      </c>
    </row>
    <row r="30" spans="1:37" x14ac:dyDescent="0.35">
      <c r="A30" s="313" t="s">
        <v>317</v>
      </c>
      <c r="B30" s="314">
        <v>1925.25</v>
      </c>
      <c r="C30" s="314">
        <v>5975</v>
      </c>
      <c r="D30" s="314">
        <v>621</v>
      </c>
      <c r="E30" s="314">
        <v>5219</v>
      </c>
      <c r="F30" s="314">
        <v>1323.5</v>
      </c>
      <c r="G30" s="314">
        <v>3912</v>
      </c>
      <c r="H30" s="314">
        <v>4790</v>
      </c>
      <c r="I30" s="323">
        <v>5420.75</v>
      </c>
      <c r="J30" s="314">
        <v>2426.75</v>
      </c>
      <c r="K30" s="314">
        <v>2014</v>
      </c>
      <c r="L30" s="323">
        <v>1452</v>
      </c>
      <c r="M30" s="314"/>
      <c r="N30" s="314">
        <v>1015</v>
      </c>
      <c r="O30" s="314">
        <v>8843</v>
      </c>
      <c r="P30" s="314"/>
      <c r="Q30" s="323">
        <v>8383</v>
      </c>
      <c r="R30" s="323">
        <v>1372</v>
      </c>
      <c r="S30" s="323">
        <v>3991.5</v>
      </c>
      <c r="T30" s="323">
        <v>4028</v>
      </c>
      <c r="U30" s="323">
        <v>5426</v>
      </c>
      <c r="V30" s="323">
        <v>4335</v>
      </c>
      <c r="W30" s="323">
        <v>4116</v>
      </c>
      <c r="X30" s="323">
        <v>2315</v>
      </c>
      <c r="Y30" s="323">
        <v>3731</v>
      </c>
      <c r="Z30" s="323">
        <v>2330</v>
      </c>
      <c r="AA30" s="323">
        <v>4992.5</v>
      </c>
      <c r="AB30" s="323">
        <v>8605.35</v>
      </c>
      <c r="AC30" s="323">
        <v>3904.1</v>
      </c>
      <c r="AD30" s="323">
        <v>10119.549999999999</v>
      </c>
      <c r="AE30" s="323">
        <v>3004</v>
      </c>
      <c r="AF30" s="323">
        <v>17087</v>
      </c>
      <c r="AG30" s="323">
        <v>5978</v>
      </c>
      <c r="AH30" s="314">
        <v>4790</v>
      </c>
      <c r="AI30" s="314">
        <v>9888</v>
      </c>
      <c r="AJ30" s="323">
        <v>1868.1</v>
      </c>
      <c r="AK30" s="303">
        <f t="shared" si="2"/>
        <v>155201.35</v>
      </c>
    </row>
    <row r="31" spans="1:37" x14ac:dyDescent="0.35">
      <c r="A31" s="317" t="s">
        <v>284</v>
      </c>
      <c r="B31" s="325">
        <v>550</v>
      </c>
      <c r="C31" s="325">
        <v>550</v>
      </c>
      <c r="D31" s="307">
        <v>200</v>
      </c>
      <c r="E31" s="325">
        <v>550</v>
      </c>
      <c r="F31" s="325">
        <v>550</v>
      </c>
      <c r="G31" s="325">
        <v>550</v>
      </c>
      <c r="H31" s="307">
        <v>550</v>
      </c>
      <c r="I31" s="307"/>
      <c r="J31" s="307">
        <v>400</v>
      </c>
      <c r="K31" s="307">
        <v>550</v>
      </c>
      <c r="L31" s="307">
        <v>550</v>
      </c>
      <c r="M31" s="307">
        <v>3059</v>
      </c>
      <c r="N31" s="325">
        <v>350</v>
      </c>
      <c r="O31" s="325">
        <v>550</v>
      </c>
      <c r="P31" s="307">
        <v>200</v>
      </c>
      <c r="Q31" s="325">
        <v>600</v>
      </c>
      <c r="R31" s="325">
        <v>350</v>
      </c>
      <c r="S31" s="325">
        <v>1006</v>
      </c>
      <c r="T31" s="307">
        <v>1000</v>
      </c>
      <c r="U31" s="325">
        <v>550</v>
      </c>
      <c r="V31" s="325">
        <v>200</v>
      </c>
      <c r="W31" s="325">
        <v>550</v>
      </c>
      <c r="X31" s="325">
        <v>200</v>
      </c>
      <c r="Y31" s="325">
        <v>550</v>
      </c>
      <c r="Z31" s="307">
        <v>875</v>
      </c>
      <c r="AA31" s="325">
        <v>900</v>
      </c>
      <c r="AB31" s="307">
        <v>330</v>
      </c>
      <c r="AC31" s="307">
        <v>430</v>
      </c>
      <c r="AD31" s="325">
        <v>1000</v>
      </c>
      <c r="AE31" s="325">
        <v>200</v>
      </c>
      <c r="AF31" s="307">
        <v>1000</v>
      </c>
      <c r="AG31" s="307">
        <v>550</v>
      </c>
      <c r="AH31" s="307">
        <v>550</v>
      </c>
      <c r="AI31" s="307">
        <v>687</v>
      </c>
      <c r="AJ31" s="325">
        <v>200</v>
      </c>
      <c r="AK31" s="303">
        <f t="shared" si="2"/>
        <v>20887</v>
      </c>
    </row>
    <row r="32" spans="1:37" x14ac:dyDescent="0.35">
      <c r="A32" s="313" t="s">
        <v>318</v>
      </c>
      <c r="B32" s="323">
        <v>265.92</v>
      </c>
      <c r="C32" s="323">
        <v>51.9</v>
      </c>
      <c r="D32" s="323">
        <v>179.59</v>
      </c>
      <c r="E32" s="323">
        <v>230.46</v>
      </c>
      <c r="F32" s="323">
        <v>70</v>
      </c>
      <c r="G32" s="323">
        <v>1617.62</v>
      </c>
      <c r="H32" s="323"/>
      <c r="I32" s="323">
        <v>540.08000000000004</v>
      </c>
      <c r="J32" s="323">
        <v>87.81</v>
      </c>
      <c r="K32" s="323">
        <v>254.61</v>
      </c>
      <c r="L32" s="323"/>
      <c r="M32" s="314"/>
      <c r="N32" s="323"/>
      <c r="O32" s="323">
        <v>1360</v>
      </c>
      <c r="P32" s="323">
        <v>80</v>
      </c>
      <c r="Q32" s="323"/>
      <c r="R32" s="323"/>
      <c r="S32" s="323"/>
      <c r="T32" s="323">
        <v>55</v>
      </c>
      <c r="U32" s="323">
        <v>34</v>
      </c>
      <c r="V32" s="323"/>
      <c r="W32" s="323"/>
      <c r="X32" s="323"/>
      <c r="Y32" s="323"/>
      <c r="Z32" s="323"/>
      <c r="AA32" s="323">
        <v>15</v>
      </c>
      <c r="AB32" s="314">
        <v>60</v>
      </c>
      <c r="AC32" s="323"/>
      <c r="AD32" s="323"/>
      <c r="AE32" s="323">
        <v>16</v>
      </c>
      <c r="AF32" s="323">
        <v>122</v>
      </c>
      <c r="AG32" s="323"/>
      <c r="AH32" s="323"/>
      <c r="AI32" s="323"/>
      <c r="AJ32" s="323"/>
      <c r="AK32" s="303">
        <f t="shared" si="2"/>
        <v>5039.99</v>
      </c>
    </row>
    <row r="33" spans="1:37" x14ac:dyDescent="0.35">
      <c r="A33" s="317" t="s">
        <v>286</v>
      </c>
      <c r="B33" s="307">
        <v>1328.4</v>
      </c>
      <c r="C33" s="307">
        <v>4760</v>
      </c>
      <c r="D33" s="307">
        <v>983</v>
      </c>
      <c r="E33" s="307">
        <v>1387</v>
      </c>
      <c r="F33" s="307">
        <v>736</v>
      </c>
      <c r="G33" s="307">
        <v>1950.5</v>
      </c>
      <c r="H33" s="307">
        <v>1038</v>
      </c>
      <c r="I33" s="307">
        <v>1808.75</v>
      </c>
      <c r="J33" s="307">
        <v>1144.5</v>
      </c>
      <c r="K33" s="325">
        <v>1120</v>
      </c>
      <c r="L33" s="307">
        <v>997</v>
      </c>
      <c r="M33" s="307">
        <v>2575</v>
      </c>
      <c r="N33" s="307">
        <v>709</v>
      </c>
      <c r="O33" s="307">
        <v>2333</v>
      </c>
      <c r="P33" s="307">
        <v>370</v>
      </c>
      <c r="Q33" s="307">
        <v>5346.3</v>
      </c>
      <c r="R33" s="325">
        <v>1483</v>
      </c>
      <c r="S33" s="307">
        <v>2111.1</v>
      </c>
      <c r="T33" s="307">
        <v>597</v>
      </c>
      <c r="U33" s="307">
        <v>1142</v>
      </c>
      <c r="V33" s="325">
        <v>2133</v>
      </c>
      <c r="W33" s="307">
        <v>3468</v>
      </c>
      <c r="X33" s="325">
        <v>631.5</v>
      </c>
      <c r="Y33" s="307">
        <v>1305</v>
      </c>
      <c r="Z33" s="307">
        <v>1089</v>
      </c>
      <c r="AA33" s="307">
        <v>1965.35</v>
      </c>
      <c r="AB33" s="307">
        <v>1626.1</v>
      </c>
      <c r="AC33" s="307">
        <v>1161.75</v>
      </c>
      <c r="AD33" s="307">
        <v>1512.25</v>
      </c>
      <c r="AE33" s="307">
        <v>1278.5</v>
      </c>
      <c r="AF33" s="307">
        <v>1900.4</v>
      </c>
      <c r="AG33" s="307">
        <v>884</v>
      </c>
      <c r="AH33" s="307">
        <v>1038</v>
      </c>
      <c r="AI33" s="307">
        <v>1922</v>
      </c>
      <c r="AJ33" s="325">
        <v>1015.95</v>
      </c>
      <c r="AK33" s="303">
        <f t="shared" si="2"/>
        <v>56850.35</v>
      </c>
    </row>
    <row r="34" spans="1:37" x14ac:dyDescent="0.35">
      <c r="A34" s="313" t="s">
        <v>287</v>
      </c>
      <c r="B34" s="314">
        <v>1050</v>
      </c>
      <c r="C34" s="323"/>
      <c r="D34" s="323"/>
      <c r="E34" s="323"/>
      <c r="F34" s="323"/>
      <c r="G34" s="323"/>
      <c r="H34" s="314"/>
      <c r="I34" s="314"/>
      <c r="J34" s="314">
        <v>505</v>
      </c>
      <c r="K34" s="314">
        <v>875</v>
      </c>
      <c r="L34" s="323"/>
      <c r="M34" s="323"/>
      <c r="N34" s="323">
        <v>350</v>
      </c>
      <c r="O34" s="323"/>
      <c r="P34" s="314">
        <v>300</v>
      </c>
      <c r="Q34" s="323"/>
      <c r="R34" s="323"/>
      <c r="S34" s="314"/>
      <c r="T34" s="323">
        <v>56</v>
      </c>
      <c r="U34" s="323"/>
      <c r="V34" s="323"/>
      <c r="W34" s="323"/>
      <c r="X34" s="323"/>
      <c r="Y34" s="314"/>
      <c r="Z34" s="314"/>
      <c r="AA34" s="314"/>
      <c r="AB34" s="314"/>
      <c r="AC34" s="314">
        <v>75</v>
      </c>
      <c r="AD34" s="323">
        <v>480</v>
      </c>
      <c r="AE34" s="323"/>
      <c r="AF34" s="323"/>
      <c r="AG34" s="323"/>
      <c r="AH34" s="323"/>
      <c r="AI34" s="323"/>
      <c r="AJ34" s="323">
        <v>300</v>
      </c>
      <c r="AK34" s="303">
        <f t="shared" si="2"/>
        <v>3991</v>
      </c>
    </row>
    <row r="35" spans="1:37" x14ac:dyDescent="0.35">
      <c r="A35" s="317" t="s">
        <v>319</v>
      </c>
      <c r="B35" s="307"/>
      <c r="C35" s="307">
        <v>2930</v>
      </c>
      <c r="D35" s="307">
        <v>2475</v>
      </c>
      <c r="E35" s="307">
        <v>2415</v>
      </c>
      <c r="F35" s="307">
        <v>499</v>
      </c>
      <c r="G35" s="307">
        <v>4380</v>
      </c>
      <c r="H35" s="325">
        <v>875.25</v>
      </c>
      <c r="I35" s="325"/>
      <c r="J35" s="307">
        <v>3293.7</v>
      </c>
      <c r="K35" s="325">
        <v>1980</v>
      </c>
      <c r="L35" s="325">
        <v>1729</v>
      </c>
      <c r="M35" s="307">
        <v>4450</v>
      </c>
      <c r="N35" s="307">
        <v>316</v>
      </c>
      <c r="O35" s="325">
        <v>4626</v>
      </c>
      <c r="P35" s="325">
        <v>1270</v>
      </c>
      <c r="Q35" s="307">
        <v>712</v>
      </c>
      <c r="R35" s="307">
        <v>634</v>
      </c>
      <c r="S35" s="325">
        <v>474.9</v>
      </c>
      <c r="T35" s="307">
        <v>3650</v>
      </c>
      <c r="U35" s="307">
        <v>907</v>
      </c>
      <c r="V35" s="325">
        <v>2283.75</v>
      </c>
      <c r="W35" s="307">
        <v>1980</v>
      </c>
      <c r="X35" s="307">
        <v>2651</v>
      </c>
      <c r="Y35" s="325">
        <v>3135</v>
      </c>
      <c r="Z35" s="325"/>
      <c r="AA35" s="307">
        <v>876</v>
      </c>
      <c r="AB35" s="327">
        <v>345</v>
      </c>
      <c r="AC35" s="307">
        <v>1468.75</v>
      </c>
      <c r="AD35" s="307">
        <v>600</v>
      </c>
      <c r="AE35" s="307">
        <v>2091.25</v>
      </c>
      <c r="AF35" s="307">
        <v>2443.25</v>
      </c>
      <c r="AG35" s="307">
        <v>1148.75</v>
      </c>
      <c r="AH35" s="325">
        <v>875.25</v>
      </c>
      <c r="AI35" s="325">
        <v>913</v>
      </c>
      <c r="AJ35" s="325">
        <v>2003</v>
      </c>
      <c r="AK35" s="303">
        <f t="shared" si="2"/>
        <v>60430.85</v>
      </c>
    </row>
    <row r="36" spans="1:37" x14ac:dyDescent="0.35">
      <c r="A36" s="313" t="s">
        <v>289</v>
      </c>
      <c r="B36" s="314">
        <v>1419.15</v>
      </c>
      <c r="C36" s="314">
        <v>1955</v>
      </c>
      <c r="D36" s="314">
        <v>212</v>
      </c>
      <c r="E36" s="314">
        <v>450</v>
      </c>
      <c r="F36" s="314">
        <v>457</v>
      </c>
      <c r="G36" s="314">
        <v>1911.25</v>
      </c>
      <c r="H36" s="314">
        <v>338.75</v>
      </c>
      <c r="I36" s="314">
        <v>1012.75</v>
      </c>
      <c r="J36" s="314">
        <v>1269.75</v>
      </c>
      <c r="K36" s="314">
        <v>132</v>
      </c>
      <c r="L36" s="314">
        <v>96</v>
      </c>
      <c r="M36" s="314">
        <v>666</v>
      </c>
      <c r="N36" s="314">
        <v>110</v>
      </c>
      <c r="O36" s="314">
        <v>1652</v>
      </c>
      <c r="P36" s="314"/>
      <c r="Q36" s="314">
        <v>905.6</v>
      </c>
      <c r="R36" s="314">
        <v>777</v>
      </c>
      <c r="S36" s="314">
        <v>160</v>
      </c>
      <c r="T36" s="314">
        <v>659</v>
      </c>
      <c r="U36" s="314">
        <v>1712</v>
      </c>
      <c r="V36" s="323">
        <v>990</v>
      </c>
      <c r="W36" s="314">
        <v>1038</v>
      </c>
      <c r="X36" s="330">
        <v>1312</v>
      </c>
      <c r="Y36" s="323">
        <v>213</v>
      </c>
      <c r="Z36" s="323">
        <v>1210</v>
      </c>
      <c r="AA36" s="323"/>
      <c r="AB36" s="323">
        <v>784</v>
      </c>
      <c r="AC36" s="323"/>
      <c r="AD36" s="323">
        <v>897.6</v>
      </c>
      <c r="AE36" s="323">
        <v>393.5</v>
      </c>
      <c r="AF36" s="323">
        <v>1060</v>
      </c>
      <c r="AG36" s="323">
        <v>648</v>
      </c>
      <c r="AH36" s="314">
        <v>338.75</v>
      </c>
      <c r="AI36" s="314">
        <v>216</v>
      </c>
      <c r="AJ36" s="323">
        <v>792.85</v>
      </c>
      <c r="AK36" s="303">
        <f t="shared" si="2"/>
        <v>25788.949999999997</v>
      </c>
    </row>
    <row r="37" spans="1:37" x14ac:dyDescent="0.35">
      <c r="A37" s="304" t="s">
        <v>320</v>
      </c>
      <c r="B37" s="305"/>
      <c r="C37" s="305">
        <v>360</v>
      </c>
      <c r="D37" s="305">
        <v>775</v>
      </c>
      <c r="E37" s="305"/>
      <c r="F37" s="305">
        <v>60</v>
      </c>
      <c r="G37" s="305">
        <v>1134</v>
      </c>
      <c r="H37" s="305">
        <v>1767</v>
      </c>
      <c r="I37" s="305">
        <v>497</v>
      </c>
      <c r="J37" s="334"/>
      <c r="K37" s="305">
        <v>868.81</v>
      </c>
      <c r="L37" s="305">
        <v>1178</v>
      </c>
      <c r="M37" s="305">
        <v>4200</v>
      </c>
      <c r="N37" s="307"/>
      <c r="O37" s="307">
        <v>4490</v>
      </c>
      <c r="P37" s="325"/>
      <c r="Q37" s="307">
        <v>118</v>
      </c>
      <c r="R37" s="307">
        <v>1507.08</v>
      </c>
      <c r="S37" s="307"/>
      <c r="T37" s="307">
        <v>1017</v>
      </c>
      <c r="U37" s="307">
        <v>10597</v>
      </c>
      <c r="V37" s="325"/>
      <c r="W37" s="307">
        <v>2118.5</v>
      </c>
      <c r="X37" s="325"/>
      <c r="Y37" s="325">
        <v>233</v>
      </c>
      <c r="Z37" s="325"/>
      <c r="AA37" s="325">
        <v>1010</v>
      </c>
      <c r="AB37" s="325">
        <v>1975</v>
      </c>
      <c r="AC37" s="325"/>
      <c r="AD37" s="325">
        <v>136</v>
      </c>
      <c r="AE37" s="325"/>
      <c r="AF37" s="325">
        <v>3635</v>
      </c>
      <c r="AG37" s="325">
        <v>186</v>
      </c>
      <c r="AH37" s="307">
        <v>1767</v>
      </c>
      <c r="AI37" s="307">
        <v>2905</v>
      </c>
      <c r="AJ37" s="325">
        <v>172</v>
      </c>
      <c r="AK37" s="303">
        <f t="shared" si="2"/>
        <v>42706.39</v>
      </c>
    </row>
    <row r="38" spans="1:37" x14ac:dyDescent="0.35">
      <c r="A38" s="313" t="s">
        <v>291</v>
      </c>
      <c r="B38" s="314">
        <v>3608.75</v>
      </c>
      <c r="C38" s="323">
        <v>3242.5</v>
      </c>
      <c r="D38" s="314">
        <v>355</v>
      </c>
      <c r="E38" s="314">
        <v>2155.04</v>
      </c>
      <c r="F38" s="323"/>
      <c r="G38" s="314">
        <v>1374</v>
      </c>
      <c r="H38" s="314">
        <v>1328</v>
      </c>
      <c r="I38" s="314">
        <v>45</v>
      </c>
      <c r="J38" s="323">
        <v>5010.54</v>
      </c>
      <c r="K38" s="314">
        <v>93</v>
      </c>
      <c r="L38" s="314">
        <v>40</v>
      </c>
      <c r="M38" s="314">
        <v>3547</v>
      </c>
      <c r="N38" s="314">
        <v>818</v>
      </c>
      <c r="O38" s="314">
        <v>346</v>
      </c>
      <c r="P38" s="314"/>
      <c r="Q38" s="314">
        <v>1617</v>
      </c>
      <c r="R38" s="323">
        <v>1445</v>
      </c>
      <c r="S38" s="323">
        <v>1000</v>
      </c>
      <c r="T38" s="314"/>
      <c r="U38" s="314">
        <v>687</v>
      </c>
      <c r="V38" s="323">
        <v>532</v>
      </c>
      <c r="W38" s="314">
        <v>1713</v>
      </c>
      <c r="X38" s="330">
        <v>217</v>
      </c>
      <c r="Y38" s="323">
        <v>760</v>
      </c>
      <c r="Z38" s="323"/>
      <c r="AA38" s="323">
        <v>546</v>
      </c>
      <c r="AB38" s="323">
        <v>4017</v>
      </c>
      <c r="AC38" s="331">
        <v>30</v>
      </c>
      <c r="AD38" s="331">
        <v>1978</v>
      </c>
      <c r="AE38" s="331">
        <v>1309</v>
      </c>
      <c r="AF38" s="331">
        <v>3427.35</v>
      </c>
      <c r="AG38" s="331">
        <v>1888.82</v>
      </c>
      <c r="AH38" s="333">
        <v>1328</v>
      </c>
      <c r="AI38" s="333">
        <v>803</v>
      </c>
      <c r="AJ38" s="331">
        <v>2515</v>
      </c>
      <c r="AK38" s="303">
        <f t="shared" si="2"/>
        <v>47776</v>
      </c>
    </row>
    <row r="39" spans="1:37" x14ac:dyDescent="0.35">
      <c r="A39" s="304" t="s">
        <v>292</v>
      </c>
      <c r="B39" s="305">
        <v>8385.11</v>
      </c>
      <c r="C39" s="305">
        <v>8385.11</v>
      </c>
      <c r="D39" s="307">
        <v>6288.84</v>
      </c>
      <c r="E39" s="305">
        <v>6288.84</v>
      </c>
      <c r="F39" s="305"/>
      <c r="G39" s="305">
        <v>14673.95</v>
      </c>
      <c r="H39" s="305">
        <v>2096.2800000000002</v>
      </c>
      <c r="I39" s="305">
        <v>14673.96</v>
      </c>
      <c r="J39" s="305">
        <v>6288.84</v>
      </c>
      <c r="K39" s="305">
        <v>6288.84</v>
      </c>
      <c r="L39" s="305">
        <v>4192.5600000000004</v>
      </c>
      <c r="M39" s="305">
        <v>6288.84</v>
      </c>
      <c r="N39" s="305">
        <v>2096.2800000000002</v>
      </c>
      <c r="O39" s="307">
        <v>12577.67</v>
      </c>
      <c r="P39" s="305"/>
      <c r="Q39" s="305">
        <v>6288.84</v>
      </c>
      <c r="R39" s="305">
        <v>4192.5600000000004</v>
      </c>
      <c r="S39" s="305">
        <v>4192.5600000000004</v>
      </c>
      <c r="T39" s="305">
        <v>6288.84</v>
      </c>
      <c r="U39" s="305">
        <v>8385.11</v>
      </c>
      <c r="V39" s="334">
        <v>2096.2800000000002</v>
      </c>
      <c r="W39" s="305">
        <v>8385.11</v>
      </c>
      <c r="X39" s="334">
        <v>2096.2800000000002</v>
      </c>
      <c r="Y39" s="334">
        <v>2096.2800000000002</v>
      </c>
      <c r="Z39" s="334">
        <v>4192.5600000000004</v>
      </c>
      <c r="AA39" s="334">
        <v>6288.84</v>
      </c>
      <c r="AB39" s="334">
        <v>6288.84</v>
      </c>
      <c r="AC39" s="334">
        <v>6288.84</v>
      </c>
      <c r="AD39" s="334">
        <v>2096.2800000000002</v>
      </c>
      <c r="AE39" s="334">
        <v>2096.2800000000002</v>
      </c>
      <c r="AF39" s="334">
        <v>12577.67</v>
      </c>
      <c r="AG39" s="334">
        <v>6288.84</v>
      </c>
      <c r="AH39" s="305">
        <v>2096.2800000000002</v>
      </c>
      <c r="AI39" s="305">
        <v>2096.2800000000002</v>
      </c>
      <c r="AJ39" s="334">
        <v>2096.2800000000002</v>
      </c>
      <c r="AK39" s="303">
        <f t="shared" si="2"/>
        <v>194953.96999999997</v>
      </c>
    </row>
    <row r="40" spans="1:37" x14ac:dyDescent="0.35">
      <c r="A40" s="313" t="s">
        <v>321</v>
      </c>
      <c r="B40" s="314">
        <v>1270.68</v>
      </c>
      <c r="C40" s="314">
        <v>1270.68</v>
      </c>
      <c r="D40" s="314">
        <v>953.01</v>
      </c>
      <c r="E40" s="314">
        <v>953.01</v>
      </c>
      <c r="F40" s="314">
        <v>317.67</v>
      </c>
      <c r="G40" s="314">
        <v>2223.69</v>
      </c>
      <c r="H40" s="314"/>
      <c r="I40" s="314">
        <v>2223.69</v>
      </c>
      <c r="J40" s="314">
        <v>953.01</v>
      </c>
      <c r="K40" s="314">
        <v>953.01</v>
      </c>
      <c r="L40" s="314">
        <v>635.34</v>
      </c>
      <c r="M40" s="314">
        <v>953.01</v>
      </c>
      <c r="N40" s="314">
        <v>317.67</v>
      </c>
      <c r="O40" s="314">
        <v>1906.02</v>
      </c>
      <c r="P40" s="314">
        <v>317.67</v>
      </c>
      <c r="Q40" s="314">
        <v>953.01</v>
      </c>
      <c r="R40" s="314">
        <v>635.34</v>
      </c>
      <c r="S40" s="314">
        <v>635.34</v>
      </c>
      <c r="T40" s="314">
        <v>953.01</v>
      </c>
      <c r="U40" s="314">
        <v>1270.68</v>
      </c>
      <c r="V40" s="323">
        <v>317.67</v>
      </c>
      <c r="W40" s="314">
        <v>1270.68</v>
      </c>
      <c r="X40" s="323">
        <v>317.67</v>
      </c>
      <c r="Y40" s="323">
        <v>317.67</v>
      </c>
      <c r="Z40" s="323">
        <v>653.34</v>
      </c>
      <c r="AA40" s="323">
        <v>953.01</v>
      </c>
      <c r="AB40" s="323">
        <v>953.01</v>
      </c>
      <c r="AC40" s="331">
        <v>953.01</v>
      </c>
      <c r="AD40" s="331">
        <v>317.67</v>
      </c>
      <c r="AE40" s="331">
        <v>317.67</v>
      </c>
      <c r="AF40" s="331">
        <v>1905.02</v>
      </c>
      <c r="AG40" s="331">
        <v>953.01</v>
      </c>
      <c r="AH40" s="333">
        <v>317.67</v>
      </c>
      <c r="AI40" s="333">
        <v>317.67</v>
      </c>
      <c r="AJ40" s="331">
        <v>317.67</v>
      </c>
      <c r="AK40" s="303">
        <f t="shared" si="2"/>
        <v>29877.979999999981</v>
      </c>
    </row>
    <row r="41" spans="1:37" x14ac:dyDescent="0.35">
      <c r="A41" s="304" t="s">
        <v>322</v>
      </c>
      <c r="B41" s="334">
        <v>0</v>
      </c>
      <c r="C41" s="334">
        <v>0</v>
      </c>
      <c r="D41" s="334">
        <v>0</v>
      </c>
      <c r="E41" s="334">
        <v>0</v>
      </c>
      <c r="F41" s="334">
        <v>0</v>
      </c>
      <c r="G41" s="334">
        <v>0</v>
      </c>
      <c r="H41" s="334">
        <v>317.67</v>
      </c>
      <c r="I41" s="334">
        <v>0</v>
      </c>
      <c r="J41" s="334">
        <v>0</v>
      </c>
      <c r="K41" s="334">
        <v>0</v>
      </c>
      <c r="L41" s="334">
        <v>0</v>
      </c>
      <c r="M41" s="334">
        <v>0</v>
      </c>
      <c r="N41" s="334">
        <v>0</v>
      </c>
      <c r="O41" s="334">
        <v>0</v>
      </c>
      <c r="P41" s="334">
        <v>0</v>
      </c>
      <c r="Q41" s="334">
        <v>0</v>
      </c>
      <c r="R41" s="334">
        <v>0</v>
      </c>
      <c r="S41" s="334">
        <v>0</v>
      </c>
      <c r="T41" s="334">
        <v>0</v>
      </c>
      <c r="U41" s="334">
        <v>0</v>
      </c>
      <c r="V41" s="334">
        <v>0</v>
      </c>
      <c r="W41" s="334">
        <v>0</v>
      </c>
      <c r="X41" s="334">
        <v>0</v>
      </c>
      <c r="Y41" s="334">
        <v>0</v>
      </c>
      <c r="Z41" s="334">
        <v>0</v>
      </c>
      <c r="AA41" s="334">
        <v>0</v>
      </c>
      <c r="AB41" s="334">
        <v>0</v>
      </c>
      <c r="AC41" s="334">
        <v>0</v>
      </c>
      <c r="AD41" s="334">
        <v>0</v>
      </c>
      <c r="AE41" s="334">
        <v>0</v>
      </c>
      <c r="AF41" s="334">
        <v>0</v>
      </c>
      <c r="AG41" s="334">
        <v>0</v>
      </c>
      <c r="AH41" s="334">
        <v>0</v>
      </c>
      <c r="AI41" s="334">
        <v>0</v>
      </c>
      <c r="AJ41" s="334">
        <v>0</v>
      </c>
      <c r="AK41" s="303">
        <f t="shared" si="2"/>
        <v>317.67</v>
      </c>
    </row>
    <row r="42" spans="1:37" x14ac:dyDescent="0.35">
      <c r="A42" s="336" t="s">
        <v>323</v>
      </c>
      <c r="B42" s="336">
        <f t="shared" ref="B42:AJ42" si="3">SUM(B10:B41)</f>
        <v>224321.81</v>
      </c>
      <c r="C42" s="336">
        <f t="shared" si="3"/>
        <v>228526.37</v>
      </c>
      <c r="D42" s="336">
        <f t="shared" si="3"/>
        <v>160397.10999999999</v>
      </c>
      <c r="E42" s="336">
        <f t="shared" si="3"/>
        <v>184185.16999999995</v>
      </c>
      <c r="F42" s="336">
        <f t="shared" si="3"/>
        <v>112165.86999999998</v>
      </c>
      <c r="G42" s="336">
        <f t="shared" si="3"/>
        <v>414987.32000000007</v>
      </c>
      <c r="H42" s="336">
        <f t="shared" si="3"/>
        <v>175930.15000000002</v>
      </c>
      <c r="I42" s="336">
        <f t="shared" si="3"/>
        <v>337715.26000000007</v>
      </c>
      <c r="J42" s="336">
        <f t="shared" si="3"/>
        <v>176413.58000000002</v>
      </c>
      <c r="K42" s="336">
        <f t="shared" si="3"/>
        <v>156442.80999999997</v>
      </c>
      <c r="L42" s="336">
        <f t="shared" si="3"/>
        <v>93880.29</v>
      </c>
      <c r="M42" s="336">
        <f t="shared" si="3"/>
        <v>192897.58</v>
      </c>
      <c r="N42" s="336">
        <f t="shared" si="3"/>
        <v>86472.540000000008</v>
      </c>
      <c r="O42" s="336">
        <f t="shared" si="3"/>
        <v>342681.91000000009</v>
      </c>
      <c r="P42" s="336">
        <f t="shared" si="3"/>
        <v>81801.87</v>
      </c>
      <c r="Q42" s="336">
        <f t="shared" si="3"/>
        <v>268538.78000000003</v>
      </c>
      <c r="R42" s="336">
        <f t="shared" si="3"/>
        <v>161509.54999999999</v>
      </c>
      <c r="S42" s="336">
        <f t="shared" si="3"/>
        <v>182544.55</v>
      </c>
      <c r="T42" s="336">
        <f t="shared" si="3"/>
        <v>228689.00999999998</v>
      </c>
      <c r="U42" s="336">
        <f t="shared" si="3"/>
        <v>233368.09999999998</v>
      </c>
      <c r="V42" s="336">
        <f t="shared" si="3"/>
        <v>128365</v>
      </c>
      <c r="W42" s="336">
        <f t="shared" si="3"/>
        <v>207819.49</v>
      </c>
      <c r="X42" s="336">
        <f t="shared" si="3"/>
        <v>141054.70000000001</v>
      </c>
      <c r="Y42" s="336">
        <f t="shared" si="3"/>
        <v>154100.52000000002</v>
      </c>
      <c r="Z42" s="336">
        <f t="shared" si="3"/>
        <v>153013.24</v>
      </c>
      <c r="AA42" s="336">
        <f t="shared" si="3"/>
        <v>187824.41</v>
      </c>
      <c r="AB42" s="336">
        <f t="shared" si="3"/>
        <v>242740.91</v>
      </c>
      <c r="AC42" s="336">
        <f t="shared" si="3"/>
        <v>179667.01000000004</v>
      </c>
      <c r="AD42" s="336">
        <f t="shared" si="3"/>
        <v>184479.64</v>
      </c>
      <c r="AE42" s="336">
        <f t="shared" si="3"/>
        <v>108888.34</v>
      </c>
      <c r="AF42" s="336">
        <f t="shared" si="3"/>
        <v>334932.83999999997</v>
      </c>
      <c r="AG42" s="336">
        <f t="shared" si="3"/>
        <v>146638.36000000002</v>
      </c>
      <c r="AH42" s="336">
        <f t="shared" si="3"/>
        <v>175930.15000000002</v>
      </c>
      <c r="AI42" s="336">
        <f t="shared" si="3"/>
        <v>199432.38</v>
      </c>
      <c r="AJ42" s="336">
        <f t="shared" si="3"/>
        <v>89568.85</v>
      </c>
      <c r="AK42" s="303">
        <f t="shared" si="2"/>
        <v>6677925.4699999997</v>
      </c>
    </row>
    <row r="43" spans="1:37" x14ac:dyDescent="0.35">
      <c r="A43" s="304" t="s">
        <v>8</v>
      </c>
      <c r="B43" s="305">
        <f t="shared" ref="B43:AJ43" si="4">B6-B7-B42</f>
        <v>24566.859999999986</v>
      </c>
      <c r="C43" s="305">
        <f t="shared" si="4"/>
        <v>67314.300000000047</v>
      </c>
      <c r="D43" s="305">
        <f t="shared" si="4"/>
        <v>1480.140000000014</v>
      </c>
      <c r="E43" s="305">
        <f t="shared" si="4"/>
        <v>-2284.6299999999756</v>
      </c>
      <c r="F43" s="305">
        <f t="shared" si="4"/>
        <v>545.51000000002387</v>
      </c>
      <c r="G43" s="305">
        <f t="shared" si="4"/>
        <v>142739.5</v>
      </c>
      <c r="H43" s="305">
        <f t="shared" si="4"/>
        <v>38059.579999999958</v>
      </c>
      <c r="I43" s="305">
        <f t="shared" si="4"/>
        <v>166335.49999999994</v>
      </c>
      <c r="J43" s="305">
        <f t="shared" si="4"/>
        <v>4367.25</v>
      </c>
      <c r="K43" s="305">
        <f t="shared" si="4"/>
        <v>42195.900000000052</v>
      </c>
      <c r="L43" s="305">
        <f t="shared" si="4"/>
        <v>7585.1300000000192</v>
      </c>
      <c r="M43" s="305">
        <f t="shared" si="4"/>
        <v>29742.620000000024</v>
      </c>
      <c r="N43" s="305">
        <f t="shared" si="4"/>
        <v>18442.369999999995</v>
      </c>
      <c r="O43" s="305">
        <f t="shared" si="4"/>
        <v>130377.33999999991</v>
      </c>
      <c r="P43" s="305">
        <f t="shared" si="4"/>
        <v>-384.61999999999534</v>
      </c>
      <c r="Q43" s="305">
        <f t="shared" si="4"/>
        <v>80457.189999999944</v>
      </c>
      <c r="R43" s="305">
        <f t="shared" si="4"/>
        <v>-3018.2699999999604</v>
      </c>
      <c r="S43" s="305">
        <f t="shared" si="4"/>
        <v>21545.530000000028</v>
      </c>
      <c r="T43" s="305">
        <f t="shared" si="4"/>
        <v>123513.45999999999</v>
      </c>
      <c r="U43" s="305">
        <f t="shared" si="4"/>
        <v>118848.29000000004</v>
      </c>
      <c r="V43" s="305">
        <f t="shared" si="4"/>
        <v>24064.75</v>
      </c>
      <c r="W43" s="305">
        <f t="shared" si="4"/>
        <v>63778.900000000023</v>
      </c>
      <c r="X43" s="305">
        <f t="shared" si="4"/>
        <v>49450.630000000005</v>
      </c>
      <c r="Y43" s="305">
        <f t="shared" si="4"/>
        <v>65391.789999999979</v>
      </c>
      <c r="Z43" s="305">
        <f t="shared" si="4"/>
        <v>65267.400000000023</v>
      </c>
      <c r="AA43" s="305">
        <f t="shared" si="4"/>
        <v>51518.98000000001</v>
      </c>
      <c r="AB43" s="305">
        <f t="shared" si="4"/>
        <v>64168.97</v>
      </c>
      <c r="AC43" s="305">
        <f t="shared" si="4"/>
        <v>34767.959999999934</v>
      </c>
      <c r="AD43" s="305">
        <f t="shared" si="4"/>
        <v>41712.099999999977</v>
      </c>
      <c r="AE43" s="305">
        <f t="shared" si="4"/>
        <v>105569.37000000002</v>
      </c>
      <c r="AF43" s="305">
        <f t="shared" si="4"/>
        <v>168483.55000000005</v>
      </c>
      <c r="AG43" s="305">
        <f t="shared" si="4"/>
        <v>4433.9899999999616</v>
      </c>
      <c r="AH43" s="305">
        <f t="shared" si="4"/>
        <v>38059.579999999958</v>
      </c>
      <c r="AI43" s="305">
        <f t="shared" si="4"/>
        <v>9950.9500000000116</v>
      </c>
      <c r="AJ43" s="305">
        <f t="shared" si="4"/>
        <v>1731</v>
      </c>
      <c r="AK43" s="303">
        <f t="shared" si="2"/>
        <v>1800778.8699999999</v>
      </c>
    </row>
    <row r="44" spans="1:37" x14ac:dyDescent="0.35">
      <c r="A44" s="304" t="s">
        <v>325</v>
      </c>
      <c r="B44" s="305">
        <f t="shared" ref="B44:AC44" si="5">B43*20%</f>
        <v>4913.3719999999976</v>
      </c>
      <c r="C44" s="305">
        <f t="shared" si="5"/>
        <v>13462.86000000001</v>
      </c>
      <c r="D44" s="305">
        <f t="shared" si="5"/>
        <v>296.02800000000281</v>
      </c>
      <c r="E44" s="305">
        <f t="shared" si="5"/>
        <v>-456.92599999999516</v>
      </c>
      <c r="F44" s="305">
        <f t="shared" si="5"/>
        <v>109.10200000000478</v>
      </c>
      <c r="G44" s="305">
        <f t="shared" si="5"/>
        <v>28547.9</v>
      </c>
      <c r="H44" s="305">
        <f t="shared" si="5"/>
        <v>7611.915999999992</v>
      </c>
      <c r="I44" s="305">
        <f t="shared" si="5"/>
        <v>33267.099999999991</v>
      </c>
      <c r="J44" s="305">
        <f t="shared" si="5"/>
        <v>873.45</v>
      </c>
      <c r="K44" s="305">
        <f t="shared" si="5"/>
        <v>8439.1800000000112</v>
      </c>
      <c r="L44" s="305">
        <f t="shared" si="5"/>
        <v>1517.0260000000039</v>
      </c>
      <c r="M44" s="305">
        <f t="shared" si="5"/>
        <v>5948.5240000000049</v>
      </c>
      <c r="N44" s="305">
        <f t="shared" si="5"/>
        <v>3688.4739999999993</v>
      </c>
      <c r="O44" s="305">
        <f t="shared" si="5"/>
        <v>26075.467999999983</v>
      </c>
      <c r="P44" s="305">
        <f t="shared" si="5"/>
        <v>-76.923999999999069</v>
      </c>
      <c r="Q44" s="305">
        <f t="shared" si="5"/>
        <v>16091.437999999989</v>
      </c>
      <c r="R44" s="305">
        <f t="shared" si="5"/>
        <v>-603.65399999999215</v>
      </c>
      <c r="S44" s="305">
        <f t="shared" si="5"/>
        <v>4309.1060000000061</v>
      </c>
      <c r="T44" s="305">
        <f t="shared" si="5"/>
        <v>24702.691999999999</v>
      </c>
      <c r="U44" s="305">
        <f t="shared" si="5"/>
        <v>23769.65800000001</v>
      </c>
      <c r="V44" s="305">
        <f t="shared" si="5"/>
        <v>4812.95</v>
      </c>
      <c r="W44" s="305">
        <f t="shared" si="5"/>
        <v>12755.780000000006</v>
      </c>
      <c r="X44" s="305">
        <f t="shared" si="5"/>
        <v>9890.126000000002</v>
      </c>
      <c r="Y44" s="305">
        <f t="shared" si="5"/>
        <v>13078.357999999997</v>
      </c>
      <c r="Z44" s="305">
        <f t="shared" si="5"/>
        <v>13053.480000000005</v>
      </c>
      <c r="AA44" s="305">
        <f t="shared" si="5"/>
        <v>10303.796000000002</v>
      </c>
      <c r="AB44" s="305">
        <f t="shared" si="5"/>
        <v>12833.794000000002</v>
      </c>
      <c r="AC44" s="305">
        <f t="shared" si="5"/>
        <v>6953.5919999999869</v>
      </c>
      <c r="AD44" s="305">
        <f t="shared" ref="AD44:AE44" si="6">AD7-AD8-AD43</f>
        <v>175965.42000000004</v>
      </c>
      <c r="AE44" s="305">
        <f t="shared" si="6"/>
        <v>106773.20999999993</v>
      </c>
      <c r="AF44" s="305">
        <f t="shared" ref="AF44:AJ44" si="7">AF43*20%</f>
        <v>33696.710000000014</v>
      </c>
      <c r="AG44" s="305">
        <f t="shared" si="7"/>
        <v>886.79799999999238</v>
      </c>
      <c r="AH44" s="305">
        <f t="shared" si="7"/>
        <v>7611.915999999992</v>
      </c>
      <c r="AI44" s="305">
        <f t="shared" si="7"/>
        <v>1990.1900000000023</v>
      </c>
      <c r="AJ44" s="305">
        <f t="shared" si="7"/>
        <v>346.20000000000005</v>
      </c>
      <c r="AK44" s="303">
        <f t="shared" si="2"/>
        <v>613438.10999999987</v>
      </c>
    </row>
    <row r="45" spans="1:37" x14ac:dyDescent="0.35">
      <c r="A45" s="304" t="s">
        <v>81</v>
      </c>
      <c r="B45" s="305">
        <f t="shared" ref="B45:AC45" si="8">B43*80%</f>
        <v>19653.48799999999</v>
      </c>
      <c r="C45" s="305">
        <f t="shared" si="8"/>
        <v>53851.440000000039</v>
      </c>
      <c r="D45" s="305">
        <f t="shared" si="8"/>
        <v>1184.1120000000112</v>
      </c>
      <c r="E45" s="305">
        <f t="shared" si="8"/>
        <v>-1827.7039999999806</v>
      </c>
      <c r="F45" s="305">
        <f t="shared" si="8"/>
        <v>436.40800000001911</v>
      </c>
      <c r="G45" s="305">
        <f t="shared" si="8"/>
        <v>114191.6</v>
      </c>
      <c r="H45" s="305">
        <f t="shared" si="8"/>
        <v>30447.663999999968</v>
      </c>
      <c r="I45" s="305">
        <f t="shared" si="8"/>
        <v>133068.39999999997</v>
      </c>
      <c r="J45" s="305">
        <f t="shared" si="8"/>
        <v>3493.8</v>
      </c>
      <c r="K45" s="305">
        <f t="shared" si="8"/>
        <v>33756.720000000045</v>
      </c>
      <c r="L45" s="305">
        <f t="shared" si="8"/>
        <v>6068.1040000000157</v>
      </c>
      <c r="M45" s="305">
        <f t="shared" si="8"/>
        <v>23794.09600000002</v>
      </c>
      <c r="N45" s="305">
        <f t="shared" si="8"/>
        <v>14753.895999999997</v>
      </c>
      <c r="O45" s="305">
        <f t="shared" si="8"/>
        <v>104301.87199999993</v>
      </c>
      <c r="P45" s="305">
        <f t="shared" si="8"/>
        <v>-307.69599999999627</v>
      </c>
      <c r="Q45" s="305">
        <f t="shared" si="8"/>
        <v>64365.751999999957</v>
      </c>
      <c r="R45" s="305">
        <f t="shared" si="8"/>
        <v>-2414.6159999999686</v>
      </c>
      <c r="S45" s="305">
        <f t="shared" si="8"/>
        <v>17236.424000000025</v>
      </c>
      <c r="T45" s="305">
        <f t="shared" si="8"/>
        <v>98810.767999999996</v>
      </c>
      <c r="U45" s="305">
        <f t="shared" si="8"/>
        <v>95078.632000000041</v>
      </c>
      <c r="V45" s="305">
        <f t="shared" si="8"/>
        <v>19251.8</v>
      </c>
      <c r="W45" s="305">
        <f t="shared" si="8"/>
        <v>51023.120000000024</v>
      </c>
      <c r="X45" s="305">
        <f t="shared" si="8"/>
        <v>39560.504000000008</v>
      </c>
      <c r="Y45" s="305">
        <f t="shared" si="8"/>
        <v>52313.431999999986</v>
      </c>
      <c r="Z45" s="305">
        <f t="shared" si="8"/>
        <v>52213.92000000002</v>
      </c>
      <c r="AA45" s="305">
        <f t="shared" si="8"/>
        <v>41215.184000000008</v>
      </c>
      <c r="AB45" s="305">
        <f t="shared" si="8"/>
        <v>51335.176000000007</v>
      </c>
      <c r="AC45" s="305">
        <f t="shared" si="8"/>
        <v>27814.367999999948</v>
      </c>
      <c r="AD45" s="305">
        <f t="shared" ref="AD45:AE45" si="9">AD8-AD9-AD44</f>
        <v>50226.319999999949</v>
      </c>
      <c r="AE45" s="305">
        <f t="shared" si="9"/>
        <v>107684.50000000009</v>
      </c>
      <c r="AF45" s="305">
        <f t="shared" ref="AF45:AJ45" si="10">AF43*80%</f>
        <v>134786.84000000005</v>
      </c>
      <c r="AG45" s="305">
        <f t="shared" si="10"/>
        <v>3547.1919999999695</v>
      </c>
      <c r="AH45" s="305">
        <f t="shared" si="10"/>
        <v>30447.663999999968</v>
      </c>
      <c r="AI45" s="305">
        <f t="shared" si="10"/>
        <v>7960.7600000000093</v>
      </c>
      <c r="AJ45" s="305">
        <f t="shared" si="10"/>
        <v>1384.8000000000002</v>
      </c>
      <c r="AK45" s="303">
        <f t="shared" si="2"/>
        <v>1480708.7400000002</v>
      </c>
    </row>
    <row r="46" spans="1:37" x14ac:dyDescent="0.35">
      <c r="A46" s="334"/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  <c r="M46" s="334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  <c r="Z46" s="334"/>
      <c r="AA46" s="334"/>
      <c r="AB46" s="334"/>
      <c r="AC46" s="334"/>
      <c r="AD46" s="334"/>
      <c r="AE46" s="334"/>
      <c r="AF46" s="334"/>
      <c r="AG46" s="334"/>
      <c r="AH46" s="334"/>
      <c r="AI46" s="334"/>
      <c r="AJ46" s="334"/>
      <c r="AK46" s="350"/>
    </row>
    <row r="47" spans="1:37" x14ac:dyDescent="0.35">
      <c r="A47" s="352" t="s">
        <v>334</v>
      </c>
      <c r="B47" s="353"/>
      <c r="C47" s="353"/>
      <c r="D47" s="353"/>
      <c r="E47" s="353"/>
      <c r="F47" s="353"/>
      <c r="G47" s="353"/>
      <c r="H47" s="353"/>
      <c r="I47" s="353"/>
      <c r="J47" s="353"/>
      <c r="K47" s="353"/>
      <c r="L47" s="353"/>
      <c r="M47" s="353"/>
      <c r="N47" s="353"/>
      <c r="O47" s="353"/>
      <c r="P47" s="353"/>
      <c r="Q47" s="353"/>
      <c r="R47" s="353"/>
      <c r="S47" s="353"/>
      <c r="T47" s="353"/>
      <c r="U47" s="353"/>
      <c r="V47" s="353"/>
      <c r="W47" s="353"/>
      <c r="X47" s="353"/>
      <c r="Y47" s="353"/>
      <c r="Z47" s="353"/>
      <c r="AA47" s="353"/>
      <c r="AB47" s="353"/>
      <c r="AC47" s="353"/>
      <c r="AD47" s="353"/>
      <c r="AE47" s="353"/>
      <c r="AF47" s="353"/>
      <c r="AG47" s="353"/>
      <c r="AH47" s="353"/>
      <c r="AI47" s="353"/>
      <c r="AJ47" s="353"/>
      <c r="AK47" s="303">
        <f t="shared" ref="AK47:AK53" si="11">SUM(B47:AJ47)</f>
        <v>0</v>
      </c>
    </row>
    <row r="48" spans="1:37" x14ac:dyDescent="0.35">
      <c r="A48" s="352" t="s">
        <v>335</v>
      </c>
      <c r="B48" s="353"/>
      <c r="C48" s="353"/>
      <c r="D48" s="353">
        <v>8850</v>
      </c>
      <c r="E48" s="353"/>
      <c r="F48" s="353"/>
      <c r="G48" s="353"/>
      <c r="H48" s="353"/>
      <c r="I48" s="353"/>
      <c r="J48" s="353"/>
      <c r="K48" s="353">
        <v>1150</v>
      </c>
      <c r="L48" s="353"/>
      <c r="M48" s="353"/>
      <c r="N48" s="353"/>
      <c r="O48" s="353"/>
      <c r="P48" s="353"/>
      <c r="Q48" s="353"/>
      <c r="R48" s="353"/>
      <c r="S48" s="353"/>
      <c r="T48" s="353"/>
      <c r="U48" s="353"/>
      <c r="V48" s="353"/>
      <c r="W48" s="353"/>
      <c r="X48" s="353"/>
      <c r="Y48" s="353"/>
      <c r="Z48" s="353"/>
      <c r="AA48" s="353"/>
      <c r="AB48" s="353"/>
      <c r="AC48" s="353"/>
      <c r="AD48" s="353"/>
      <c r="AE48" s="353"/>
      <c r="AF48" s="353"/>
      <c r="AG48" s="353"/>
      <c r="AH48" s="353"/>
      <c r="AI48" s="353">
        <v>2800</v>
      </c>
      <c r="AJ48" s="353"/>
      <c r="AK48" s="303">
        <f t="shared" si="11"/>
        <v>12800</v>
      </c>
    </row>
    <row r="49" spans="1:37" x14ac:dyDescent="0.35">
      <c r="A49" s="352" t="s">
        <v>336</v>
      </c>
      <c r="B49" s="353"/>
      <c r="C49" s="353"/>
      <c r="D49" s="353"/>
      <c r="E49" s="353"/>
      <c r="F49" s="353"/>
      <c r="G49" s="353">
        <v>4600</v>
      </c>
      <c r="H49" s="353"/>
      <c r="I49" s="353"/>
      <c r="J49" s="353"/>
      <c r="K49" s="353"/>
      <c r="L49" s="353"/>
      <c r="M49" s="353"/>
      <c r="N49" s="353"/>
      <c r="O49" s="353"/>
      <c r="P49" s="353"/>
      <c r="Q49" s="353"/>
      <c r="R49" s="353"/>
      <c r="S49" s="353"/>
      <c r="T49" s="353"/>
      <c r="U49" s="353"/>
      <c r="V49" s="353"/>
      <c r="W49" s="353">
        <v>2800</v>
      </c>
      <c r="X49" s="353">
        <v>2250</v>
      </c>
      <c r="Y49" s="353"/>
      <c r="Z49" s="353"/>
      <c r="AA49" s="353"/>
      <c r="AB49" s="353"/>
      <c r="AC49" s="353"/>
      <c r="AD49" s="353"/>
      <c r="AE49" s="353"/>
      <c r="AF49" s="353"/>
      <c r="AG49" s="353"/>
      <c r="AH49" s="353"/>
      <c r="AI49" s="353"/>
      <c r="AJ49" s="353"/>
      <c r="AK49" s="303">
        <f t="shared" si="11"/>
        <v>9650</v>
      </c>
    </row>
    <row r="50" spans="1:37" x14ac:dyDescent="0.35">
      <c r="A50" s="352" t="s">
        <v>337</v>
      </c>
      <c r="B50" s="353"/>
      <c r="C50" s="353"/>
      <c r="D50" s="353">
        <v>250</v>
      </c>
      <c r="E50" s="353">
        <v>500</v>
      </c>
      <c r="F50" s="353"/>
      <c r="G50" s="353">
        <v>3275</v>
      </c>
      <c r="H50" s="353"/>
      <c r="I50" s="353"/>
      <c r="J50" s="353">
        <v>550</v>
      </c>
      <c r="K50" s="353"/>
      <c r="L50" s="353">
        <v>275</v>
      </c>
      <c r="M50" s="353"/>
      <c r="N50" s="353"/>
      <c r="O50" s="353"/>
      <c r="P50" s="353"/>
      <c r="Q50" s="353"/>
      <c r="R50" s="353"/>
      <c r="S50" s="353"/>
      <c r="T50" s="353"/>
      <c r="U50" s="353"/>
      <c r="V50" s="353"/>
      <c r="W50" s="353">
        <v>865</v>
      </c>
      <c r="X50" s="353">
        <v>440</v>
      </c>
      <c r="Y50" s="353"/>
      <c r="Z50" s="353"/>
      <c r="AA50" s="353"/>
      <c r="AB50" s="353"/>
      <c r="AC50" s="353"/>
      <c r="AD50" s="353"/>
      <c r="AE50" s="353"/>
      <c r="AF50" s="353"/>
      <c r="AG50" s="353"/>
      <c r="AH50" s="353">
        <v>640</v>
      </c>
      <c r="AI50" s="353">
        <v>980</v>
      </c>
      <c r="AJ50" s="353"/>
      <c r="AK50" s="303">
        <f t="shared" si="11"/>
        <v>7775</v>
      </c>
    </row>
    <row r="51" spans="1:37" x14ac:dyDescent="0.35">
      <c r="A51" s="352" t="s">
        <v>338</v>
      </c>
      <c r="B51" s="352">
        <f t="shared" ref="B51:AJ51" si="12">B47+B48+B49+B50</f>
        <v>0</v>
      </c>
      <c r="C51" s="352">
        <f t="shared" si="12"/>
        <v>0</v>
      </c>
      <c r="D51" s="352">
        <f t="shared" si="12"/>
        <v>9100</v>
      </c>
      <c r="E51" s="352">
        <f t="shared" si="12"/>
        <v>500</v>
      </c>
      <c r="F51" s="352">
        <f t="shared" si="12"/>
        <v>0</v>
      </c>
      <c r="G51" s="352">
        <f t="shared" si="12"/>
        <v>7875</v>
      </c>
      <c r="H51" s="352">
        <f t="shared" si="12"/>
        <v>0</v>
      </c>
      <c r="I51" s="352">
        <f t="shared" si="12"/>
        <v>0</v>
      </c>
      <c r="J51" s="352">
        <f t="shared" si="12"/>
        <v>550</v>
      </c>
      <c r="K51" s="352">
        <f t="shared" si="12"/>
        <v>1150</v>
      </c>
      <c r="L51" s="352">
        <f t="shared" si="12"/>
        <v>275</v>
      </c>
      <c r="M51" s="352">
        <f t="shared" si="12"/>
        <v>0</v>
      </c>
      <c r="N51" s="352">
        <f t="shared" si="12"/>
        <v>0</v>
      </c>
      <c r="O51" s="352">
        <f t="shared" si="12"/>
        <v>0</v>
      </c>
      <c r="P51" s="352">
        <f t="shared" si="12"/>
        <v>0</v>
      </c>
      <c r="Q51" s="352">
        <f t="shared" si="12"/>
        <v>0</v>
      </c>
      <c r="R51" s="352">
        <f t="shared" si="12"/>
        <v>0</v>
      </c>
      <c r="S51" s="352">
        <f t="shared" si="12"/>
        <v>0</v>
      </c>
      <c r="T51" s="352">
        <f t="shared" si="12"/>
        <v>0</v>
      </c>
      <c r="U51" s="352">
        <f t="shared" si="12"/>
        <v>0</v>
      </c>
      <c r="V51" s="352">
        <f t="shared" si="12"/>
        <v>0</v>
      </c>
      <c r="W51" s="352">
        <f t="shared" si="12"/>
        <v>3665</v>
      </c>
      <c r="X51" s="352">
        <f t="shared" si="12"/>
        <v>2690</v>
      </c>
      <c r="Y51" s="352">
        <f t="shared" si="12"/>
        <v>0</v>
      </c>
      <c r="Z51" s="352">
        <f t="shared" si="12"/>
        <v>0</v>
      </c>
      <c r="AA51" s="352">
        <f t="shared" si="12"/>
        <v>0</v>
      </c>
      <c r="AB51" s="352">
        <f t="shared" si="12"/>
        <v>0</v>
      </c>
      <c r="AC51" s="352">
        <f t="shared" si="12"/>
        <v>0</v>
      </c>
      <c r="AD51" s="352">
        <f t="shared" si="12"/>
        <v>0</v>
      </c>
      <c r="AE51" s="352">
        <f t="shared" si="12"/>
        <v>0</v>
      </c>
      <c r="AF51" s="352">
        <f t="shared" si="12"/>
        <v>0</v>
      </c>
      <c r="AG51" s="352">
        <f t="shared" si="12"/>
        <v>0</v>
      </c>
      <c r="AH51" s="352">
        <f t="shared" si="12"/>
        <v>640</v>
      </c>
      <c r="AI51" s="352">
        <f t="shared" si="12"/>
        <v>3780</v>
      </c>
      <c r="AJ51" s="352">
        <f t="shared" si="12"/>
        <v>0</v>
      </c>
      <c r="AK51" s="303">
        <f t="shared" si="11"/>
        <v>30225</v>
      </c>
    </row>
    <row r="52" spans="1:37" x14ac:dyDescent="0.35">
      <c r="A52" s="334"/>
      <c r="B52" s="334"/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  <c r="Z52" s="334"/>
      <c r="AA52" s="334"/>
      <c r="AB52" s="334"/>
      <c r="AC52" s="334"/>
      <c r="AD52" s="334"/>
      <c r="AE52" s="334"/>
      <c r="AF52" s="334"/>
      <c r="AG52" s="334"/>
      <c r="AH52" s="334"/>
      <c r="AI52" s="334"/>
      <c r="AJ52" s="334"/>
      <c r="AK52" s="303">
        <f t="shared" si="11"/>
        <v>0</v>
      </c>
    </row>
    <row r="53" spans="1:37" x14ac:dyDescent="0.35">
      <c r="A53" s="304" t="s">
        <v>339</v>
      </c>
      <c r="B53" s="305">
        <f t="shared" ref="B53:AJ53" si="13">B45-B51</f>
        <v>19653.48799999999</v>
      </c>
      <c r="C53" s="305">
        <f t="shared" si="13"/>
        <v>53851.440000000039</v>
      </c>
      <c r="D53" s="305">
        <f t="shared" si="13"/>
        <v>-7915.887999999989</v>
      </c>
      <c r="E53" s="305">
        <f t="shared" si="13"/>
        <v>-2327.7039999999806</v>
      </c>
      <c r="F53" s="305">
        <f t="shared" si="13"/>
        <v>436.40800000001911</v>
      </c>
      <c r="G53" s="305">
        <f t="shared" si="13"/>
        <v>106316.6</v>
      </c>
      <c r="H53" s="305">
        <f t="shared" si="13"/>
        <v>30447.663999999968</v>
      </c>
      <c r="I53" s="305">
        <f t="shared" si="13"/>
        <v>133068.39999999997</v>
      </c>
      <c r="J53" s="305">
        <f t="shared" si="13"/>
        <v>2943.8</v>
      </c>
      <c r="K53" s="305">
        <f t="shared" si="13"/>
        <v>32606.720000000045</v>
      </c>
      <c r="L53" s="305">
        <f t="shared" si="13"/>
        <v>5793.1040000000157</v>
      </c>
      <c r="M53" s="305">
        <f t="shared" si="13"/>
        <v>23794.09600000002</v>
      </c>
      <c r="N53" s="305">
        <f t="shared" si="13"/>
        <v>14753.895999999997</v>
      </c>
      <c r="O53" s="305">
        <f t="shared" si="13"/>
        <v>104301.87199999993</v>
      </c>
      <c r="P53" s="305">
        <f t="shared" si="13"/>
        <v>-307.69599999999627</v>
      </c>
      <c r="Q53" s="305">
        <f t="shared" si="13"/>
        <v>64365.751999999957</v>
      </c>
      <c r="R53" s="305">
        <f t="shared" si="13"/>
        <v>-2414.6159999999686</v>
      </c>
      <c r="S53" s="305">
        <f t="shared" si="13"/>
        <v>17236.424000000025</v>
      </c>
      <c r="T53" s="305">
        <f t="shared" si="13"/>
        <v>98810.767999999996</v>
      </c>
      <c r="U53" s="305">
        <f t="shared" si="13"/>
        <v>95078.632000000041</v>
      </c>
      <c r="V53" s="305">
        <f t="shared" si="13"/>
        <v>19251.8</v>
      </c>
      <c r="W53" s="305">
        <f t="shared" si="13"/>
        <v>47358.120000000024</v>
      </c>
      <c r="X53" s="305">
        <f t="shared" si="13"/>
        <v>36870.504000000008</v>
      </c>
      <c r="Y53" s="305">
        <f t="shared" si="13"/>
        <v>52313.431999999986</v>
      </c>
      <c r="Z53" s="305">
        <f t="shared" si="13"/>
        <v>52213.92000000002</v>
      </c>
      <c r="AA53" s="305">
        <f t="shared" si="13"/>
        <v>41215.184000000008</v>
      </c>
      <c r="AB53" s="305">
        <f t="shared" si="13"/>
        <v>51335.176000000007</v>
      </c>
      <c r="AC53" s="305">
        <f t="shared" si="13"/>
        <v>27814.367999999948</v>
      </c>
      <c r="AD53" s="305">
        <f t="shared" si="13"/>
        <v>50226.319999999949</v>
      </c>
      <c r="AE53" s="305">
        <f t="shared" si="13"/>
        <v>107684.50000000009</v>
      </c>
      <c r="AF53" s="305">
        <f t="shared" si="13"/>
        <v>134786.84000000005</v>
      </c>
      <c r="AG53" s="305">
        <f t="shared" si="13"/>
        <v>3547.1919999999695</v>
      </c>
      <c r="AH53" s="305">
        <f t="shared" si="13"/>
        <v>29807.663999999968</v>
      </c>
      <c r="AI53" s="305">
        <f t="shared" si="13"/>
        <v>4180.7600000000093</v>
      </c>
      <c r="AJ53" s="305">
        <f t="shared" si="13"/>
        <v>1384.8000000000002</v>
      </c>
      <c r="AK53" s="303">
        <f t="shared" si="11"/>
        <v>1450483.7400000002</v>
      </c>
    </row>
    <row r="54" spans="1:37" x14ac:dyDescent="0.35">
      <c r="A54" s="334"/>
      <c r="B54" s="334"/>
      <c r="C54" s="334"/>
      <c r="D54" s="334"/>
      <c r="E54" s="334"/>
      <c r="F54" s="334"/>
      <c r="G54" s="334"/>
      <c r="H54" s="334"/>
      <c r="I54" s="334"/>
      <c r="J54" s="334"/>
      <c r="K54" s="334"/>
      <c r="L54" s="334"/>
      <c r="M54" s="334"/>
      <c r="N54" s="334"/>
      <c r="O54" s="334"/>
      <c r="P54" s="334"/>
      <c r="Q54" s="334"/>
      <c r="R54" s="334"/>
      <c r="S54" s="334"/>
      <c r="T54" s="334"/>
      <c r="U54" s="334"/>
      <c r="V54" s="334"/>
      <c r="W54" s="334"/>
      <c r="X54" s="334"/>
      <c r="Y54" s="334"/>
      <c r="Z54" s="334"/>
      <c r="AA54" s="334"/>
      <c r="AB54" s="334"/>
      <c r="AC54" s="334"/>
      <c r="AD54" s="334"/>
      <c r="AE54" s="334"/>
      <c r="AF54" s="334"/>
      <c r="AG54" s="334"/>
      <c r="AH54" s="334"/>
      <c r="AI54" s="334"/>
      <c r="AJ54" s="334"/>
      <c r="AK54" s="350"/>
    </row>
    <row r="55" spans="1:37" x14ac:dyDescent="0.35">
      <c r="A55" s="321" t="s">
        <v>340</v>
      </c>
      <c r="B55" s="334">
        <f t="shared" ref="B55:C55" si="14">B53/2</f>
        <v>9826.7439999999951</v>
      </c>
      <c r="C55" s="334">
        <f t="shared" si="14"/>
        <v>26925.720000000019</v>
      </c>
      <c r="D55" s="334">
        <f>D53</f>
        <v>-7915.887999999989</v>
      </c>
      <c r="E55" s="334">
        <f>E53/2</f>
        <v>-1163.8519999999903</v>
      </c>
      <c r="F55" s="334">
        <f>F53</f>
        <v>436.40800000001911</v>
      </c>
      <c r="G55" s="334"/>
      <c r="H55" s="334">
        <f>H53/2</f>
        <v>15223.831999999984</v>
      </c>
      <c r="I55" s="334">
        <f>I53/3/2</f>
        <v>22178.066666666662</v>
      </c>
      <c r="J55" s="334">
        <f t="shared" ref="J55:K55" si="15">J53/2</f>
        <v>1471.9</v>
      </c>
      <c r="K55" s="334">
        <f t="shared" si="15"/>
        <v>16303.360000000022</v>
      </c>
      <c r="L55" s="334">
        <f>L53</f>
        <v>5793.1040000000157</v>
      </c>
      <c r="M55" s="334">
        <f>M53*70%</f>
        <v>16655.867200000012</v>
      </c>
      <c r="N55" s="334">
        <f>N53</f>
        <v>14753.895999999997</v>
      </c>
      <c r="O55" s="334">
        <f t="shared" ref="O55:P55" si="16">O53/2</f>
        <v>52150.935999999965</v>
      </c>
      <c r="P55" s="334">
        <f t="shared" si="16"/>
        <v>-153.84799999999814</v>
      </c>
      <c r="Q55" s="334">
        <f>Q53</f>
        <v>64365.751999999957</v>
      </c>
      <c r="R55" s="334">
        <f>R53/3</f>
        <v>-804.8719999999895</v>
      </c>
      <c r="S55" s="334">
        <f>S53</f>
        <v>17236.424000000025</v>
      </c>
      <c r="T55" s="334">
        <f>T53/2</f>
        <v>49405.383999999998</v>
      </c>
      <c r="U55" s="334">
        <f t="shared" ref="U55:Y55" si="17">U53</f>
        <v>95078.632000000041</v>
      </c>
      <c r="V55" s="334">
        <f t="shared" si="17"/>
        <v>19251.8</v>
      </c>
      <c r="W55" s="334">
        <f t="shared" si="17"/>
        <v>47358.120000000024</v>
      </c>
      <c r="X55" s="334">
        <f t="shared" si="17"/>
        <v>36870.504000000008</v>
      </c>
      <c r="Y55" s="334">
        <f t="shared" si="17"/>
        <v>52313.431999999986</v>
      </c>
      <c r="Z55" s="334">
        <f>Z53/3</f>
        <v>17404.640000000007</v>
      </c>
      <c r="AA55" s="334">
        <f>AA53/2</f>
        <v>20607.592000000004</v>
      </c>
      <c r="AB55" s="334"/>
      <c r="AC55" s="334"/>
      <c r="AD55" s="334">
        <f>AD53/2</f>
        <v>25113.159999999974</v>
      </c>
      <c r="AE55" s="334"/>
      <c r="AF55" s="334">
        <f t="shared" ref="AF55:AJ55" si="18">AF53/2</f>
        <v>67393.420000000027</v>
      </c>
      <c r="AG55" s="334">
        <f t="shared" si="18"/>
        <v>1773.5959999999848</v>
      </c>
      <c r="AH55" s="334">
        <f t="shared" si="18"/>
        <v>14903.831999999984</v>
      </c>
      <c r="AI55" s="334">
        <f t="shared" si="18"/>
        <v>2090.3800000000047</v>
      </c>
      <c r="AJ55" s="334">
        <f t="shared" si="18"/>
        <v>692.40000000000009</v>
      </c>
      <c r="AK55" s="303">
        <f t="shared" ref="AK55:AK56" si="19">SUM(B55:AJ55)</f>
        <v>703540.44186666678</v>
      </c>
    </row>
    <row r="56" spans="1:37" x14ac:dyDescent="0.35">
      <c r="A56" s="321" t="s">
        <v>342</v>
      </c>
      <c r="B56" s="318">
        <f t="shared" ref="B56:C56" si="20">B53/2</f>
        <v>9826.7439999999951</v>
      </c>
      <c r="C56" s="318">
        <f t="shared" si="20"/>
        <v>26925.720000000019</v>
      </c>
      <c r="D56" s="296"/>
      <c r="E56" s="318">
        <f>E53/2</f>
        <v>-1163.8519999999903</v>
      </c>
      <c r="F56" s="296"/>
      <c r="G56" s="318">
        <f>G53/2</f>
        <v>53158.3</v>
      </c>
      <c r="H56" s="318">
        <f>H55/2*2</f>
        <v>15223.831999999984</v>
      </c>
      <c r="I56" s="318">
        <f>I53-I55</f>
        <v>110890.3333333333</v>
      </c>
      <c r="J56" s="318">
        <f t="shared" ref="J56:K56" si="21">J53/2</f>
        <v>1471.9</v>
      </c>
      <c r="K56" s="318">
        <f t="shared" si="21"/>
        <v>16303.360000000022</v>
      </c>
      <c r="L56" s="296"/>
      <c r="M56" s="318">
        <f>M53-M55</f>
        <v>7138.2288000000081</v>
      </c>
      <c r="N56" s="296"/>
      <c r="O56" s="318">
        <f t="shared" ref="O56:P56" si="22">O53/2</f>
        <v>52150.935999999965</v>
      </c>
      <c r="P56" s="318">
        <f t="shared" si="22"/>
        <v>-153.84799999999814</v>
      </c>
      <c r="Q56" s="296"/>
      <c r="R56" s="318">
        <f>R55*2</f>
        <v>-1609.743999999979</v>
      </c>
      <c r="S56" s="296"/>
      <c r="T56" s="318">
        <f>T53/2</f>
        <v>49405.383999999998</v>
      </c>
      <c r="U56" s="296"/>
      <c r="V56" s="296"/>
      <c r="W56" s="296"/>
      <c r="X56" s="296"/>
      <c r="Y56" s="296"/>
      <c r="Z56" s="318">
        <f>Z55*2</f>
        <v>34809.280000000013</v>
      </c>
      <c r="AA56" s="318">
        <f>AA53/2</f>
        <v>20607.592000000004</v>
      </c>
      <c r="AB56" s="318">
        <f t="shared" ref="AB56:AC56" si="23">AB53</f>
        <v>51335.176000000007</v>
      </c>
      <c r="AC56" s="318">
        <f t="shared" si="23"/>
        <v>27814.367999999948</v>
      </c>
      <c r="AD56" s="318">
        <f>AD53/2</f>
        <v>25113.159999999974</v>
      </c>
      <c r="AE56" s="296"/>
      <c r="AF56" s="318">
        <f t="shared" ref="AF56:AG56" si="24">AF53/2</f>
        <v>67393.420000000027</v>
      </c>
      <c r="AG56" s="318">
        <f t="shared" si="24"/>
        <v>1773.5959999999848</v>
      </c>
      <c r="AH56" s="296"/>
      <c r="AI56" s="296"/>
      <c r="AJ56" s="318">
        <f>AJ53</f>
        <v>1384.8000000000002</v>
      </c>
      <c r="AK56" s="303">
        <f t="shared" si="19"/>
        <v>569798.68613333337</v>
      </c>
    </row>
    <row r="57" spans="1:37" x14ac:dyDescent="0.35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91">
        <v>8623.31</v>
      </c>
      <c r="S57" s="289"/>
      <c r="T57" s="289"/>
      <c r="U57" s="289"/>
      <c r="V57" s="289"/>
      <c r="W57" s="289"/>
      <c r="X57" s="354"/>
      <c r="Y57" s="318">
        <f t="shared" ref="Y57:Z57" si="25">Y56*2</f>
        <v>0</v>
      </c>
      <c r="Z57" s="318">
        <f t="shared" si="25"/>
        <v>69618.560000000027</v>
      </c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355"/>
    </row>
    <row r="58" spans="1:37" x14ac:dyDescent="0.35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  <c r="AD58" s="339"/>
      <c r="AE58" s="339"/>
      <c r="AF58" s="339"/>
      <c r="AG58" s="339"/>
      <c r="AH58" s="339"/>
      <c r="AI58" s="339"/>
      <c r="AJ58" s="339"/>
      <c r="AK58" s="289"/>
    </row>
    <row r="59" spans="1:37" x14ac:dyDescent="0.35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  <c r="AD59" s="339"/>
      <c r="AE59" s="339"/>
      <c r="AF59" s="339"/>
      <c r="AG59" s="339"/>
      <c r="AH59" s="289"/>
      <c r="AI59" s="289"/>
      <c r="AJ59" s="289"/>
      <c r="AK59" s="289"/>
    </row>
    <row r="60" spans="1:37" x14ac:dyDescent="0.35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</row>
    <row r="61" spans="1:37" x14ac:dyDescent="0.35">
      <c r="A61" s="289"/>
      <c r="B61" s="291"/>
      <c r="C61" s="289"/>
      <c r="D61" s="289"/>
      <c r="E61" s="291" t="s">
        <v>327</v>
      </c>
      <c r="F61" s="289"/>
      <c r="G61" s="289"/>
      <c r="H61" s="291" t="s">
        <v>328</v>
      </c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89"/>
      <c r="AJ61" s="289"/>
      <c r="AK61" s="289"/>
    </row>
    <row r="62" spans="1:37" x14ac:dyDescent="0.35">
      <c r="A62" s="289"/>
      <c r="B62" s="338" t="s">
        <v>329</v>
      </c>
      <c r="C62" s="289"/>
      <c r="D62" s="289"/>
      <c r="E62" s="338" t="s">
        <v>330</v>
      </c>
      <c r="F62" s="289"/>
      <c r="G62" s="289"/>
      <c r="H62" s="338" t="s">
        <v>331</v>
      </c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</row>
    <row r="63" spans="1:37" x14ac:dyDescent="0.35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339"/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</row>
    <row r="64" spans="1:37" x14ac:dyDescent="0.35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</row>
    <row r="65" spans="1:37" x14ac:dyDescent="0.35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</row>
    <row r="66" spans="1:37" x14ac:dyDescent="0.35">
      <c r="A66" s="356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</row>
    <row r="67" spans="1:37" x14ac:dyDescent="0.35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</row>
    <row r="68" spans="1:37" x14ac:dyDescent="0.35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</row>
    <row r="69" spans="1:37" x14ac:dyDescent="0.35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</row>
    <row r="70" spans="1:37" x14ac:dyDescent="0.35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</row>
    <row r="71" spans="1:37" x14ac:dyDescent="0.35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</row>
    <row r="72" spans="1:37" x14ac:dyDescent="0.35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</row>
    <row r="73" spans="1:37" x14ac:dyDescent="0.35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</row>
    <row r="74" spans="1:37" x14ac:dyDescent="0.35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</row>
    <row r="75" spans="1:37" x14ac:dyDescent="0.3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</row>
    <row r="76" spans="1:37" x14ac:dyDescent="0.35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</row>
    <row r="77" spans="1:37" x14ac:dyDescent="0.35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</row>
    <row r="78" spans="1:37" x14ac:dyDescent="0.35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</row>
    <row r="79" spans="1:37" x14ac:dyDescent="0.35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41"/>
      <c r="AJ79" s="141"/>
      <c r="AK79" s="141"/>
    </row>
    <row r="80" spans="1:37" x14ac:dyDescent="0.35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  <c r="AE80" s="141"/>
      <c r="AF80" s="141"/>
      <c r="AG80" s="141"/>
      <c r="AH80" s="141"/>
      <c r="AI80" s="141"/>
      <c r="AJ80" s="141"/>
      <c r="AK80" s="141"/>
    </row>
    <row r="81" spans="1:37" x14ac:dyDescent="0.35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  <c r="AE81" s="141"/>
      <c r="AF81" s="141"/>
      <c r="AG81" s="141"/>
      <c r="AH81" s="141"/>
      <c r="AI81" s="141"/>
      <c r="AJ81" s="141"/>
      <c r="AK81" s="141"/>
    </row>
    <row r="82" spans="1:37" x14ac:dyDescent="0.35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  <c r="AE82" s="141"/>
      <c r="AF82" s="141"/>
      <c r="AG82" s="141"/>
      <c r="AH82" s="141"/>
      <c r="AI82" s="141"/>
      <c r="AJ82" s="141"/>
      <c r="AK82" s="141"/>
    </row>
    <row r="83" spans="1:37" x14ac:dyDescent="0.35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/>
      <c r="AI83" s="141"/>
      <c r="AJ83" s="141"/>
      <c r="AK83" s="141"/>
    </row>
    <row r="84" spans="1:37" x14ac:dyDescent="0.35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41"/>
      <c r="AJ84" s="141"/>
      <c r="AK84" s="141"/>
    </row>
    <row r="85" spans="1:37" x14ac:dyDescent="0.3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</row>
    <row r="86" spans="1:37" x14ac:dyDescent="0.35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  <c r="AE86" s="141"/>
      <c r="AF86" s="141"/>
      <c r="AG86" s="141"/>
      <c r="AH86" s="141"/>
      <c r="AI86" s="141"/>
      <c r="AJ86" s="141"/>
      <c r="AK86" s="141"/>
    </row>
    <row r="87" spans="1:37" x14ac:dyDescent="0.35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  <c r="AE87" s="141"/>
      <c r="AF87" s="141"/>
      <c r="AG87" s="141"/>
      <c r="AH87" s="141"/>
      <c r="AI87" s="141"/>
      <c r="AJ87" s="141"/>
      <c r="AK87" s="141"/>
    </row>
    <row r="88" spans="1:37" x14ac:dyDescent="0.35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  <c r="AE88" s="141"/>
      <c r="AF88" s="141"/>
      <c r="AG88" s="141"/>
      <c r="AH88" s="141"/>
      <c r="AI88" s="141"/>
      <c r="AJ88" s="141"/>
      <c r="AK88" s="141"/>
    </row>
    <row r="89" spans="1:37" x14ac:dyDescent="0.35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  <c r="AE89" s="141"/>
      <c r="AF89" s="141"/>
      <c r="AG89" s="141"/>
      <c r="AH89" s="141"/>
      <c r="AI89" s="141"/>
      <c r="AJ89" s="141"/>
      <c r="AK89" s="141"/>
    </row>
    <row r="90" spans="1:37" x14ac:dyDescent="0.35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  <c r="AE90" s="141"/>
      <c r="AF90" s="141"/>
      <c r="AG90" s="141"/>
      <c r="AH90" s="141"/>
      <c r="AI90" s="141"/>
      <c r="AJ90" s="141"/>
      <c r="AK90" s="141"/>
    </row>
    <row r="91" spans="1:37" x14ac:dyDescent="0.35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  <c r="AE91" s="141"/>
      <c r="AF91" s="141"/>
      <c r="AG91" s="141"/>
      <c r="AH91" s="141"/>
      <c r="AI91" s="141"/>
      <c r="AJ91" s="141"/>
      <c r="AK91" s="141"/>
    </row>
    <row r="92" spans="1:37" x14ac:dyDescent="0.35">
      <c r="A92" s="341"/>
      <c r="B92" s="341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341"/>
      <c r="O92" s="341"/>
      <c r="P92" s="341"/>
      <c r="Q92" s="341"/>
      <c r="R92" s="341"/>
      <c r="S92" s="341"/>
      <c r="T92" s="341"/>
      <c r="U92" s="341"/>
      <c r="V92" s="341"/>
      <c r="W92" s="341"/>
      <c r="X92" s="341"/>
      <c r="Y92" s="341"/>
      <c r="Z92" s="341"/>
      <c r="AA92" s="341"/>
      <c r="AB92" s="341"/>
      <c r="AC92" s="341"/>
      <c r="AD92" s="341"/>
      <c r="AE92" s="341"/>
      <c r="AF92" s="141"/>
      <c r="AG92" s="141"/>
      <c r="AH92" s="141"/>
      <c r="AI92" s="141"/>
      <c r="AJ92" s="141"/>
      <c r="AK92" s="141"/>
    </row>
    <row r="93" spans="1:37" x14ac:dyDescent="0.35">
      <c r="A93" s="343"/>
      <c r="B93" s="343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141"/>
      <c r="AG93" s="141"/>
      <c r="AH93" s="141"/>
      <c r="AI93" s="141"/>
      <c r="AJ93" s="141"/>
      <c r="AK93" s="141"/>
    </row>
    <row r="94" spans="1:37" x14ac:dyDescent="0.35">
      <c r="A94" s="343"/>
      <c r="B94" s="343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141"/>
      <c r="AG94" s="141"/>
      <c r="AH94" s="141"/>
      <c r="AI94" s="141"/>
      <c r="AJ94" s="141"/>
      <c r="AK94" s="141"/>
    </row>
    <row r="95" spans="1:37" x14ac:dyDescent="0.35">
      <c r="A95" s="343"/>
      <c r="B95" s="343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141"/>
      <c r="AG95" s="141"/>
      <c r="AH95" s="141"/>
      <c r="AI95" s="141"/>
      <c r="AJ95" s="141"/>
      <c r="AK95" s="141"/>
    </row>
    <row r="96" spans="1:37" x14ac:dyDescent="0.35">
      <c r="A96" s="343"/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141"/>
      <c r="AG96" s="141"/>
      <c r="AH96" s="141"/>
      <c r="AI96" s="141"/>
      <c r="AJ96" s="141"/>
      <c r="AK96" s="141"/>
    </row>
    <row r="97" spans="1:37" x14ac:dyDescent="0.35">
      <c r="A97" s="343"/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141"/>
      <c r="AG97" s="141"/>
      <c r="AH97" s="141"/>
      <c r="AI97" s="141"/>
      <c r="AJ97" s="141"/>
      <c r="AK97" s="141"/>
    </row>
    <row r="98" spans="1:37" x14ac:dyDescent="0.35">
      <c r="A98" s="343"/>
      <c r="B98" s="343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141"/>
      <c r="AG98" s="141"/>
      <c r="AH98" s="141"/>
      <c r="AI98" s="141"/>
      <c r="AJ98" s="141"/>
      <c r="AK98" s="141"/>
    </row>
    <row r="99" spans="1:37" x14ac:dyDescent="0.35">
      <c r="A99" s="343"/>
      <c r="B99" s="343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141"/>
      <c r="AG99" s="141"/>
      <c r="AH99" s="141"/>
      <c r="AI99" s="141"/>
      <c r="AJ99" s="141"/>
      <c r="AK99" s="141"/>
    </row>
    <row r="100" spans="1:37" x14ac:dyDescent="0.35">
      <c r="A100" s="343"/>
      <c r="B100" s="343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141"/>
      <c r="AG100" s="141"/>
      <c r="AH100" s="141"/>
      <c r="AI100" s="141"/>
      <c r="AJ100" s="141"/>
      <c r="AK100" s="141"/>
    </row>
    <row r="101" spans="1:37" x14ac:dyDescent="0.35">
      <c r="A101" s="343"/>
      <c r="B101" s="343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141"/>
      <c r="AG101" s="141"/>
      <c r="AH101" s="141"/>
      <c r="AI101" s="141"/>
      <c r="AJ101" s="141"/>
      <c r="AK101" s="141"/>
    </row>
    <row r="102" spans="1:37" x14ac:dyDescent="0.35">
      <c r="A102" s="343"/>
      <c r="B102" s="343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141"/>
      <c r="AG102" s="141"/>
      <c r="AH102" s="141"/>
      <c r="AI102" s="141"/>
      <c r="AJ102" s="141"/>
      <c r="AK102" s="141"/>
    </row>
    <row r="103" spans="1:37" x14ac:dyDescent="0.35">
      <c r="A103" s="343"/>
      <c r="B103" s="343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141"/>
      <c r="AG103" s="141"/>
      <c r="AH103" s="141"/>
      <c r="AI103" s="141"/>
      <c r="AJ103" s="141"/>
      <c r="AK103" s="141"/>
    </row>
    <row r="104" spans="1:37" x14ac:dyDescent="0.35">
      <c r="A104" s="343"/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141"/>
      <c r="AG104" s="141"/>
      <c r="AH104" s="141"/>
      <c r="AI104" s="141"/>
      <c r="AJ104" s="141"/>
      <c r="AK104" s="141"/>
    </row>
    <row r="105" spans="1:37" x14ac:dyDescent="0.35">
      <c r="A105" s="343"/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141"/>
      <c r="AG105" s="141"/>
      <c r="AH105" s="141"/>
      <c r="AI105" s="141"/>
      <c r="AJ105" s="141"/>
      <c r="AK105" s="141"/>
    </row>
    <row r="106" spans="1:37" x14ac:dyDescent="0.35">
      <c r="A106" s="343"/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141"/>
      <c r="AG106" s="141"/>
      <c r="AH106" s="141"/>
      <c r="AI106" s="141"/>
      <c r="AJ106" s="141"/>
      <c r="AK106" s="141"/>
    </row>
    <row r="107" spans="1:37" x14ac:dyDescent="0.35">
      <c r="A107" s="343"/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141"/>
      <c r="AG107" s="141"/>
      <c r="AH107" s="141"/>
      <c r="AI107" s="141"/>
      <c r="AJ107" s="141"/>
      <c r="AK107" s="141"/>
    </row>
    <row r="108" spans="1:37" x14ac:dyDescent="0.35">
      <c r="A108" s="343"/>
      <c r="B108" s="343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141"/>
      <c r="AG108" s="141"/>
      <c r="AH108" s="141"/>
      <c r="AI108" s="141"/>
      <c r="AJ108" s="141"/>
      <c r="AK108" s="141"/>
    </row>
    <row r="109" spans="1:37" x14ac:dyDescent="0.35">
      <c r="A109" s="343"/>
      <c r="B109" s="343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141"/>
      <c r="AG109" s="141"/>
      <c r="AH109" s="141"/>
      <c r="AI109" s="141"/>
      <c r="AJ109" s="141"/>
      <c r="AK109" s="141"/>
    </row>
    <row r="110" spans="1:37" x14ac:dyDescent="0.35">
      <c r="A110" s="343"/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  <c r="AB110" s="343"/>
      <c r="AC110" s="343"/>
      <c r="AD110" s="343"/>
      <c r="AE110" s="343"/>
      <c r="AF110" s="141"/>
      <c r="AG110" s="141"/>
      <c r="AH110" s="141"/>
      <c r="AI110" s="141"/>
      <c r="AJ110" s="141"/>
      <c r="AK110" s="141"/>
    </row>
    <row r="111" spans="1:37" x14ac:dyDescent="0.35">
      <c r="A111" s="343"/>
      <c r="B111" s="343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343"/>
      <c r="AE111" s="343"/>
      <c r="AF111" s="141"/>
      <c r="AG111" s="141"/>
      <c r="AH111" s="141"/>
      <c r="AI111" s="141"/>
      <c r="AJ111" s="141"/>
      <c r="AK111" s="141"/>
    </row>
    <row r="112" spans="1:37" x14ac:dyDescent="0.35">
      <c r="A112" s="343"/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  <c r="AB112" s="343"/>
      <c r="AC112" s="343"/>
      <c r="AD112" s="343"/>
      <c r="AE112" s="343"/>
      <c r="AF112" s="141"/>
      <c r="AG112" s="141"/>
      <c r="AH112" s="141"/>
      <c r="AI112" s="141"/>
      <c r="AJ112" s="141"/>
      <c r="AK112" s="141"/>
    </row>
    <row r="113" spans="1:37" x14ac:dyDescent="0.35">
      <c r="A113" s="343"/>
      <c r="B113" s="343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  <c r="AB113" s="343"/>
      <c r="AC113" s="343"/>
      <c r="AD113" s="343"/>
      <c r="AE113" s="343"/>
      <c r="AF113" s="141"/>
      <c r="AG113" s="141"/>
      <c r="AH113" s="141"/>
      <c r="AI113" s="141"/>
      <c r="AJ113" s="141"/>
      <c r="AK113" s="141"/>
    </row>
    <row r="114" spans="1:37" x14ac:dyDescent="0.35">
      <c r="A114" s="343"/>
      <c r="B114" s="343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141"/>
      <c r="AG114" s="141"/>
      <c r="AH114" s="141"/>
      <c r="AI114" s="141"/>
      <c r="AJ114" s="141"/>
      <c r="AK114" s="141"/>
    </row>
    <row r="115" spans="1:37" x14ac:dyDescent="0.35">
      <c r="A115" s="343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141"/>
      <c r="AG115" s="141"/>
      <c r="AH115" s="141"/>
      <c r="AI115" s="141"/>
      <c r="AJ115" s="141"/>
      <c r="AK115" s="141"/>
    </row>
    <row r="116" spans="1:37" x14ac:dyDescent="0.35">
      <c r="A116" s="343"/>
      <c r="B116" s="343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141"/>
      <c r="AG116" s="141"/>
      <c r="AH116" s="141"/>
      <c r="AI116" s="141"/>
      <c r="AJ116" s="141"/>
      <c r="AK116" s="141"/>
    </row>
    <row r="117" spans="1:37" x14ac:dyDescent="0.35">
      <c r="A117" s="343"/>
      <c r="B117" s="343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141"/>
      <c r="AG117" s="141"/>
      <c r="AH117" s="141"/>
      <c r="AI117" s="141"/>
      <c r="AJ117" s="141"/>
      <c r="AK117" s="141"/>
    </row>
    <row r="118" spans="1:37" x14ac:dyDescent="0.35">
      <c r="A118" s="343"/>
      <c r="B118" s="343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141"/>
      <c r="AG118" s="141"/>
      <c r="AH118" s="141"/>
      <c r="AI118" s="141"/>
      <c r="AJ118" s="141"/>
      <c r="AK118" s="141"/>
    </row>
    <row r="119" spans="1:37" x14ac:dyDescent="0.35">
      <c r="A119" s="343"/>
      <c r="B119" s="343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141"/>
      <c r="AG119" s="141"/>
      <c r="AH119" s="141"/>
      <c r="AI119" s="141"/>
      <c r="AJ119" s="141"/>
      <c r="AK119" s="141"/>
    </row>
    <row r="120" spans="1:37" x14ac:dyDescent="0.35">
      <c r="A120" s="343"/>
      <c r="B120" s="343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141"/>
      <c r="AG120" s="141"/>
      <c r="AH120" s="141"/>
      <c r="AI120" s="141"/>
      <c r="AJ120" s="141"/>
      <c r="AK120" s="141"/>
    </row>
    <row r="121" spans="1:37" x14ac:dyDescent="0.35">
      <c r="A121" s="343"/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141"/>
      <c r="AG121" s="141"/>
      <c r="AH121" s="141"/>
      <c r="AI121" s="141"/>
      <c r="AJ121" s="141"/>
      <c r="AK121" s="141"/>
    </row>
    <row r="122" spans="1:37" x14ac:dyDescent="0.35">
      <c r="A122" s="343"/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141"/>
      <c r="AG122" s="141"/>
      <c r="AH122" s="141"/>
      <c r="AI122" s="141"/>
      <c r="AJ122" s="141"/>
      <c r="AK122" s="141"/>
    </row>
    <row r="123" spans="1:37" x14ac:dyDescent="0.35">
      <c r="A123" s="343"/>
      <c r="B123" s="343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141"/>
      <c r="AG123" s="141"/>
      <c r="AH123" s="141"/>
      <c r="AI123" s="141"/>
      <c r="AJ123" s="141"/>
      <c r="AK123" s="141"/>
    </row>
    <row r="124" spans="1:37" x14ac:dyDescent="0.35">
      <c r="A124" s="343"/>
      <c r="B124" s="343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141"/>
      <c r="AG124" s="141"/>
      <c r="AH124" s="141"/>
      <c r="AI124" s="141"/>
      <c r="AJ124" s="141"/>
      <c r="AK124" s="141"/>
    </row>
    <row r="125" spans="1:37" x14ac:dyDescent="0.35">
      <c r="A125" s="343"/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141"/>
      <c r="AG125" s="141"/>
      <c r="AH125" s="141"/>
      <c r="AI125" s="141"/>
      <c r="AJ125" s="141"/>
      <c r="AK125" s="141"/>
    </row>
    <row r="126" spans="1:37" x14ac:dyDescent="0.35">
      <c r="A126" s="343"/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141"/>
      <c r="AG126" s="141"/>
      <c r="AH126" s="141"/>
      <c r="AI126" s="141"/>
      <c r="AJ126" s="141"/>
      <c r="AK126" s="141"/>
    </row>
    <row r="127" spans="1:37" x14ac:dyDescent="0.35">
      <c r="A127" s="343"/>
      <c r="B127" s="343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141"/>
      <c r="AG127" s="141"/>
      <c r="AH127" s="141"/>
      <c r="AI127" s="141"/>
      <c r="AJ127" s="141"/>
      <c r="AK127" s="141"/>
    </row>
    <row r="128" spans="1:37" x14ac:dyDescent="0.35">
      <c r="A128" s="343"/>
      <c r="B128" s="343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141"/>
      <c r="AG128" s="141"/>
      <c r="AH128" s="141"/>
      <c r="AI128" s="141"/>
      <c r="AJ128" s="141"/>
      <c r="AK128" s="141"/>
    </row>
    <row r="129" spans="1:37" x14ac:dyDescent="0.35">
      <c r="A129" s="343"/>
      <c r="B129" s="343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141"/>
      <c r="AG129" s="141"/>
      <c r="AH129" s="141"/>
      <c r="AI129" s="141"/>
      <c r="AJ129" s="141"/>
      <c r="AK129" s="141"/>
    </row>
    <row r="130" spans="1:37" x14ac:dyDescent="0.35">
      <c r="A130" s="343"/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141"/>
      <c r="AG130" s="141"/>
      <c r="AH130" s="141"/>
      <c r="AI130" s="141"/>
      <c r="AJ130" s="141"/>
      <c r="AK130" s="141"/>
    </row>
    <row r="131" spans="1:37" x14ac:dyDescent="0.35">
      <c r="A131" s="343"/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141"/>
      <c r="AG131" s="141"/>
      <c r="AH131" s="141"/>
      <c r="AI131" s="141"/>
      <c r="AJ131" s="141"/>
      <c r="AK131" s="141"/>
    </row>
    <row r="132" spans="1:37" x14ac:dyDescent="0.35">
      <c r="A132" s="343"/>
      <c r="B132" s="343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141"/>
      <c r="AG132" s="141"/>
      <c r="AH132" s="141"/>
      <c r="AI132" s="141"/>
      <c r="AJ132" s="141"/>
      <c r="AK132" s="141"/>
    </row>
    <row r="133" spans="1:37" x14ac:dyDescent="0.35">
      <c r="A133" s="343"/>
      <c r="B133" s="343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141"/>
      <c r="AG133" s="141"/>
      <c r="AH133" s="141"/>
      <c r="AI133" s="141"/>
      <c r="AJ133" s="141"/>
      <c r="AK133" s="141"/>
    </row>
    <row r="134" spans="1:37" x14ac:dyDescent="0.35">
      <c r="A134" s="343"/>
      <c r="B134" s="343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141"/>
      <c r="AG134" s="141"/>
      <c r="AH134" s="141"/>
      <c r="AI134" s="141"/>
      <c r="AJ134" s="141"/>
      <c r="AK134" s="141"/>
    </row>
    <row r="135" spans="1:37" x14ac:dyDescent="0.35">
      <c r="A135" s="343"/>
      <c r="B135" s="343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141"/>
      <c r="AG135" s="141"/>
      <c r="AH135" s="141"/>
      <c r="AI135" s="141"/>
      <c r="AJ135" s="141"/>
      <c r="AK135" s="141"/>
    </row>
    <row r="136" spans="1:37" x14ac:dyDescent="0.35">
      <c r="A136" s="343"/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141"/>
      <c r="AG136" s="141"/>
      <c r="AH136" s="141"/>
      <c r="AI136" s="141"/>
      <c r="AJ136" s="141"/>
      <c r="AK136" s="141"/>
    </row>
    <row r="137" spans="1:37" x14ac:dyDescent="0.35">
      <c r="A137" s="343"/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141"/>
      <c r="AG137" s="141"/>
      <c r="AH137" s="141"/>
      <c r="AI137" s="141"/>
      <c r="AJ137" s="141"/>
      <c r="AK137" s="141"/>
    </row>
    <row r="138" spans="1:37" x14ac:dyDescent="0.35">
      <c r="A138" s="343"/>
      <c r="B138" s="343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141"/>
      <c r="AG138" s="141"/>
      <c r="AH138" s="141"/>
      <c r="AI138" s="141"/>
      <c r="AJ138" s="141"/>
      <c r="AK138" s="141"/>
    </row>
    <row r="139" spans="1:37" x14ac:dyDescent="0.35">
      <c r="A139" s="343"/>
      <c r="B139" s="343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141"/>
      <c r="AG139" s="141"/>
      <c r="AH139" s="141"/>
      <c r="AI139" s="141"/>
      <c r="AJ139" s="141"/>
      <c r="AK139" s="141"/>
    </row>
    <row r="140" spans="1:37" x14ac:dyDescent="0.35">
      <c r="A140" s="343"/>
      <c r="B140" s="343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141"/>
      <c r="AG140" s="141"/>
      <c r="AH140" s="141"/>
      <c r="AI140" s="141"/>
      <c r="AJ140" s="141"/>
      <c r="AK140" s="141"/>
    </row>
    <row r="141" spans="1:37" x14ac:dyDescent="0.35">
      <c r="A141" s="343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141"/>
      <c r="AG141" s="141"/>
      <c r="AH141" s="141"/>
      <c r="AI141" s="141"/>
      <c r="AJ141" s="141"/>
      <c r="AK141" s="141"/>
    </row>
    <row r="142" spans="1:37" x14ac:dyDescent="0.35">
      <c r="A142" s="343"/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141"/>
      <c r="AG142" s="141"/>
      <c r="AH142" s="141"/>
      <c r="AI142" s="141"/>
      <c r="AJ142" s="141"/>
      <c r="AK142" s="141"/>
    </row>
    <row r="143" spans="1:37" x14ac:dyDescent="0.35">
      <c r="A143" s="343"/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141"/>
      <c r="AG143" s="141"/>
      <c r="AH143" s="141"/>
      <c r="AI143" s="141"/>
      <c r="AJ143" s="141"/>
      <c r="AK143" s="141"/>
    </row>
    <row r="144" spans="1:37" x14ac:dyDescent="0.35">
      <c r="A144" s="343"/>
      <c r="B144" s="343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141"/>
      <c r="AG144" s="141"/>
      <c r="AH144" s="141"/>
      <c r="AI144" s="141"/>
      <c r="AJ144" s="141"/>
      <c r="AK144" s="141"/>
    </row>
    <row r="145" spans="1:37" x14ac:dyDescent="0.35">
      <c r="A145" s="343"/>
      <c r="B145" s="343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141"/>
      <c r="AG145" s="141"/>
      <c r="AH145" s="141"/>
      <c r="AI145" s="141"/>
      <c r="AJ145" s="141"/>
      <c r="AK145" s="141"/>
    </row>
    <row r="146" spans="1:37" x14ac:dyDescent="0.35">
      <c r="A146" s="343"/>
      <c r="B146" s="343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141"/>
      <c r="AG146" s="141"/>
      <c r="AH146" s="141"/>
      <c r="AI146" s="141"/>
      <c r="AJ146" s="141"/>
      <c r="AK146" s="141"/>
    </row>
    <row r="147" spans="1:37" x14ac:dyDescent="0.35">
      <c r="A147" s="343"/>
      <c r="B147" s="343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141"/>
      <c r="AG147" s="141"/>
      <c r="AH147" s="141"/>
      <c r="AI147" s="141"/>
      <c r="AJ147" s="141"/>
      <c r="AK147" s="141"/>
    </row>
    <row r="148" spans="1:37" x14ac:dyDescent="0.35">
      <c r="A148" s="343"/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141"/>
      <c r="AG148" s="141"/>
      <c r="AH148" s="141"/>
      <c r="AI148" s="141"/>
      <c r="AJ148" s="141"/>
      <c r="AK148" s="141"/>
    </row>
    <row r="149" spans="1:37" x14ac:dyDescent="0.35">
      <c r="A149" s="343"/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3"/>
      <c r="AF149" s="141"/>
      <c r="AG149" s="141"/>
      <c r="AH149" s="141"/>
      <c r="AI149" s="141"/>
      <c r="AJ149" s="141"/>
      <c r="AK149" s="141"/>
    </row>
    <row r="150" spans="1:37" x14ac:dyDescent="0.35">
      <c r="A150" s="343"/>
      <c r="B150" s="343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3"/>
      <c r="AF150" s="141"/>
      <c r="AG150" s="141"/>
      <c r="AH150" s="141"/>
      <c r="AI150" s="141"/>
      <c r="AJ150" s="141"/>
      <c r="AK150" s="141"/>
    </row>
    <row r="151" spans="1:37" x14ac:dyDescent="0.35">
      <c r="A151" s="343"/>
      <c r="B151" s="343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3"/>
      <c r="AF151" s="141"/>
      <c r="AG151" s="141"/>
      <c r="AH151" s="141"/>
      <c r="AI151" s="141"/>
      <c r="AJ151" s="141"/>
      <c r="AK151" s="141"/>
    </row>
    <row r="152" spans="1:37" x14ac:dyDescent="0.35">
      <c r="A152" s="343"/>
      <c r="B152" s="343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3"/>
      <c r="AF152" s="141"/>
      <c r="AG152" s="141"/>
      <c r="AH152" s="141"/>
      <c r="AI152" s="141"/>
      <c r="AJ152" s="141"/>
      <c r="AK152" s="141"/>
    </row>
    <row r="153" spans="1:37" x14ac:dyDescent="0.35">
      <c r="A153" s="343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141"/>
      <c r="AG153" s="141"/>
      <c r="AH153" s="141"/>
      <c r="AI153" s="141"/>
      <c r="AJ153" s="141"/>
      <c r="AK153" s="141"/>
    </row>
    <row r="154" spans="1:37" x14ac:dyDescent="0.35">
      <c r="A154" s="343"/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3"/>
      <c r="AF154" s="141"/>
      <c r="AG154" s="141"/>
      <c r="AH154" s="141"/>
      <c r="AI154" s="141"/>
      <c r="AJ154" s="141"/>
      <c r="AK154" s="141"/>
    </row>
    <row r="155" spans="1:37" x14ac:dyDescent="0.35">
      <c r="A155" s="343"/>
      <c r="B155" s="343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3"/>
      <c r="W155" s="343"/>
      <c r="X155" s="343"/>
      <c r="Y155" s="343"/>
      <c r="Z155" s="343"/>
      <c r="AA155" s="343"/>
      <c r="AB155" s="343"/>
      <c r="AC155" s="343"/>
      <c r="AD155" s="343"/>
      <c r="AE155" s="343"/>
      <c r="AF155" s="141"/>
      <c r="AG155" s="141"/>
      <c r="AH155" s="141"/>
      <c r="AI155" s="141"/>
      <c r="AJ155" s="141"/>
      <c r="AK155" s="141"/>
    </row>
    <row r="156" spans="1:37" x14ac:dyDescent="0.35">
      <c r="A156" s="343"/>
      <c r="B156" s="343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3"/>
      <c r="AB156" s="343"/>
      <c r="AC156" s="343"/>
      <c r="AD156" s="343"/>
      <c r="AE156" s="343"/>
      <c r="AF156" s="141"/>
      <c r="AG156" s="141"/>
      <c r="AH156" s="141"/>
      <c r="AI156" s="141"/>
      <c r="AJ156" s="141"/>
      <c r="AK156" s="141"/>
    </row>
    <row r="157" spans="1:37" x14ac:dyDescent="0.35">
      <c r="A157" s="343"/>
      <c r="B157" s="343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3"/>
      <c r="W157" s="343"/>
      <c r="X157" s="343"/>
      <c r="Y157" s="343"/>
      <c r="Z157" s="343"/>
      <c r="AA157" s="343"/>
      <c r="AB157" s="343"/>
      <c r="AC157" s="343"/>
      <c r="AD157" s="343"/>
      <c r="AE157" s="343"/>
      <c r="AF157" s="141"/>
      <c r="AG157" s="141"/>
      <c r="AH157" s="141"/>
      <c r="AI157" s="141"/>
      <c r="AJ157" s="141"/>
      <c r="AK157" s="141"/>
    </row>
    <row r="158" spans="1:37" x14ac:dyDescent="0.35">
      <c r="A158" s="343"/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343"/>
      <c r="AB158" s="343"/>
      <c r="AC158" s="343"/>
      <c r="AD158" s="343"/>
      <c r="AE158" s="343"/>
      <c r="AF158" s="141"/>
      <c r="AG158" s="141"/>
      <c r="AH158" s="141"/>
      <c r="AI158" s="141"/>
      <c r="AJ158" s="141"/>
      <c r="AK158" s="141"/>
    </row>
    <row r="159" spans="1:37" x14ac:dyDescent="0.35">
      <c r="A159" s="343"/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343"/>
      <c r="AB159" s="343"/>
      <c r="AC159" s="343"/>
      <c r="AD159" s="343"/>
      <c r="AE159" s="343"/>
      <c r="AF159" s="141"/>
      <c r="AG159" s="141"/>
      <c r="AH159" s="141"/>
      <c r="AI159" s="141"/>
      <c r="AJ159" s="141"/>
      <c r="AK159" s="141"/>
    </row>
    <row r="160" spans="1:37" x14ac:dyDescent="0.35">
      <c r="A160" s="343"/>
      <c r="B160" s="343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141"/>
      <c r="AG160" s="141"/>
      <c r="AH160" s="141"/>
      <c r="AI160" s="141"/>
      <c r="AJ160" s="141"/>
      <c r="AK160" s="141"/>
    </row>
    <row r="161" spans="1:37" x14ac:dyDescent="0.35">
      <c r="A161" s="343"/>
      <c r="B161" s="343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141"/>
      <c r="AG161" s="141"/>
      <c r="AH161" s="141"/>
      <c r="AI161" s="141"/>
      <c r="AJ161" s="141"/>
      <c r="AK161" s="141"/>
    </row>
    <row r="162" spans="1:37" x14ac:dyDescent="0.35">
      <c r="A162" s="343"/>
      <c r="B162" s="343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3"/>
      <c r="W162" s="343"/>
      <c r="X162" s="343"/>
      <c r="Y162" s="343"/>
      <c r="Z162" s="343"/>
      <c r="AA162" s="343"/>
      <c r="AB162" s="343"/>
      <c r="AC162" s="343"/>
      <c r="AD162" s="343"/>
      <c r="AE162" s="343"/>
      <c r="AF162" s="141"/>
      <c r="AG162" s="141"/>
      <c r="AH162" s="141"/>
      <c r="AI162" s="141"/>
      <c r="AJ162" s="141"/>
      <c r="AK162" s="141"/>
    </row>
    <row r="163" spans="1:37" x14ac:dyDescent="0.35">
      <c r="A163" s="343"/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141"/>
      <c r="AG163" s="141"/>
      <c r="AH163" s="141"/>
      <c r="AI163" s="141"/>
      <c r="AJ163" s="141"/>
      <c r="AK163" s="141"/>
    </row>
    <row r="164" spans="1:37" x14ac:dyDescent="0.35">
      <c r="A164" s="343"/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141"/>
      <c r="AG164" s="141"/>
      <c r="AH164" s="141"/>
      <c r="AI164" s="141"/>
      <c r="AJ164" s="141"/>
      <c r="AK164" s="141"/>
    </row>
    <row r="165" spans="1:37" x14ac:dyDescent="0.35">
      <c r="A165" s="343"/>
      <c r="B165" s="343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3"/>
      <c r="W165" s="343"/>
      <c r="X165" s="343"/>
      <c r="Y165" s="343"/>
      <c r="Z165" s="343"/>
      <c r="AA165" s="343"/>
      <c r="AB165" s="343"/>
      <c r="AC165" s="343"/>
      <c r="AD165" s="343"/>
      <c r="AE165" s="343"/>
      <c r="AF165" s="141"/>
      <c r="AG165" s="141"/>
      <c r="AH165" s="141"/>
      <c r="AI165" s="141"/>
      <c r="AJ165" s="141"/>
      <c r="AK165" s="141"/>
    </row>
    <row r="166" spans="1:37" x14ac:dyDescent="0.35">
      <c r="A166" s="343"/>
      <c r="B166" s="343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3"/>
      <c r="W166" s="343"/>
      <c r="X166" s="343"/>
      <c r="Y166" s="343"/>
      <c r="Z166" s="343"/>
      <c r="AA166" s="343"/>
      <c r="AB166" s="343"/>
      <c r="AC166" s="343"/>
      <c r="AD166" s="343"/>
      <c r="AE166" s="343"/>
      <c r="AF166" s="141"/>
      <c r="AG166" s="141"/>
      <c r="AH166" s="141"/>
      <c r="AI166" s="141"/>
      <c r="AJ166" s="141"/>
      <c r="AK166" s="141"/>
    </row>
    <row r="167" spans="1:37" x14ac:dyDescent="0.35">
      <c r="A167" s="343"/>
      <c r="B167" s="343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3"/>
      <c r="W167" s="343"/>
      <c r="X167" s="343"/>
      <c r="Y167" s="343"/>
      <c r="Z167" s="343"/>
      <c r="AA167" s="343"/>
      <c r="AB167" s="343"/>
      <c r="AC167" s="343"/>
      <c r="AD167" s="343"/>
      <c r="AE167" s="343"/>
      <c r="AF167" s="141"/>
      <c r="AG167" s="141"/>
      <c r="AH167" s="141"/>
      <c r="AI167" s="141"/>
      <c r="AJ167" s="141"/>
      <c r="AK167" s="141"/>
    </row>
    <row r="168" spans="1:37" x14ac:dyDescent="0.35">
      <c r="A168" s="343"/>
      <c r="B168" s="343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141"/>
      <c r="AG168" s="141"/>
      <c r="AH168" s="141"/>
      <c r="AI168" s="141"/>
      <c r="AJ168" s="141"/>
      <c r="AK168" s="141"/>
    </row>
    <row r="169" spans="1:37" x14ac:dyDescent="0.35">
      <c r="A169" s="343"/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141"/>
      <c r="AG169" s="141"/>
      <c r="AH169" s="141"/>
      <c r="AI169" s="141"/>
      <c r="AJ169" s="141"/>
      <c r="AK169" s="141"/>
    </row>
    <row r="170" spans="1:37" x14ac:dyDescent="0.35">
      <c r="A170" s="343"/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141"/>
      <c r="AG170" s="141"/>
      <c r="AH170" s="141"/>
      <c r="AI170" s="141"/>
      <c r="AJ170" s="141"/>
      <c r="AK170" s="141"/>
    </row>
    <row r="171" spans="1:37" x14ac:dyDescent="0.35">
      <c r="A171" s="343"/>
      <c r="B171" s="343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3"/>
      <c r="W171" s="343"/>
      <c r="X171" s="343"/>
      <c r="Y171" s="343"/>
      <c r="Z171" s="343"/>
      <c r="AA171" s="343"/>
      <c r="AB171" s="343"/>
      <c r="AC171" s="343"/>
      <c r="AD171" s="343"/>
      <c r="AE171" s="343"/>
      <c r="AF171" s="141"/>
      <c r="AG171" s="141"/>
      <c r="AH171" s="141"/>
      <c r="AI171" s="141"/>
      <c r="AJ171" s="141"/>
      <c r="AK171" s="141"/>
    </row>
    <row r="172" spans="1:37" x14ac:dyDescent="0.35">
      <c r="A172" s="343"/>
      <c r="B172" s="343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3"/>
      <c r="W172" s="343"/>
      <c r="X172" s="343"/>
      <c r="Y172" s="343"/>
      <c r="Z172" s="343"/>
      <c r="AA172" s="343"/>
      <c r="AB172" s="343"/>
      <c r="AC172" s="343"/>
      <c r="AD172" s="343"/>
      <c r="AE172" s="343"/>
      <c r="AF172" s="141"/>
      <c r="AG172" s="141"/>
      <c r="AH172" s="141"/>
      <c r="AI172" s="141"/>
      <c r="AJ172" s="141"/>
      <c r="AK172" s="141"/>
    </row>
    <row r="173" spans="1:37" x14ac:dyDescent="0.35">
      <c r="A173" s="343"/>
      <c r="B173" s="343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3"/>
      <c r="W173" s="343"/>
      <c r="X173" s="343"/>
      <c r="Y173" s="343"/>
      <c r="Z173" s="343"/>
      <c r="AA173" s="343"/>
      <c r="AB173" s="343"/>
      <c r="AC173" s="343"/>
      <c r="AD173" s="343"/>
      <c r="AE173" s="343"/>
      <c r="AF173" s="141"/>
      <c r="AG173" s="141"/>
      <c r="AH173" s="141"/>
      <c r="AI173" s="141"/>
      <c r="AJ173" s="141"/>
      <c r="AK173" s="141"/>
    </row>
    <row r="174" spans="1:37" x14ac:dyDescent="0.35">
      <c r="A174" s="343"/>
      <c r="B174" s="343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3"/>
      <c r="W174" s="343"/>
      <c r="X174" s="343"/>
      <c r="Y174" s="343"/>
      <c r="Z174" s="343"/>
      <c r="AA174" s="343"/>
      <c r="AB174" s="343"/>
      <c r="AC174" s="343"/>
      <c r="AD174" s="343"/>
      <c r="AE174" s="343"/>
      <c r="AF174" s="141"/>
      <c r="AG174" s="141"/>
      <c r="AH174" s="141"/>
      <c r="AI174" s="141"/>
      <c r="AJ174" s="141"/>
      <c r="AK174" s="141"/>
    </row>
    <row r="175" spans="1:37" x14ac:dyDescent="0.35">
      <c r="A175" s="343"/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141"/>
      <c r="AG175" s="141"/>
      <c r="AH175" s="141"/>
      <c r="AI175" s="141"/>
      <c r="AJ175" s="141"/>
      <c r="AK175" s="141"/>
    </row>
    <row r="176" spans="1:37" x14ac:dyDescent="0.35">
      <c r="A176" s="343"/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141"/>
      <c r="AG176" s="141"/>
      <c r="AH176" s="141"/>
      <c r="AI176" s="141"/>
      <c r="AJ176" s="141"/>
      <c r="AK176" s="141"/>
    </row>
    <row r="177" spans="1:37" x14ac:dyDescent="0.35">
      <c r="A177" s="343"/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141"/>
      <c r="AG177" s="141"/>
      <c r="AH177" s="141"/>
      <c r="AI177" s="141"/>
      <c r="AJ177" s="141"/>
      <c r="AK177" s="141"/>
    </row>
    <row r="178" spans="1:37" x14ac:dyDescent="0.35">
      <c r="A178" s="343"/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141"/>
      <c r="AG178" s="141"/>
      <c r="AH178" s="141"/>
      <c r="AI178" s="141"/>
      <c r="AJ178" s="141"/>
      <c r="AK178" s="141"/>
    </row>
    <row r="179" spans="1:37" x14ac:dyDescent="0.35">
      <c r="A179" s="343"/>
      <c r="B179" s="343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3"/>
      <c r="W179" s="343"/>
      <c r="X179" s="343"/>
      <c r="Y179" s="343"/>
      <c r="Z179" s="343"/>
      <c r="AA179" s="343"/>
      <c r="AB179" s="343"/>
      <c r="AC179" s="343"/>
      <c r="AD179" s="343"/>
      <c r="AE179" s="343"/>
      <c r="AF179" s="141"/>
      <c r="AG179" s="141"/>
      <c r="AH179" s="141"/>
      <c r="AI179" s="141"/>
      <c r="AJ179" s="141"/>
      <c r="AK179" s="141"/>
    </row>
    <row r="180" spans="1:37" x14ac:dyDescent="0.35">
      <c r="A180" s="343"/>
      <c r="B180" s="343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343"/>
      <c r="AE180" s="343"/>
      <c r="AF180" s="141"/>
      <c r="AG180" s="141"/>
      <c r="AH180" s="141"/>
      <c r="AI180" s="141"/>
      <c r="AJ180" s="141"/>
      <c r="AK180" s="141"/>
    </row>
    <row r="181" spans="1:37" x14ac:dyDescent="0.35">
      <c r="A181" s="343"/>
      <c r="B181" s="343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3"/>
      <c r="AF181" s="141"/>
      <c r="AG181" s="141"/>
      <c r="AH181" s="141"/>
      <c r="AI181" s="141"/>
      <c r="AJ181" s="141"/>
      <c r="AK181" s="141"/>
    </row>
    <row r="182" spans="1:37" x14ac:dyDescent="0.35">
      <c r="A182" s="343"/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141"/>
      <c r="AG182" s="141"/>
      <c r="AH182" s="141"/>
      <c r="AI182" s="141"/>
      <c r="AJ182" s="141"/>
      <c r="AK182" s="141"/>
    </row>
    <row r="183" spans="1:37" x14ac:dyDescent="0.35">
      <c r="A183" s="343"/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3"/>
      <c r="AF183" s="141"/>
      <c r="AG183" s="141"/>
      <c r="AH183" s="141"/>
      <c r="AI183" s="141"/>
      <c r="AJ183" s="141"/>
      <c r="AK183" s="141"/>
    </row>
    <row r="184" spans="1:37" x14ac:dyDescent="0.35">
      <c r="A184" s="343"/>
      <c r="B184" s="343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343"/>
      <c r="AB184" s="343"/>
      <c r="AC184" s="343"/>
      <c r="AD184" s="343"/>
      <c r="AE184" s="343"/>
      <c r="AF184" s="141"/>
      <c r="AG184" s="141"/>
      <c r="AH184" s="141"/>
      <c r="AI184" s="141"/>
      <c r="AJ184" s="141"/>
      <c r="AK184" s="141"/>
    </row>
    <row r="185" spans="1:37" x14ac:dyDescent="0.35">
      <c r="A185" s="343"/>
      <c r="B185" s="343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3"/>
      <c r="W185" s="343"/>
      <c r="X185" s="343"/>
      <c r="Y185" s="343"/>
      <c r="Z185" s="343"/>
      <c r="AA185" s="343"/>
      <c r="AB185" s="343"/>
      <c r="AC185" s="343"/>
      <c r="AD185" s="343"/>
      <c r="AE185" s="343"/>
      <c r="AF185" s="141"/>
      <c r="AG185" s="141"/>
      <c r="AH185" s="141"/>
      <c r="AI185" s="141"/>
      <c r="AJ185" s="141"/>
      <c r="AK185" s="141"/>
    </row>
    <row r="186" spans="1:37" x14ac:dyDescent="0.35">
      <c r="A186" s="343"/>
      <c r="B186" s="343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3"/>
      <c r="W186" s="343"/>
      <c r="X186" s="343"/>
      <c r="Y186" s="343"/>
      <c r="Z186" s="343"/>
      <c r="AA186" s="343"/>
      <c r="AB186" s="343"/>
      <c r="AC186" s="343"/>
      <c r="AD186" s="343"/>
      <c r="AE186" s="343"/>
      <c r="AF186" s="141"/>
      <c r="AG186" s="141"/>
      <c r="AH186" s="141"/>
      <c r="AI186" s="141"/>
      <c r="AJ186" s="141"/>
      <c r="AK186" s="141"/>
    </row>
    <row r="187" spans="1:37" x14ac:dyDescent="0.35">
      <c r="A187" s="343"/>
      <c r="B187" s="343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141"/>
      <c r="AG187" s="141"/>
      <c r="AH187" s="141"/>
      <c r="AI187" s="141"/>
      <c r="AJ187" s="141"/>
      <c r="AK187" s="141"/>
    </row>
    <row r="188" spans="1:37" x14ac:dyDescent="0.35">
      <c r="A188" s="343"/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343"/>
      <c r="AB188" s="343"/>
      <c r="AC188" s="343"/>
      <c r="AD188" s="343"/>
      <c r="AE188" s="343"/>
      <c r="AF188" s="141"/>
      <c r="AG188" s="141"/>
      <c r="AH188" s="141"/>
      <c r="AI188" s="141"/>
      <c r="AJ188" s="141"/>
      <c r="AK188" s="141"/>
    </row>
    <row r="189" spans="1:37" x14ac:dyDescent="0.35">
      <c r="A189" s="343"/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141"/>
      <c r="AG189" s="141"/>
      <c r="AH189" s="141"/>
      <c r="AI189" s="141"/>
      <c r="AJ189" s="141"/>
      <c r="AK189" s="141"/>
    </row>
    <row r="190" spans="1:37" x14ac:dyDescent="0.35">
      <c r="A190" s="343"/>
      <c r="B190" s="343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141"/>
      <c r="AG190" s="141"/>
      <c r="AH190" s="141"/>
      <c r="AI190" s="141"/>
      <c r="AJ190" s="141"/>
      <c r="AK190" s="141"/>
    </row>
    <row r="191" spans="1:37" x14ac:dyDescent="0.35">
      <c r="A191" s="343"/>
      <c r="B191" s="343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141"/>
      <c r="AG191" s="141"/>
      <c r="AH191" s="141"/>
      <c r="AI191" s="141"/>
      <c r="AJ191" s="141"/>
      <c r="AK191" s="141"/>
    </row>
    <row r="192" spans="1:37" x14ac:dyDescent="0.35">
      <c r="A192" s="343"/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343"/>
      <c r="AB192" s="343"/>
      <c r="AC192" s="343"/>
      <c r="AD192" s="343"/>
      <c r="AE192" s="343"/>
      <c r="AF192" s="141"/>
      <c r="AG192" s="141"/>
      <c r="AH192" s="141"/>
      <c r="AI192" s="141"/>
      <c r="AJ192" s="141"/>
      <c r="AK192" s="141"/>
    </row>
    <row r="193" spans="1:37" x14ac:dyDescent="0.35">
      <c r="A193" s="343"/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343"/>
      <c r="AB193" s="343"/>
      <c r="AC193" s="343"/>
      <c r="AD193" s="343"/>
      <c r="AE193" s="343"/>
      <c r="AF193" s="141"/>
      <c r="AG193" s="141"/>
      <c r="AH193" s="141"/>
      <c r="AI193" s="141"/>
      <c r="AJ193" s="141"/>
      <c r="AK193" s="141"/>
    </row>
    <row r="194" spans="1:37" x14ac:dyDescent="0.35">
      <c r="A194" s="343"/>
      <c r="B194" s="343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343"/>
      <c r="AB194" s="343"/>
      <c r="AC194" s="343"/>
      <c r="AD194" s="343"/>
      <c r="AE194" s="343"/>
      <c r="AF194" s="141"/>
      <c r="AG194" s="141"/>
      <c r="AH194" s="141"/>
      <c r="AI194" s="141"/>
      <c r="AJ194" s="141"/>
      <c r="AK194" s="141"/>
    </row>
    <row r="195" spans="1:37" x14ac:dyDescent="0.35">
      <c r="A195" s="343"/>
      <c r="B195" s="343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3"/>
      <c r="W195" s="343"/>
      <c r="X195" s="343"/>
      <c r="Y195" s="343"/>
      <c r="Z195" s="343"/>
      <c r="AA195" s="343"/>
      <c r="AB195" s="343"/>
      <c r="AC195" s="343"/>
      <c r="AD195" s="343"/>
      <c r="AE195" s="343"/>
      <c r="AF195" s="141"/>
      <c r="AG195" s="141"/>
      <c r="AH195" s="141"/>
      <c r="AI195" s="141"/>
      <c r="AJ195" s="141"/>
      <c r="AK195" s="141"/>
    </row>
    <row r="196" spans="1:37" x14ac:dyDescent="0.35">
      <c r="A196" s="343"/>
      <c r="B196" s="343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141"/>
      <c r="AG196" s="141"/>
      <c r="AH196" s="141"/>
      <c r="AI196" s="141"/>
      <c r="AJ196" s="141"/>
      <c r="AK196" s="141"/>
    </row>
    <row r="197" spans="1:37" x14ac:dyDescent="0.35">
      <c r="A197" s="343"/>
      <c r="B197" s="343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3"/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141"/>
      <c r="AG197" s="141"/>
      <c r="AH197" s="141"/>
      <c r="AI197" s="141"/>
      <c r="AJ197" s="141"/>
      <c r="AK197" s="141"/>
    </row>
    <row r="198" spans="1:37" x14ac:dyDescent="0.35">
      <c r="A198" s="343"/>
      <c r="B198" s="343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141"/>
      <c r="AG198" s="141"/>
      <c r="AH198" s="141"/>
      <c r="AI198" s="141"/>
      <c r="AJ198" s="141"/>
      <c r="AK198" s="141"/>
    </row>
    <row r="199" spans="1:37" x14ac:dyDescent="0.35">
      <c r="A199" s="343"/>
      <c r="B199" s="343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141"/>
      <c r="AG199" s="141"/>
      <c r="AH199" s="141"/>
      <c r="AI199" s="141"/>
      <c r="AJ199" s="141"/>
      <c r="AK199" s="141"/>
    </row>
    <row r="200" spans="1:37" x14ac:dyDescent="0.35">
      <c r="A200" s="343"/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141"/>
      <c r="AG200" s="141"/>
      <c r="AH200" s="141"/>
      <c r="AI200" s="141"/>
      <c r="AJ200" s="141"/>
      <c r="AK200" s="141"/>
    </row>
    <row r="201" spans="1:37" x14ac:dyDescent="0.35">
      <c r="A201" s="343"/>
      <c r="B201" s="343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141"/>
      <c r="AG201" s="141"/>
      <c r="AH201" s="141"/>
      <c r="AI201" s="141"/>
      <c r="AJ201" s="141"/>
      <c r="AK201" s="141"/>
    </row>
    <row r="202" spans="1:37" x14ac:dyDescent="0.35">
      <c r="A202" s="343"/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343"/>
      <c r="AB202" s="343"/>
      <c r="AC202" s="343"/>
      <c r="AD202" s="343"/>
      <c r="AE202" s="343"/>
      <c r="AF202" s="141"/>
      <c r="AG202" s="141"/>
      <c r="AH202" s="141"/>
      <c r="AI202" s="141"/>
      <c r="AJ202" s="141"/>
      <c r="AK202" s="141"/>
    </row>
    <row r="203" spans="1:37" x14ac:dyDescent="0.35">
      <c r="A203" s="343"/>
      <c r="B203" s="343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141"/>
      <c r="AG203" s="141"/>
      <c r="AH203" s="141"/>
      <c r="AI203" s="141"/>
      <c r="AJ203" s="141"/>
      <c r="AK203" s="141"/>
    </row>
    <row r="204" spans="1:37" x14ac:dyDescent="0.35">
      <c r="A204" s="343"/>
      <c r="B204" s="343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3"/>
      <c r="W204" s="343"/>
      <c r="X204" s="343"/>
      <c r="Y204" s="343"/>
      <c r="Z204" s="343"/>
      <c r="AA204" s="343"/>
      <c r="AB204" s="343"/>
      <c r="AC204" s="343"/>
      <c r="AD204" s="343"/>
      <c r="AE204" s="343"/>
      <c r="AF204" s="141"/>
      <c r="AG204" s="141"/>
      <c r="AH204" s="141"/>
      <c r="AI204" s="141"/>
      <c r="AJ204" s="141"/>
      <c r="AK204" s="141"/>
    </row>
    <row r="205" spans="1:37" x14ac:dyDescent="0.35">
      <c r="A205" s="343"/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141"/>
      <c r="AG205" s="141"/>
      <c r="AH205" s="141"/>
      <c r="AI205" s="141"/>
      <c r="AJ205" s="141"/>
      <c r="AK205" s="141"/>
    </row>
    <row r="206" spans="1:37" x14ac:dyDescent="0.35">
      <c r="A206" s="343"/>
      <c r="B206" s="343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141"/>
      <c r="AG206" s="141"/>
      <c r="AH206" s="141"/>
      <c r="AI206" s="141"/>
      <c r="AJ206" s="141"/>
      <c r="AK206" s="141"/>
    </row>
    <row r="207" spans="1:37" x14ac:dyDescent="0.35">
      <c r="A207" s="343"/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141"/>
      <c r="AG207" s="141"/>
      <c r="AH207" s="141"/>
      <c r="AI207" s="141"/>
      <c r="AJ207" s="141"/>
      <c r="AK207" s="141"/>
    </row>
    <row r="208" spans="1:37" x14ac:dyDescent="0.35">
      <c r="A208" s="343"/>
      <c r="B208" s="343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141"/>
      <c r="AG208" s="141"/>
      <c r="AH208" s="141"/>
      <c r="AI208" s="141"/>
      <c r="AJ208" s="141"/>
      <c r="AK208" s="141"/>
    </row>
    <row r="209" spans="1:37" x14ac:dyDescent="0.35">
      <c r="A209" s="343"/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343"/>
      <c r="AB209" s="343"/>
      <c r="AC209" s="343"/>
      <c r="AD209" s="343"/>
      <c r="AE209" s="343"/>
      <c r="AF209" s="141"/>
      <c r="AG209" s="141"/>
      <c r="AH209" s="141"/>
      <c r="AI209" s="141"/>
      <c r="AJ209" s="141"/>
      <c r="AK209" s="141"/>
    </row>
    <row r="210" spans="1:37" x14ac:dyDescent="0.35">
      <c r="A210" s="343"/>
      <c r="B210" s="343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141"/>
      <c r="AG210" s="141"/>
      <c r="AH210" s="141"/>
      <c r="AI210" s="141"/>
      <c r="AJ210" s="141"/>
      <c r="AK210" s="141"/>
    </row>
    <row r="211" spans="1:37" x14ac:dyDescent="0.35">
      <c r="A211" s="343"/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343"/>
      <c r="AB211" s="343"/>
      <c r="AC211" s="343"/>
      <c r="AD211" s="343"/>
      <c r="AE211" s="343"/>
      <c r="AF211" s="141"/>
      <c r="AG211" s="141"/>
      <c r="AH211" s="141"/>
      <c r="AI211" s="141"/>
      <c r="AJ211" s="141"/>
      <c r="AK211" s="141"/>
    </row>
    <row r="212" spans="1:37" x14ac:dyDescent="0.35">
      <c r="A212" s="343"/>
      <c r="B212" s="343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3"/>
      <c r="W212" s="343"/>
      <c r="X212" s="343"/>
      <c r="Y212" s="343"/>
      <c r="Z212" s="343"/>
      <c r="AA212" s="343"/>
      <c r="AB212" s="343"/>
      <c r="AC212" s="343"/>
      <c r="AD212" s="343"/>
      <c r="AE212" s="343"/>
      <c r="AF212" s="141"/>
      <c r="AG212" s="141"/>
      <c r="AH212" s="141"/>
      <c r="AI212" s="141"/>
      <c r="AJ212" s="141"/>
      <c r="AK212" s="141"/>
    </row>
    <row r="213" spans="1:37" x14ac:dyDescent="0.35">
      <c r="A213" s="343"/>
      <c r="B213" s="343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3"/>
      <c r="W213" s="343"/>
      <c r="X213" s="343"/>
      <c r="Y213" s="343"/>
      <c r="Z213" s="343"/>
      <c r="AA213" s="343"/>
      <c r="AB213" s="343"/>
      <c r="AC213" s="343"/>
      <c r="AD213" s="343"/>
      <c r="AE213" s="343"/>
      <c r="AF213" s="141"/>
      <c r="AG213" s="141"/>
      <c r="AH213" s="141"/>
      <c r="AI213" s="141"/>
      <c r="AJ213" s="141"/>
      <c r="AK213" s="141"/>
    </row>
    <row r="214" spans="1:37" x14ac:dyDescent="0.35">
      <c r="A214" s="343"/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343"/>
      <c r="AB214" s="343"/>
      <c r="AC214" s="343"/>
      <c r="AD214" s="343"/>
      <c r="AE214" s="343"/>
      <c r="AF214" s="141"/>
      <c r="AG214" s="141"/>
      <c r="AH214" s="141"/>
      <c r="AI214" s="141"/>
      <c r="AJ214" s="141"/>
      <c r="AK214" s="141"/>
    </row>
    <row r="215" spans="1:37" x14ac:dyDescent="0.35">
      <c r="A215" s="343"/>
      <c r="B215" s="343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  <c r="AB215" s="343"/>
      <c r="AC215" s="343"/>
      <c r="AD215" s="343"/>
      <c r="AE215" s="343"/>
      <c r="AF215" s="141"/>
      <c r="AG215" s="141"/>
      <c r="AH215" s="141"/>
      <c r="AI215" s="141"/>
      <c r="AJ215" s="141"/>
      <c r="AK215" s="141"/>
    </row>
    <row r="216" spans="1:37" x14ac:dyDescent="0.35">
      <c r="A216" s="343"/>
      <c r="B216" s="343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  <c r="AB216" s="343"/>
      <c r="AC216" s="343"/>
      <c r="AD216" s="343"/>
      <c r="AE216" s="343"/>
      <c r="AF216" s="141"/>
      <c r="AG216" s="141"/>
      <c r="AH216" s="141"/>
      <c r="AI216" s="141"/>
      <c r="AJ216" s="141"/>
      <c r="AK216" s="141"/>
    </row>
    <row r="217" spans="1:37" x14ac:dyDescent="0.35">
      <c r="A217" s="343"/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343"/>
      <c r="AB217" s="343"/>
      <c r="AC217" s="343"/>
      <c r="AD217" s="343"/>
      <c r="AE217" s="343"/>
      <c r="AF217" s="141"/>
      <c r="AG217" s="141"/>
      <c r="AH217" s="141"/>
      <c r="AI217" s="141"/>
      <c r="AJ217" s="141"/>
      <c r="AK217" s="141"/>
    </row>
    <row r="218" spans="1:37" x14ac:dyDescent="0.35">
      <c r="A218" s="343"/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343"/>
      <c r="AB218" s="343"/>
      <c r="AC218" s="343"/>
      <c r="AD218" s="343"/>
      <c r="AE218" s="343"/>
      <c r="AF218" s="141"/>
      <c r="AG218" s="141"/>
      <c r="AH218" s="141"/>
      <c r="AI218" s="141"/>
      <c r="AJ218" s="141"/>
      <c r="AK218" s="141"/>
    </row>
    <row r="219" spans="1:37" x14ac:dyDescent="0.35">
      <c r="A219" s="343"/>
      <c r="B219" s="343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3"/>
      <c r="W219" s="343"/>
      <c r="X219" s="343"/>
      <c r="Y219" s="343"/>
      <c r="Z219" s="343"/>
      <c r="AA219" s="343"/>
      <c r="AB219" s="343"/>
      <c r="AC219" s="343"/>
      <c r="AD219" s="343"/>
      <c r="AE219" s="343"/>
      <c r="AF219" s="141"/>
      <c r="AG219" s="141"/>
      <c r="AH219" s="141"/>
      <c r="AI219" s="141"/>
      <c r="AJ219" s="141"/>
      <c r="AK219" s="141"/>
    </row>
    <row r="220" spans="1:37" x14ac:dyDescent="0.35">
      <c r="A220" s="343"/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141"/>
      <c r="AG220" s="141"/>
      <c r="AH220" s="141"/>
      <c r="AI220" s="141"/>
      <c r="AJ220" s="141"/>
      <c r="AK220" s="141"/>
    </row>
    <row r="221" spans="1:37" x14ac:dyDescent="0.35">
      <c r="A221" s="343"/>
      <c r="B221" s="343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141"/>
      <c r="AG221" s="141"/>
      <c r="AH221" s="141"/>
      <c r="AI221" s="141"/>
      <c r="AJ221" s="141"/>
      <c r="AK221" s="141"/>
    </row>
    <row r="222" spans="1:37" x14ac:dyDescent="0.35">
      <c r="A222" s="343"/>
      <c r="B222" s="343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343"/>
      <c r="AB222" s="343"/>
      <c r="AC222" s="343"/>
      <c r="AD222" s="343"/>
      <c r="AE222" s="343"/>
      <c r="AF222" s="141"/>
      <c r="AG222" s="141"/>
      <c r="AH222" s="141"/>
      <c r="AI222" s="141"/>
      <c r="AJ222" s="141"/>
      <c r="AK222" s="141"/>
    </row>
    <row r="223" spans="1:37" x14ac:dyDescent="0.35">
      <c r="A223" s="343"/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343"/>
      <c r="AB223" s="343"/>
      <c r="AC223" s="343"/>
      <c r="AD223" s="343"/>
      <c r="AE223" s="343"/>
      <c r="AF223" s="141"/>
      <c r="AG223" s="141"/>
      <c r="AH223" s="141"/>
      <c r="AI223" s="141"/>
      <c r="AJ223" s="141"/>
      <c r="AK223" s="141"/>
    </row>
    <row r="224" spans="1:37" x14ac:dyDescent="0.35">
      <c r="A224" s="343"/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343"/>
      <c r="AB224" s="343"/>
      <c r="AC224" s="343"/>
      <c r="AD224" s="343"/>
      <c r="AE224" s="343"/>
      <c r="AF224" s="141"/>
      <c r="AG224" s="141"/>
      <c r="AH224" s="141"/>
      <c r="AI224" s="141"/>
      <c r="AJ224" s="141"/>
      <c r="AK224" s="141"/>
    </row>
    <row r="225" spans="1:37" x14ac:dyDescent="0.35">
      <c r="A225" s="343"/>
      <c r="B225" s="343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3"/>
      <c r="W225" s="343"/>
      <c r="X225" s="343"/>
      <c r="Y225" s="343"/>
      <c r="Z225" s="343"/>
      <c r="AA225" s="343"/>
      <c r="AB225" s="343"/>
      <c r="AC225" s="343"/>
      <c r="AD225" s="343"/>
      <c r="AE225" s="343"/>
      <c r="AF225" s="141"/>
      <c r="AG225" s="141"/>
      <c r="AH225" s="141"/>
      <c r="AI225" s="141"/>
      <c r="AJ225" s="141"/>
      <c r="AK225" s="141"/>
    </row>
    <row r="226" spans="1:37" x14ac:dyDescent="0.35">
      <c r="A226" s="343"/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343"/>
      <c r="AB226" s="343"/>
      <c r="AC226" s="343"/>
      <c r="AD226" s="343"/>
      <c r="AE226" s="343"/>
      <c r="AF226" s="141"/>
      <c r="AG226" s="141"/>
      <c r="AH226" s="141"/>
      <c r="AI226" s="141"/>
      <c r="AJ226" s="141"/>
      <c r="AK226" s="141"/>
    </row>
    <row r="227" spans="1:37" x14ac:dyDescent="0.35">
      <c r="A227" s="343"/>
      <c r="B227" s="343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141"/>
      <c r="AG227" s="141"/>
      <c r="AH227" s="141"/>
      <c r="AI227" s="141"/>
      <c r="AJ227" s="141"/>
      <c r="AK227" s="141"/>
    </row>
    <row r="228" spans="1:37" x14ac:dyDescent="0.35">
      <c r="A228" s="343"/>
      <c r="B228" s="343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141"/>
      <c r="AG228" s="141"/>
      <c r="AH228" s="141"/>
      <c r="AI228" s="141"/>
      <c r="AJ228" s="141"/>
      <c r="AK228" s="141"/>
    </row>
    <row r="229" spans="1:37" x14ac:dyDescent="0.35">
      <c r="A229" s="343"/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141"/>
      <c r="AG229" s="141"/>
      <c r="AH229" s="141"/>
      <c r="AI229" s="141"/>
      <c r="AJ229" s="141"/>
      <c r="AK229" s="141"/>
    </row>
    <row r="230" spans="1:37" x14ac:dyDescent="0.35">
      <c r="A230" s="343"/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141"/>
      <c r="AG230" s="141"/>
      <c r="AH230" s="141"/>
      <c r="AI230" s="141"/>
      <c r="AJ230" s="141"/>
      <c r="AK230" s="141"/>
    </row>
    <row r="231" spans="1:37" x14ac:dyDescent="0.35">
      <c r="A231" s="343"/>
      <c r="B231" s="343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343"/>
      <c r="AB231" s="343"/>
      <c r="AC231" s="343"/>
      <c r="AD231" s="343"/>
      <c r="AE231" s="343"/>
      <c r="AF231" s="141"/>
      <c r="AG231" s="141"/>
      <c r="AH231" s="141"/>
      <c r="AI231" s="141"/>
      <c r="AJ231" s="141"/>
      <c r="AK231" s="141"/>
    </row>
    <row r="232" spans="1:37" x14ac:dyDescent="0.35">
      <c r="A232" s="343"/>
      <c r="B232" s="343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43"/>
      <c r="AC232" s="343"/>
      <c r="AD232" s="343"/>
      <c r="AE232" s="343"/>
      <c r="AF232" s="141"/>
      <c r="AG232" s="141"/>
      <c r="AH232" s="141"/>
      <c r="AI232" s="141"/>
      <c r="AJ232" s="141"/>
      <c r="AK232" s="141"/>
    </row>
    <row r="233" spans="1:37" x14ac:dyDescent="0.35">
      <c r="A233" s="343"/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343"/>
      <c r="AB233" s="343"/>
      <c r="AC233" s="343"/>
      <c r="AD233" s="343"/>
      <c r="AE233" s="343"/>
      <c r="AF233" s="141"/>
      <c r="AG233" s="141"/>
      <c r="AH233" s="141"/>
      <c r="AI233" s="141"/>
      <c r="AJ233" s="141"/>
      <c r="AK233" s="141"/>
    </row>
    <row r="234" spans="1:37" x14ac:dyDescent="0.35">
      <c r="A234" s="343"/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343"/>
      <c r="AB234" s="343"/>
      <c r="AC234" s="343"/>
      <c r="AD234" s="343"/>
      <c r="AE234" s="343"/>
      <c r="AF234" s="141"/>
      <c r="AG234" s="141"/>
      <c r="AH234" s="141"/>
      <c r="AI234" s="141"/>
      <c r="AJ234" s="141"/>
      <c r="AK234" s="141"/>
    </row>
    <row r="235" spans="1:37" x14ac:dyDescent="0.35">
      <c r="A235" s="343"/>
      <c r="B235" s="343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141"/>
      <c r="AG235" s="141"/>
      <c r="AH235" s="141"/>
      <c r="AI235" s="141"/>
      <c r="AJ235" s="141"/>
      <c r="AK235" s="141"/>
    </row>
    <row r="236" spans="1:37" x14ac:dyDescent="0.35">
      <c r="A236" s="343"/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141"/>
      <c r="AG236" s="141"/>
      <c r="AH236" s="141"/>
      <c r="AI236" s="141"/>
      <c r="AJ236" s="141"/>
      <c r="AK236" s="141"/>
    </row>
    <row r="237" spans="1:37" x14ac:dyDescent="0.35">
      <c r="A237" s="343"/>
      <c r="B237" s="343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141"/>
      <c r="AG237" s="141"/>
      <c r="AH237" s="141"/>
      <c r="AI237" s="141"/>
      <c r="AJ237" s="141"/>
      <c r="AK237" s="141"/>
    </row>
    <row r="238" spans="1:37" x14ac:dyDescent="0.35">
      <c r="A238" s="343"/>
      <c r="B238" s="343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141"/>
      <c r="AG238" s="141"/>
      <c r="AH238" s="141"/>
      <c r="AI238" s="141"/>
      <c r="AJ238" s="141"/>
      <c r="AK238" s="141"/>
    </row>
    <row r="239" spans="1:37" x14ac:dyDescent="0.35">
      <c r="A239" s="343"/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343"/>
      <c r="AB239" s="343"/>
      <c r="AC239" s="343"/>
      <c r="AD239" s="343"/>
      <c r="AE239" s="343"/>
      <c r="AF239" s="141"/>
      <c r="AG239" s="141"/>
      <c r="AH239" s="141"/>
      <c r="AI239" s="141"/>
      <c r="AJ239" s="141"/>
      <c r="AK239" s="141"/>
    </row>
    <row r="240" spans="1:37" x14ac:dyDescent="0.35">
      <c r="A240" s="343"/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343"/>
      <c r="AB240" s="343"/>
      <c r="AC240" s="343"/>
      <c r="AD240" s="343"/>
      <c r="AE240" s="343"/>
      <c r="AF240" s="141"/>
      <c r="AG240" s="141"/>
      <c r="AH240" s="141"/>
      <c r="AI240" s="141"/>
      <c r="AJ240" s="141"/>
      <c r="AK240" s="141"/>
    </row>
    <row r="241" spans="1:37" x14ac:dyDescent="0.35">
      <c r="A241" s="343"/>
      <c r="B241" s="343"/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  <c r="O241" s="343"/>
      <c r="P241" s="343"/>
      <c r="Q241" s="343"/>
      <c r="R241" s="343"/>
      <c r="S241" s="343"/>
      <c r="T241" s="343"/>
      <c r="U241" s="343"/>
      <c r="V241" s="343"/>
      <c r="W241" s="343"/>
      <c r="X241" s="343"/>
      <c r="Y241" s="343"/>
      <c r="Z241" s="343"/>
      <c r="AA241" s="343"/>
      <c r="AB241" s="343"/>
      <c r="AC241" s="343"/>
      <c r="AD241" s="343"/>
      <c r="AE241" s="343"/>
      <c r="AF241" s="141"/>
      <c r="AG241" s="141"/>
      <c r="AH241" s="141"/>
      <c r="AI241" s="141"/>
      <c r="AJ241" s="141"/>
      <c r="AK241" s="141"/>
    </row>
    <row r="242" spans="1:37" x14ac:dyDescent="0.35">
      <c r="A242" s="343"/>
      <c r="B242" s="343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3"/>
      <c r="R242" s="343"/>
      <c r="S242" s="343"/>
      <c r="T242" s="343"/>
      <c r="U242" s="343"/>
      <c r="V242" s="343"/>
      <c r="W242" s="343"/>
      <c r="X242" s="343"/>
      <c r="Y242" s="343"/>
      <c r="Z242" s="343"/>
      <c r="AA242" s="343"/>
      <c r="AB242" s="343"/>
      <c r="AC242" s="343"/>
      <c r="AD242" s="343"/>
      <c r="AE242" s="343"/>
      <c r="AF242" s="141"/>
      <c r="AG242" s="141"/>
      <c r="AH242" s="141"/>
      <c r="AI242" s="141"/>
      <c r="AJ242" s="141"/>
      <c r="AK242" s="141"/>
    </row>
    <row r="243" spans="1:37" x14ac:dyDescent="0.35">
      <c r="A243" s="343"/>
      <c r="B243" s="343"/>
      <c r="C243" s="343"/>
      <c r="D243" s="343"/>
      <c r="E243" s="343"/>
      <c r="F243" s="343"/>
      <c r="G243" s="343"/>
      <c r="H243" s="343"/>
      <c r="I243" s="343"/>
      <c r="J243" s="343"/>
      <c r="K243" s="343"/>
      <c r="L243" s="343"/>
      <c r="M243" s="343"/>
      <c r="N243" s="343"/>
      <c r="O243" s="343"/>
      <c r="P243" s="343"/>
      <c r="Q243" s="343"/>
      <c r="R243" s="343"/>
      <c r="S243" s="343"/>
      <c r="T243" s="343"/>
      <c r="U243" s="343"/>
      <c r="V243" s="343"/>
      <c r="W243" s="343"/>
      <c r="X243" s="343"/>
      <c r="Y243" s="343"/>
      <c r="Z243" s="343"/>
      <c r="AA243" s="343"/>
      <c r="AB243" s="343"/>
      <c r="AC243" s="343"/>
      <c r="AD243" s="343"/>
      <c r="AE243" s="343"/>
      <c r="AF243" s="141"/>
      <c r="AG243" s="141"/>
      <c r="AH243" s="141"/>
      <c r="AI243" s="141"/>
      <c r="AJ243" s="141"/>
      <c r="AK243" s="141"/>
    </row>
    <row r="244" spans="1:37" x14ac:dyDescent="0.35">
      <c r="A244" s="343"/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3"/>
      <c r="R244" s="343"/>
      <c r="S244" s="343"/>
      <c r="T244" s="343"/>
      <c r="U244" s="343"/>
      <c r="V244" s="343"/>
      <c r="W244" s="343"/>
      <c r="X244" s="343"/>
      <c r="Y244" s="343"/>
      <c r="Z244" s="343"/>
      <c r="AA244" s="343"/>
      <c r="AB244" s="343"/>
      <c r="AC244" s="343"/>
      <c r="AD244" s="343"/>
      <c r="AE244" s="343"/>
      <c r="AF244" s="141"/>
      <c r="AG244" s="141"/>
      <c r="AH244" s="141"/>
      <c r="AI244" s="141"/>
      <c r="AJ244" s="141"/>
      <c r="AK244" s="141"/>
    </row>
    <row r="245" spans="1:37" x14ac:dyDescent="0.35">
      <c r="A245" s="343"/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3"/>
      <c r="R245" s="343"/>
      <c r="S245" s="343"/>
      <c r="T245" s="343"/>
      <c r="U245" s="343"/>
      <c r="V245" s="343"/>
      <c r="W245" s="343"/>
      <c r="X245" s="343"/>
      <c r="Y245" s="343"/>
      <c r="Z245" s="343"/>
      <c r="AA245" s="343"/>
      <c r="AB245" s="343"/>
      <c r="AC245" s="343"/>
      <c r="AD245" s="343"/>
      <c r="AE245" s="343"/>
      <c r="AF245" s="141"/>
      <c r="AG245" s="141"/>
      <c r="AH245" s="141"/>
      <c r="AI245" s="141"/>
      <c r="AJ245" s="141"/>
      <c r="AK245" s="141"/>
    </row>
    <row r="246" spans="1:37" x14ac:dyDescent="0.35">
      <c r="A246" s="343"/>
      <c r="B246" s="343"/>
      <c r="C246" s="343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  <c r="O246" s="343"/>
      <c r="P246" s="343"/>
      <c r="Q246" s="343"/>
      <c r="R246" s="343"/>
      <c r="S246" s="343"/>
      <c r="T246" s="343"/>
      <c r="U246" s="343"/>
      <c r="V246" s="343"/>
      <c r="W246" s="343"/>
      <c r="X246" s="343"/>
      <c r="Y246" s="343"/>
      <c r="Z246" s="343"/>
      <c r="AA246" s="343"/>
      <c r="AB246" s="343"/>
      <c r="AC246" s="343"/>
      <c r="AD246" s="343"/>
      <c r="AE246" s="343"/>
      <c r="AF246" s="141"/>
      <c r="AG246" s="141"/>
      <c r="AH246" s="141"/>
      <c r="AI246" s="141"/>
      <c r="AJ246" s="141"/>
      <c r="AK246" s="141"/>
    </row>
    <row r="247" spans="1:37" x14ac:dyDescent="0.35">
      <c r="A247" s="343"/>
      <c r="B247" s="343"/>
      <c r="C247" s="343"/>
      <c r="D247" s="343"/>
      <c r="E247" s="343"/>
      <c r="F247" s="343"/>
      <c r="G247" s="343"/>
      <c r="H247" s="343"/>
      <c r="I247" s="343"/>
      <c r="J247" s="343"/>
      <c r="K247" s="343"/>
      <c r="L247" s="343"/>
      <c r="M247" s="343"/>
      <c r="N247" s="343"/>
      <c r="O247" s="343"/>
      <c r="P247" s="343"/>
      <c r="Q247" s="343"/>
      <c r="R247" s="343"/>
      <c r="S247" s="343"/>
      <c r="T247" s="343"/>
      <c r="U247" s="343"/>
      <c r="V247" s="343"/>
      <c r="W247" s="343"/>
      <c r="X247" s="343"/>
      <c r="Y247" s="343"/>
      <c r="Z247" s="343"/>
      <c r="AA247" s="343"/>
      <c r="AB247" s="343"/>
      <c r="AC247" s="343"/>
      <c r="AD247" s="343"/>
      <c r="AE247" s="343"/>
      <c r="AF247" s="141"/>
      <c r="AG247" s="141"/>
      <c r="AH247" s="141"/>
      <c r="AI247" s="141"/>
      <c r="AJ247" s="141"/>
      <c r="AK247" s="141"/>
    </row>
    <row r="248" spans="1:37" x14ac:dyDescent="0.35">
      <c r="A248" s="343"/>
      <c r="B248" s="343"/>
      <c r="C248" s="343"/>
      <c r="D248" s="343"/>
      <c r="E248" s="343"/>
      <c r="F248" s="343"/>
      <c r="G248" s="343"/>
      <c r="H248" s="343"/>
      <c r="I248" s="343"/>
      <c r="J248" s="343"/>
      <c r="K248" s="343"/>
      <c r="L248" s="343"/>
      <c r="M248" s="343"/>
      <c r="N248" s="343"/>
      <c r="O248" s="343"/>
      <c r="P248" s="343"/>
      <c r="Q248" s="343"/>
      <c r="R248" s="343"/>
      <c r="S248" s="343"/>
      <c r="T248" s="343"/>
      <c r="U248" s="343"/>
      <c r="V248" s="343"/>
      <c r="W248" s="343"/>
      <c r="X248" s="343"/>
      <c r="Y248" s="343"/>
      <c r="Z248" s="343"/>
      <c r="AA248" s="343"/>
      <c r="AB248" s="343"/>
      <c r="AC248" s="343"/>
      <c r="AD248" s="343"/>
      <c r="AE248" s="343"/>
      <c r="AF248" s="141"/>
      <c r="AG248" s="141"/>
      <c r="AH248" s="141"/>
      <c r="AI248" s="141"/>
      <c r="AJ248" s="141"/>
      <c r="AK248" s="141"/>
    </row>
    <row r="249" spans="1:37" x14ac:dyDescent="0.35">
      <c r="A249" s="343"/>
      <c r="B249" s="343"/>
      <c r="C249" s="343"/>
      <c r="D249" s="343"/>
      <c r="E249" s="343"/>
      <c r="F249" s="343"/>
      <c r="G249" s="343"/>
      <c r="H249" s="343"/>
      <c r="I249" s="343"/>
      <c r="J249" s="343"/>
      <c r="K249" s="343"/>
      <c r="L249" s="343"/>
      <c r="M249" s="343"/>
      <c r="N249" s="343"/>
      <c r="O249" s="343"/>
      <c r="P249" s="343"/>
      <c r="Q249" s="343"/>
      <c r="R249" s="343"/>
      <c r="S249" s="343"/>
      <c r="T249" s="343"/>
      <c r="U249" s="343"/>
      <c r="V249" s="343"/>
      <c r="W249" s="343"/>
      <c r="X249" s="343"/>
      <c r="Y249" s="343"/>
      <c r="Z249" s="343"/>
      <c r="AA249" s="343"/>
      <c r="AB249" s="343"/>
      <c r="AC249" s="343"/>
      <c r="AD249" s="343"/>
      <c r="AE249" s="343"/>
      <c r="AF249" s="141"/>
      <c r="AG249" s="141"/>
      <c r="AH249" s="141"/>
      <c r="AI249" s="141"/>
      <c r="AJ249" s="141"/>
      <c r="AK249" s="141"/>
    </row>
    <row r="250" spans="1:37" x14ac:dyDescent="0.35">
      <c r="A250" s="343"/>
      <c r="B250" s="343"/>
      <c r="C250" s="343"/>
      <c r="D250" s="343"/>
      <c r="E250" s="343"/>
      <c r="F250" s="343"/>
      <c r="G250" s="343"/>
      <c r="H250" s="343"/>
      <c r="I250" s="343"/>
      <c r="J250" s="343"/>
      <c r="K250" s="343"/>
      <c r="L250" s="343"/>
      <c r="M250" s="343"/>
      <c r="N250" s="343"/>
      <c r="O250" s="343"/>
      <c r="P250" s="343"/>
      <c r="Q250" s="343"/>
      <c r="R250" s="343"/>
      <c r="S250" s="343"/>
      <c r="T250" s="343"/>
      <c r="U250" s="343"/>
      <c r="V250" s="343"/>
      <c r="W250" s="343"/>
      <c r="X250" s="343"/>
      <c r="Y250" s="343"/>
      <c r="Z250" s="343"/>
      <c r="AA250" s="343"/>
      <c r="AB250" s="343"/>
      <c r="AC250" s="343"/>
      <c r="AD250" s="343"/>
      <c r="AE250" s="343"/>
      <c r="AF250" s="141"/>
      <c r="AG250" s="141"/>
      <c r="AH250" s="141"/>
      <c r="AI250" s="141"/>
      <c r="AJ250" s="141"/>
      <c r="AK250" s="141"/>
    </row>
    <row r="251" spans="1:37" x14ac:dyDescent="0.35">
      <c r="A251" s="343"/>
      <c r="B251" s="343"/>
      <c r="C251" s="343"/>
      <c r="D251" s="343"/>
      <c r="E251" s="343"/>
      <c r="F251" s="343"/>
      <c r="G251" s="343"/>
      <c r="H251" s="343"/>
      <c r="I251" s="343"/>
      <c r="J251" s="343"/>
      <c r="K251" s="343"/>
      <c r="L251" s="343"/>
      <c r="M251" s="343"/>
      <c r="N251" s="343"/>
      <c r="O251" s="343"/>
      <c r="P251" s="343"/>
      <c r="Q251" s="343"/>
      <c r="R251" s="343"/>
      <c r="S251" s="343"/>
      <c r="T251" s="343"/>
      <c r="U251" s="343"/>
      <c r="V251" s="343"/>
      <c r="W251" s="343"/>
      <c r="X251" s="343"/>
      <c r="Y251" s="343"/>
      <c r="Z251" s="343"/>
      <c r="AA251" s="343"/>
      <c r="AB251" s="343"/>
      <c r="AC251" s="343"/>
      <c r="AD251" s="343"/>
      <c r="AE251" s="343"/>
      <c r="AF251" s="141"/>
      <c r="AG251" s="141"/>
      <c r="AH251" s="141"/>
      <c r="AI251" s="141"/>
      <c r="AJ251" s="141"/>
      <c r="AK251" s="141"/>
    </row>
    <row r="252" spans="1:37" x14ac:dyDescent="0.35">
      <c r="A252" s="343"/>
      <c r="B252" s="343"/>
      <c r="C252" s="343"/>
      <c r="D252" s="343"/>
      <c r="E252" s="343"/>
      <c r="F252" s="343"/>
      <c r="G252" s="343"/>
      <c r="H252" s="343"/>
      <c r="I252" s="343"/>
      <c r="J252" s="343"/>
      <c r="K252" s="343"/>
      <c r="L252" s="343"/>
      <c r="M252" s="343"/>
      <c r="N252" s="343"/>
      <c r="O252" s="343"/>
      <c r="P252" s="343"/>
      <c r="Q252" s="343"/>
      <c r="R252" s="343"/>
      <c r="S252" s="343"/>
      <c r="T252" s="343"/>
      <c r="U252" s="343"/>
      <c r="V252" s="343"/>
      <c r="W252" s="343"/>
      <c r="X252" s="343"/>
      <c r="Y252" s="343"/>
      <c r="Z252" s="343"/>
      <c r="AA252" s="343"/>
      <c r="AB252" s="343"/>
      <c r="AC252" s="343"/>
      <c r="AD252" s="343"/>
      <c r="AE252" s="343"/>
      <c r="AF252" s="141"/>
      <c r="AG252" s="141"/>
      <c r="AH252" s="141"/>
      <c r="AI252" s="141"/>
      <c r="AJ252" s="141"/>
      <c r="AK252" s="141"/>
    </row>
    <row r="253" spans="1:37" x14ac:dyDescent="0.35">
      <c r="A253" s="343"/>
      <c r="B253" s="343"/>
      <c r="C253" s="343"/>
      <c r="D253" s="343"/>
      <c r="E253" s="343"/>
      <c r="F253" s="343"/>
      <c r="G253" s="343"/>
      <c r="H253" s="343"/>
      <c r="I253" s="343"/>
      <c r="J253" s="343"/>
      <c r="K253" s="343"/>
      <c r="L253" s="343"/>
      <c r="M253" s="343"/>
      <c r="N253" s="343"/>
      <c r="O253" s="343"/>
      <c r="P253" s="343"/>
      <c r="Q253" s="343"/>
      <c r="R253" s="343"/>
      <c r="S253" s="343"/>
      <c r="T253" s="343"/>
      <c r="U253" s="343"/>
      <c r="V253" s="343"/>
      <c r="W253" s="343"/>
      <c r="X253" s="343"/>
      <c r="Y253" s="343"/>
      <c r="Z253" s="343"/>
      <c r="AA253" s="343"/>
      <c r="AB253" s="343"/>
      <c r="AC253" s="343"/>
      <c r="AD253" s="343"/>
      <c r="AE253" s="343"/>
      <c r="AF253" s="141"/>
      <c r="AG253" s="141"/>
      <c r="AH253" s="141"/>
      <c r="AI253" s="141"/>
      <c r="AJ253" s="141"/>
      <c r="AK253" s="141"/>
    </row>
    <row r="254" spans="1:37" x14ac:dyDescent="0.35">
      <c r="A254" s="343"/>
      <c r="B254" s="343"/>
      <c r="C254" s="343"/>
      <c r="D254" s="343"/>
      <c r="E254" s="343"/>
      <c r="F254" s="343"/>
      <c r="G254" s="343"/>
      <c r="H254" s="343"/>
      <c r="I254" s="343"/>
      <c r="J254" s="343"/>
      <c r="K254" s="343"/>
      <c r="L254" s="343"/>
      <c r="M254" s="343"/>
      <c r="N254" s="343"/>
      <c r="O254" s="343"/>
      <c r="P254" s="343"/>
      <c r="Q254" s="343"/>
      <c r="R254" s="343"/>
      <c r="S254" s="343"/>
      <c r="T254" s="343"/>
      <c r="U254" s="343"/>
      <c r="V254" s="343"/>
      <c r="W254" s="343"/>
      <c r="X254" s="343"/>
      <c r="Y254" s="343"/>
      <c r="Z254" s="343"/>
      <c r="AA254" s="343"/>
      <c r="AB254" s="343"/>
      <c r="AC254" s="343"/>
      <c r="AD254" s="343"/>
      <c r="AE254" s="343"/>
      <c r="AF254" s="141"/>
      <c r="AG254" s="141"/>
      <c r="AH254" s="141"/>
      <c r="AI254" s="141"/>
      <c r="AJ254" s="141"/>
      <c r="AK254" s="141"/>
    </row>
    <row r="255" spans="1:37" x14ac:dyDescent="0.35">
      <c r="A255" s="343"/>
      <c r="B255" s="343"/>
      <c r="C255" s="343"/>
      <c r="D255" s="343"/>
      <c r="E255" s="343"/>
      <c r="F255" s="343"/>
      <c r="G255" s="343"/>
      <c r="H255" s="343"/>
      <c r="I255" s="343"/>
      <c r="J255" s="343"/>
      <c r="K255" s="343"/>
      <c r="L255" s="343"/>
      <c r="M255" s="343"/>
      <c r="N255" s="343"/>
      <c r="O255" s="343"/>
      <c r="P255" s="343"/>
      <c r="Q255" s="343"/>
      <c r="R255" s="343"/>
      <c r="S255" s="343"/>
      <c r="T255" s="343"/>
      <c r="U255" s="343"/>
      <c r="V255" s="343"/>
      <c r="W255" s="343"/>
      <c r="X255" s="343"/>
      <c r="Y255" s="343"/>
      <c r="Z255" s="343"/>
      <c r="AA255" s="343"/>
      <c r="AB255" s="343"/>
      <c r="AC255" s="343"/>
      <c r="AD255" s="343"/>
      <c r="AE255" s="343"/>
      <c r="AF255" s="141"/>
      <c r="AG255" s="141"/>
      <c r="AH255" s="141"/>
      <c r="AI255" s="141"/>
      <c r="AJ255" s="141"/>
      <c r="AK255" s="141"/>
    </row>
    <row r="256" spans="1:37" x14ac:dyDescent="0.35">
      <c r="A256" s="343"/>
      <c r="B256" s="343"/>
      <c r="C256" s="343"/>
      <c r="D256" s="343"/>
      <c r="E256" s="343"/>
      <c r="F256" s="343"/>
      <c r="G256" s="343"/>
      <c r="H256" s="343"/>
      <c r="I256" s="343"/>
      <c r="J256" s="343"/>
      <c r="K256" s="343"/>
      <c r="L256" s="343"/>
      <c r="M256" s="343"/>
      <c r="N256" s="343"/>
      <c r="O256" s="343"/>
      <c r="P256" s="343"/>
      <c r="Q256" s="343"/>
      <c r="R256" s="343"/>
      <c r="S256" s="343"/>
      <c r="T256" s="343"/>
      <c r="U256" s="343"/>
      <c r="V256" s="343"/>
      <c r="W256" s="343"/>
      <c r="X256" s="343"/>
      <c r="Y256" s="343"/>
      <c r="Z256" s="343"/>
      <c r="AA256" s="343"/>
      <c r="AB256" s="343"/>
      <c r="AC256" s="343"/>
      <c r="AD256" s="343"/>
      <c r="AE256" s="343"/>
      <c r="AF256" s="141"/>
      <c r="AG256" s="141"/>
      <c r="AH256" s="141"/>
      <c r="AI256" s="141"/>
      <c r="AJ256" s="141"/>
      <c r="AK256" s="141"/>
    </row>
    <row r="257" spans="1:37" x14ac:dyDescent="0.35">
      <c r="A257" s="343"/>
      <c r="B257" s="343"/>
      <c r="C257" s="343"/>
      <c r="D257" s="343"/>
      <c r="E257" s="343"/>
      <c r="F257" s="343"/>
      <c r="G257" s="343"/>
      <c r="H257" s="343"/>
      <c r="I257" s="343"/>
      <c r="J257" s="343"/>
      <c r="K257" s="343"/>
      <c r="L257" s="343"/>
      <c r="M257" s="343"/>
      <c r="N257" s="343"/>
      <c r="O257" s="343"/>
      <c r="P257" s="343"/>
      <c r="Q257" s="343"/>
      <c r="R257" s="343"/>
      <c r="S257" s="343"/>
      <c r="T257" s="343"/>
      <c r="U257" s="343"/>
      <c r="V257" s="343"/>
      <c r="W257" s="343"/>
      <c r="X257" s="343"/>
      <c r="Y257" s="343"/>
      <c r="Z257" s="343"/>
      <c r="AA257" s="343"/>
      <c r="AB257" s="343"/>
      <c r="AC257" s="343"/>
      <c r="AD257" s="343"/>
      <c r="AE257" s="343"/>
      <c r="AF257" s="141"/>
      <c r="AG257" s="141"/>
      <c r="AH257" s="141"/>
      <c r="AI257" s="141"/>
      <c r="AJ257" s="141"/>
      <c r="AK257" s="141"/>
    </row>
    <row r="258" spans="1:37" x14ac:dyDescent="0.35">
      <c r="A258" s="343"/>
      <c r="B258" s="343"/>
      <c r="C258" s="343"/>
      <c r="D258" s="343"/>
      <c r="E258" s="343"/>
      <c r="F258" s="343"/>
      <c r="G258" s="343"/>
      <c r="H258" s="343"/>
      <c r="I258" s="343"/>
      <c r="J258" s="343"/>
      <c r="K258" s="343"/>
      <c r="L258" s="343"/>
      <c r="M258" s="343"/>
      <c r="N258" s="343"/>
      <c r="O258" s="343"/>
      <c r="P258" s="343"/>
      <c r="Q258" s="343"/>
      <c r="R258" s="343"/>
      <c r="S258" s="343"/>
      <c r="T258" s="343"/>
      <c r="U258" s="343"/>
      <c r="V258" s="343"/>
      <c r="W258" s="343"/>
      <c r="X258" s="343"/>
      <c r="Y258" s="343"/>
      <c r="Z258" s="343"/>
      <c r="AA258" s="343"/>
      <c r="AB258" s="343"/>
      <c r="AC258" s="343"/>
      <c r="AD258" s="343"/>
      <c r="AE258" s="343"/>
      <c r="AF258" s="141"/>
      <c r="AG258" s="141"/>
      <c r="AH258" s="141"/>
      <c r="AI258" s="141"/>
      <c r="AJ258" s="141"/>
      <c r="AK258" s="141"/>
    </row>
    <row r="259" spans="1:37" x14ac:dyDescent="0.35">
      <c r="A259" s="343"/>
      <c r="B259" s="343"/>
      <c r="C259" s="343"/>
      <c r="D259" s="343"/>
      <c r="E259" s="343"/>
      <c r="F259" s="343"/>
      <c r="G259" s="343"/>
      <c r="H259" s="343"/>
      <c r="I259" s="343"/>
      <c r="J259" s="343"/>
      <c r="K259" s="343"/>
      <c r="L259" s="343"/>
      <c r="M259" s="343"/>
      <c r="N259" s="343"/>
      <c r="O259" s="343"/>
      <c r="P259" s="343"/>
      <c r="Q259" s="343"/>
      <c r="R259" s="343"/>
      <c r="S259" s="343"/>
      <c r="T259" s="343"/>
      <c r="U259" s="343"/>
      <c r="V259" s="343"/>
      <c r="W259" s="343"/>
      <c r="X259" s="343"/>
      <c r="Y259" s="343"/>
      <c r="Z259" s="343"/>
      <c r="AA259" s="343"/>
      <c r="AB259" s="343"/>
      <c r="AC259" s="343"/>
      <c r="AD259" s="343"/>
      <c r="AE259" s="343"/>
      <c r="AF259" s="141"/>
      <c r="AG259" s="141"/>
      <c r="AH259" s="141"/>
      <c r="AI259" s="141"/>
      <c r="AJ259" s="141"/>
      <c r="AK259" s="141"/>
    </row>
    <row r="260" spans="1:37" x14ac:dyDescent="0.35">
      <c r="A260" s="343"/>
      <c r="B260" s="343"/>
      <c r="C260" s="343"/>
      <c r="D260" s="343"/>
      <c r="E260" s="343"/>
      <c r="F260" s="343"/>
      <c r="G260" s="343"/>
      <c r="H260" s="343"/>
      <c r="I260" s="343"/>
      <c r="J260" s="343"/>
      <c r="K260" s="343"/>
      <c r="L260" s="343"/>
      <c r="M260" s="343"/>
      <c r="N260" s="343"/>
      <c r="O260" s="343"/>
      <c r="P260" s="343"/>
      <c r="Q260" s="343"/>
      <c r="R260" s="343"/>
      <c r="S260" s="343"/>
      <c r="T260" s="343"/>
      <c r="U260" s="343"/>
      <c r="V260" s="343"/>
      <c r="W260" s="343"/>
      <c r="X260" s="343"/>
      <c r="Y260" s="343"/>
      <c r="Z260" s="343"/>
      <c r="AA260" s="343"/>
      <c r="AB260" s="343"/>
      <c r="AC260" s="343"/>
      <c r="AD260" s="343"/>
      <c r="AE260" s="343"/>
      <c r="AF260" s="141"/>
      <c r="AG260" s="141"/>
      <c r="AH260" s="141"/>
      <c r="AI260" s="141"/>
      <c r="AJ260" s="141"/>
      <c r="AK260" s="141"/>
    </row>
    <row r="261" spans="1:37" x14ac:dyDescent="0.35">
      <c r="A261" s="343"/>
      <c r="B261" s="343"/>
      <c r="C261" s="343"/>
      <c r="D261" s="343"/>
      <c r="E261" s="343"/>
      <c r="F261" s="343"/>
      <c r="G261" s="343"/>
      <c r="H261" s="343"/>
      <c r="I261" s="343"/>
      <c r="J261" s="343"/>
      <c r="K261" s="343"/>
      <c r="L261" s="343"/>
      <c r="M261" s="343"/>
      <c r="N261" s="343"/>
      <c r="O261" s="343"/>
      <c r="P261" s="343"/>
      <c r="Q261" s="343"/>
      <c r="R261" s="343"/>
      <c r="S261" s="343"/>
      <c r="T261" s="343"/>
      <c r="U261" s="343"/>
      <c r="V261" s="343"/>
      <c r="W261" s="343"/>
      <c r="X261" s="343"/>
      <c r="Y261" s="343"/>
      <c r="Z261" s="343"/>
      <c r="AA261" s="343"/>
      <c r="AB261" s="343"/>
      <c r="AC261" s="343"/>
      <c r="AD261" s="343"/>
      <c r="AE261" s="343"/>
      <c r="AF261" s="141"/>
      <c r="AG261" s="141"/>
      <c r="AH261" s="141"/>
      <c r="AI261" s="141"/>
      <c r="AJ261" s="141"/>
      <c r="AK261" s="141"/>
    </row>
    <row r="262" spans="1:37" x14ac:dyDescent="0.35">
      <c r="A262" s="343"/>
      <c r="B262" s="343"/>
      <c r="C262" s="343"/>
      <c r="D262" s="343"/>
      <c r="E262" s="343"/>
      <c r="F262" s="343"/>
      <c r="G262" s="343"/>
      <c r="H262" s="343"/>
      <c r="I262" s="343"/>
      <c r="J262" s="343"/>
      <c r="K262" s="343"/>
      <c r="L262" s="343"/>
      <c r="M262" s="343"/>
      <c r="N262" s="343"/>
      <c r="O262" s="343"/>
      <c r="P262" s="343"/>
      <c r="Q262" s="343"/>
      <c r="R262" s="343"/>
      <c r="S262" s="343"/>
      <c r="T262" s="343"/>
      <c r="U262" s="343"/>
      <c r="V262" s="343"/>
      <c r="W262" s="343"/>
      <c r="X262" s="343"/>
      <c r="Y262" s="343"/>
      <c r="Z262" s="343"/>
      <c r="AA262" s="343"/>
      <c r="AB262" s="343"/>
      <c r="AC262" s="343"/>
      <c r="AD262" s="343"/>
      <c r="AE262" s="343"/>
      <c r="AF262" s="141"/>
      <c r="AG262" s="141"/>
      <c r="AH262" s="141"/>
      <c r="AI262" s="141"/>
      <c r="AJ262" s="141"/>
      <c r="AK262" s="141"/>
    </row>
    <row r="263" spans="1:37" x14ac:dyDescent="0.35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</row>
    <row r="264" spans="1:37" x14ac:dyDescent="0.35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</row>
    <row r="265" spans="1:37" x14ac:dyDescent="0.3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</row>
    <row r="266" spans="1:37" x14ac:dyDescent="0.35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</row>
    <row r="267" spans="1:37" x14ac:dyDescent="0.35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</row>
    <row r="268" spans="1:37" x14ac:dyDescent="0.35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</row>
    <row r="269" spans="1:37" x14ac:dyDescent="0.35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</row>
    <row r="270" spans="1:37" x14ac:dyDescent="0.35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</row>
    <row r="271" spans="1:37" x14ac:dyDescent="0.35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</row>
    <row r="272" spans="1:37" x14ac:dyDescent="0.35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</row>
    <row r="273" spans="1:37" x14ac:dyDescent="0.35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</row>
    <row r="274" spans="1:37" x14ac:dyDescent="0.35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</row>
    <row r="275" spans="1:37" x14ac:dyDescent="0.3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</row>
    <row r="276" spans="1:37" x14ac:dyDescent="0.35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</row>
    <row r="277" spans="1:37" x14ac:dyDescent="0.35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</row>
    <row r="278" spans="1:37" x14ac:dyDescent="0.35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</row>
    <row r="279" spans="1:37" x14ac:dyDescent="0.35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</row>
    <row r="280" spans="1:37" x14ac:dyDescent="0.35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</row>
    <row r="281" spans="1:37" x14ac:dyDescent="0.35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</row>
    <row r="282" spans="1:37" x14ac:dyDescent="0.35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</row>
    <row r="283" spans="1:37" x14ac:dyDescent="0.35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</row>
    <row r="284" spans="1:37" x14ac:dyDescent="0.35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</row>
    <row r="285" spans="1:37" x14ac:dyDescent="0.3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</row>
    <row r="286" spans="1:37" x14ac:dyDescent="0.35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</row>
    <row r="287" spans="1:37" x14ac:dyDescent="0.35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</row>
    <row r="288" spans="1:37" x14ac:dyDescent="0.35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</row>
    <row r="289" spans="1:37" x14ac:dyDescent="0.35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</row>
    <row r="290" spans="1:37" x14ac:dyDescent="0.35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</row>
    <row r="291" spans="1:37" x14ac:dyDescent="0.35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</row>
    <row r="292" spans="1:37" x14ac:dyDescent="0.35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</row>
    <row r="293" spans="1:37" x14ac:dyDescent="0.35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</row>
    <row r="294" spans="1:37" x14ac:dyDescent="0.35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</row>
    <row r="295" spans="1:37" x14ac:dyDescent="0.3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</row>
    <row r="296" spans="1:37" x14ac:dyDescent="0.35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</row>
    <row r="297" spans="1:37" x14ac:dyDescent="0.35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</row>
    <row r="298" spans="1:37" x14ac:dyDescent="0.35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</row>
    <row r="299" spans="1:37" x14ac:dyDescent="0.35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</row>
    <row r="300" spans="1:37" x14ac:dyDescent="0.35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</row>
    <row r="301" spans="1:37" x14ac:dyDescent="0.35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</row>
    <row r="302" spans="1:37" x14ac:dyDescent="0.35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</row>
    <row r="303" spans="1:37" x14ac:dyDescent="0.35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</row>
    <row r="304" spans="1:37" x14ac:dyDescent="0.35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</row>
    <row r="305" spans="1:37" x14ac:dyDescent="0.3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</row>
    <row r="306" spans="1:37" x14ac:dyDescent="0.35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</row>
    <row r="307" spans="1:37" x14ac:dyDescent="0.35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</row>
    <row r="308" spans="1:37" x14ac:dyDescent="0.35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</row>
    <row r="309" spans="1:37" x14ac:dyDescent="0.35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</row>
    <row r="310" spans="1:37" x14ac:dyDescent="0.35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</row>
    <row r="311" spans="1:37" x14ac:dyDescent="0.35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  <c r="AJ311" s="141"/>
      <c r="AK311" s="141"/>
    </row>
    <row r="312" spans="1:37" x14ac:dyDescent="0.35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</row>
    <row r="313" spans="1:37" x14ac:dyDescent="0.35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/>
    </row>
    <row r="314" spans="1:37" x14ac:dyDescent="0.35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</row>
    <row r="315" spans="1:37" x14ac:dyDescent="0.3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/>
    </row>
    <row r="316" spans="1:37" x14ac:dyDescent="0.35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</row>
    <row r="317" spans="1:37" x14ac:dyDescent="0.35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  <c r="AJ317" s="141"/>
      <c r="AK317" s="141"/>
    </row>
    <row r="318" spans="1:37" x14ac:dyDescent="0.35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</row>
    <row r="319" spans="1:37" x14ac:dyDescent="0.35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</row>
    <row r="320" spans="1:37" x14ac:dyDescent="0.35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</row>
    <row r="321" spans="1:37" x14ac:dyDescent="0.35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</row>
    <row r="322" spans="1:37" x14ac:dyDescent="0.35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  <c r="AJ322" s="141"/>
      <c r="AK322" s="141"/>
    </row>
    <row r="323" spans="1:37" x14ac:dyDescent="0.35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  <c r="AJ323" s="141"/>
      <c r="AK323" s="141"/>
    </row>
    <row r="324" spans="1:37" x14ac:dyDescent="0.35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</row>
    <row r="325" spans="1:37" x14ac:dyDescent="0.3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</row>
    <row r="326" spans="1:37" x14ac:dyDescent="0.35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</row>
    <row r="327" spans="1:37" x14ac:dyDescent="0.35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</row>
    <row r="328" spans="1:37" x14ac:dyDescent="0.35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</row>
    <row r="329" spans="1:37" x14ac:dyDescent="0.35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</row>
    <row r="330" spans="1:37" x14ac:dyDescent="0.35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</row>
    <row r="331" spans="1:37" x14ac:dyDescent="0.35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</row>
    <row r="332" spans="1:37" x14ac:dyDescent="0.35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</row>
    <row r="333" spans="1:37" x14ac:dyDescent="0.35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</row>
    <row r="334" spans="1:37" x14ac:dyDescent="0.35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</row>
    <row r="335" spans="1:37" x14ac:dyDescent="0.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</row>
    <row r="336" spans="1:37" x14ac:dyDescent="0.35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  <c r="AJ336" s="141"/>
      <c r="AK336" s="141"/>
    </row>
    <row r="337" spans="1:37" x14ac:dyDescent="0.35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</row>
    <row r="338" spans="1:37" x14ac:dyDescent="0.35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</row>
    <row r="339" spans="1:37" x14ac:dyDescent="0.35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</row>
    <row r="340" spans="1:37" x14ac:dyDescent="0.35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</row>
    <row r="341" spans="1:37" x14ac:dyDescent="0.35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</row>
    <row r="342" spans="1:37" x14ac:dyDescent="0.35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</row>
    <row r="343" spans="1:37" x14ac:dyDescent="0.35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</row>
    <row r="344" spans="1:37" x14ac:dyDescent="0.35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</row>
    <row r="345" spans="1:37" x14ac:dyDescent="0.3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</row>
    <row r="346" spans="1:37" x14ac:dyDescent="0.35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</row>
    <row r="347" spans="1:37" x14ac:dyDescent="0.35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</row>
    <row r="348" spans="1:37" x14ac:dyDescent="0.35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</row>
    <row r="349" spans="1:37" x14ac:dyDescent="0.35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</row>
    <row r="350" spans="1:37" x14ac:dyDescent="0.35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</row>
    <row r="351" spans="1:37" x14ac:dyDescent="0.35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</row>
    <row r="352" spans="1:37" x14ac:dyDescent="0.35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</row>
    <row r="353" spans="1:37" x14ac:dyDescent="0.35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  <c r="AJ353" s="141"/>
      <c r="AK353" s="141"/>
    </row>
    <row r="354" spans="1:37" x14ac:dyDescent="0.35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</row>
    <row r="355" spans="1:37" x14ac:dyDescent="0.3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</row>
    <row r="356" spans="1:37" x14ac:dyDescent="0.35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</row>
    <row r="357" spans="1:37" x14ac:dyDescent="0.35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</row>
    <row r="358" spans="1:37" x14ac:dyDescent="0.35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</row>
    <row r="359" spans="1:37" x14ac:dyDescent="0.35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</row>
    <row r="360" spans="1:37" x14ac:dyDescent="0.35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</row>
    <row r="361" spans="1:37" x14ac:dyDescent="0.35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</row>
    <row r="362" spans="1:37" x14ac:dyDescent="0.35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</row>
    <row r="363" spans="1:37" x14ac:dyDescent="0.35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</row>
    <row r="364" spans="1:37" x14ac:dyDescent="0.35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</row>
    <row r="365" spans="1:37" x14ac:dyDescent="0.3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</row>
    <row r="366" spans="1:37" x14ac:dyDescent="0.35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</row>
    <row r="367" spans="1:37" x14ac:dyDescent="0.35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</row>
    <row r="368" spans="1:37" x14ac:dyDescent="0.35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</row>
    <row r="369" spans="1:37" x14ac:dyDescent="0.35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</row>
    <row r="370" spans="1:37" x14ac:dyDescent="0.35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</row>
    <row r="371" spans="1:37" x14ac:dyDescent="0.35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</row>
    <row r="372" spans="1:37" x14ac:dyDescent="0.35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  <c r="AJ372" s="141"/>
      <c r="AK372" s="141"/>
    </row>
    <row r="373" spans="1:37" x14ac:dyDescent="0.35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  <c r="AJ373" s="141"/>
      <c r="AK373" s="141"/>
    </row>
    <row r="374" spans="1:37" x14ac:dyDescent="0.35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  <c r="AJ374" s="141"/>
      <c r="AK374" s="141"/>
    </row>
    <row r="375" spans="1:37" x14ac:dyDescent="0.3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</row>
    <row r="376" spans="1:37" x14ac:dyDescent="0.35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  <c r="AJ376" s="141"/>
      <c r="AK376" s="141"/>
    </row>
    <row r="377" spans="1:37" x14ac:dyDescent="0.35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</row>
    <row r="378" spans="1:37" x14ac:dyDescent="0.35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  <c r="AJ378" s="141"/>
      <c r="AK378" s="141"/>
    </row>
    <row r="379" spans="1:37" x14ac:dyDescent="0.35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</row>
    <row r="380" spans="1:37" x14ac:dyDescent="0.35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</row>
    <row r="381" spans="1:37" x14ac:dyDescent="0.35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/>
    </row>
    <row r="382" spans="1:37" x14ac:dyDescent="0.35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  <c r="AJ382" s="141"/>
      <c r="AK382" s="141"/>
    </row>
    <row r="383" spans="1:37" x14ac:dyDescent="0.35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  <c r="AJ383" s="141"/>
      <c r="AK383" s="141"/>
    </row>
    <row r="384" spans="1:37" x14ac:dyDescent="0.35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  <c r="AJ384" s="141"/>
      <c r="AK384" s="141"/>
    </row>
    <row r="385" spans="1:37" x14ac:dyDescent="0.3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/>
    </row>
    <row r="386" spans="1:37" x14ac:dyDescent="0.35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</row>
    <row r="387" spans="1:37" x14ac:dyDescent="0.35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</row>
    <row r="388" spans="1:37" x14ac:dyDescent="0.35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</row>
    <row r="389" spans="1:37" x14ac:dyDescent="0.35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/>
    </row>
    <row r="390" spans="1:37" x14ac:dyDescent="0.35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</row>
    <row r="391" spans="1:37" x14ac:dyDescent="0.35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</row>
    <row r="392" spans="1:37" x14ac:dyDescent="0.35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</row>
    <row r="393" spans="1:37" x14ac:dyDescent="0.35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</row>
    <row r="394" spans="1:37" x14ac:dyDescent="0.35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</row>
    <row r="395" spans="1:37" x14ac:dyDescent="0.3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</row>
    <row r="396" spans="1:37" x14ac:dyDescent="0.35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</row>
    <row r="397" spans="1:37" x14ac:dyDescent="0.35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</row>
    <row r="398" spans="1:37" x14ac:dyDescent="0.35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</row>
    <row r="399" spans="1:37" x14ac:dyDescent="0.35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</row>
    <row r="400" spans="1:37" x14ac:dyDescent="0.35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  <c r="AJ400" s="141"/>
      <c r="AK400" s="141"/>
    </row>
    <row r="401" spans="1:37" x14ac:dyDescent="0.35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  <c r="AJ401" s="141"/>
      <c r="AK401" s="141"/>
    </row>
    <row r="402" spans="1:37" x14ac:dyDescent="0.35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  <c r="AJ402" s="141"/>
      <c r="AK402" s="141"/>
    </row>
    <row r="403" spans="1:37" x14ac:dyDescent="0.35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</row>
    <row r="404" spans="1:37" x14ac:dyDescent="0.35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</row>
    <row r="405" spans="1:37" x14ac:dyDescent="0.3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</row>
    <row r="406" spans="1:37" x14ac:dyDescent="0.35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</row>
    <row r="407" spans="1:37" x14ac:dyDescent="0.35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  <c r="AJ407" s="141"/>
      <c r="AK407" s="141"/>
    </row>
    <row r="408" spans="1:37" x14ac:dyDescent="0.35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  <c r="AJ408" s="141"/>
      <c r="AK408" s="141"/>
    </row>
    <row r="409" spans="1:37" x14ac:dyDescent="0.35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</row>
    <row r="410" spans="1:37" x14ac:dyDescent="0.35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</row>
    <row r="411" spans="1:37" x14ac:dyDescent="0.35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</row>
    <row r="412" spans="1:37" x14ac:dyDescent="0.35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</row>
    <row r="413" spans="1:37" x14ac:dyDescent="0.35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</row>
    <row r="414" spans="1:37" x14ac:dyDescent="0.35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</row>
    <row r="415" spans="1:37" x14ac:dyDescent="0.3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  <c r="AJ415" s="141"/>
      <c r="AK415" s="141"/>
    </row>
    <row r="416" spans="1:37" x14ac:dyDescent="0.35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</row>
    <row r="417" spans="1:37" x14ac:dyDescent="0.35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  <c r="AJ417" s="141"/>
      <c r="AK417" s="141"/>
    </row>
    <row r="418" spans="1:37" x14ac:dyDescent="0.35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</row>
    <row r="419" spans="1:37" x14ac:dyDescent="0.35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  <c r="AJ419" s="141"/>
      <c r="AK419" s="141"/>
    </row>
    <row r="420" spans="1:37" x14ac:dyDescent="0.35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</row>
    <row r="421" spans="1:37" x14ac:dyDescent="0.35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</row>
    <row r="422" spans="1:37" x14ac:dyDescent="0.35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</row>
    <row r="423" spans="1:37" x14ac:dyDescent="0.35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</row>
    <row r="424" spans="1:37" x14ac:dyDescent="0.35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</row>
    <row r="425" spans="1:37" x14ac:dyDescent="0.3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</row>
    <row r="426" spans="1:37" x14ac:dyDescent="0.35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</row>
    <row r="427" spans="1:37" x14ac:dyDescent="0.35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</row>
    <row r="428" spans="1:37" x14ac:dyDescent="0.35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</row>
    <row r="429" spans="1:37" x14ac:dyDescent="0.35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</row>
    <row r="430" spans="1:37" x14ac:dyDescent="0.35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</row>
    <row r="431" spans="1:37" x14ac:dyDescent="0.35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</row>
    <row r="432" spans="1:37" x14ac:dyDescent="0.35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</row>
    <row r="433" spans="1:37" x14ac:dyDescent="0.35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</row>
    <row r="434" spans="1:37" x14ac:dyDescent="0.35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</row>
    <row r="435" spans="1:37" x14ac:dyDescent="0.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</row>
    <row r="436" spans="1:37" x14ac:dyDescent="0.35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</row>
    <row r="437" spans="1:37" x14ac:dyDescent="0.35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</row>
    <row r="438" spans="1:37" x14ac:dyDescent="0.35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</row>
    <row r="439" spans="1:37" x14ac:dyDescent="0.35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</row>
    <row r="440" spans="1:37" x14ac:dyDescent="0.35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</row>
    <row r="441" spans="1:37" x14ac:dyDescent="0.35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</row>
    <row r="442" spans="1:37" x14ac:dyDescent="0.35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</row>
    <row r="443" spans="1:37" x14ac:dyDescent="0.35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</row>
    <row r="444" spans="1:37" x14ac:dyDescent="0.35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</row>
    <row r="445" spans="1:37" x14ac:dyDescent="0.3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</row>
    <row r="446" spans="1:37" x14ac:dyDescent="0.35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  <c r="AJ446" s="141"/>
      <c r="AK446" s="141"/>
    </row>
    <row r="447" spans="1:37" x14ac:dyDescent="0.35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/>
    </row>
    <row r="448" spans="1:37" x14ac:dyDescent="0.35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</row>
    <row r="449" spans="1:37" x14ac:dyDescent="0.35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</row>
    <row r="450" spans="1:37" x14ac:dyDescent="0.35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</row>
    <row r="451" spans="1:37" x14ac:dyDescent="0.35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</row>
    <row r="452" spans="1:37" x14ac:dyDescent="0.35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</row>
    <row r="453" spans="1:37" x14ac:dyDescent="0.35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</row>
    <row r="454" spans="1:37" x14ac:dyDescent="0.35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</row>
    <row r="455" spans="1:37" x14ac:dyDescent="0.3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</row>
    <row r="456" spans="1:37" x14ac:dyDescent="0.35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</row>
    <row r="457" spans="1:37" x14ac:dyDescent="0.35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</row>
    <row r="458" spans="1:37" x14ac:dyDescent="0.35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</row>
    <row r="459" spans="1:37" x14ac:dyDescent="0.35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</row>
    <row r="460" spans="1:37" x14ac:dyDescent="0.35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</row>
    <row r="461" spans="1:37" x14ac:dyDescent="0.35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</row>
    <row r="462" spans="1:37" x14ac:dyDescent="0.35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</row>
    <row r="463" spans="1:37" x14ac:dyDescent="0.35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</row>
    <row r="464" spans="1:37" x14ac:dyDescent="0.35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</row>
    <row r="465" spans="1:37" x14ac:dyDescent="0.3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</row>
    <row r="466" spans="1:37" x14ac:dyDescent="0.35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</row>
    <row r="467" spans="1:37" x14ac:dyDescent="0.35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</row>
    <row r="468" spans="1:37" x14ac:dyDescent="0.35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</row>
    <row r="469" spans="1:37" x14ac:dyDescent="0.35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</row>
    <row r="470" spans="1:37" x14ac:dyDescent="0.35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</row>
    <row r="471" spans="1:37" x14ac:dyDescent="0.35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</row>
    <row r="472" spans="1:37" x14ac:dyDescent="0.35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</row>
    <row r="473" spans="1:37" x14ac:dyDescent="0.35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</row>
    <row r="474" spans="1:37" x14ac:dyDescent="0.35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</row>
    <row r="475" spans="1:37" x14ac:dyDescent="0.3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</row>
    <row r="476" spans="1:37" x14ac:dyDescent="0.35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</row>
    <row r="477" spans="1:37" x14ac:dyDescent="0.35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</row>
    <row r="478" spans="1:37" x14ac:dyDescent="0.35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</row>
    <row r="479" spans="1:37" x14ac:dyDescent="0.35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</row>
    <row r="480" spans="1:37" x14ac:dyDescent="0.35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</row>
    <row r="481" spans="1:37" x14ac:dyDescent="0.35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</row>
    <row r="482" spans="1:37" x14ac:dyDescent="0.35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</row>
    <row r="483" spans="1:37" x14ac:dyDescent="0.35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</row>
    <row r="484" spans="1:37" x14ac:dyDescent="0.35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</row>
    <row r="485" spans="1:37" x14ac:dyDescent="0.3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</row>
    <row r="486" spans="1:37" x14ac:dyDescent="0.35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</row>
    <row r="487" spans="1:37" x14ac:dyDescent="0.35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</row>
    <row r="488" spans="1:37" x14ac:dyDescent="0.35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</row>
    <row r="489" spans="1:37" x14ac:dyDescent="0.35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</row>
    <row r="490" spans="1:37" x14ac:dyDescent="0.35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</row>
    <row r="491" spans="1:37" x14ac:dyDescent="0.35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</row>
    <row r="492" spans="1:37" x14ac:dyDescent="0.35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</row>
    <row r="493" spans="1:37" x14ac:dyDescent="0.35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</row>
    <row r="494" spans="1:37" x14ac:dyDescent="0.35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</row>
    <row r="495" spans="1:37" x14ac:dyDescent="0.3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</row>
    <row r="496" spans="1:37" x14ac:dyDescent="0.35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</row>
    <row r="497" spans="1:37" x14ac:dyDescent="0.35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</row>
    <row r="498" spans="1:37" x14ac:dyDescent="0.35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</row>
    <row r="499" spans="1:37" x14ac:dyDescent="0.35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</row>
    <row r="500" spans="1:37" x14ac:dyDescent="0.35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</row>
    <row r="501" spans="1:37" x14ac:dyDescent="0.35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</row>
    <row r="502" spans="1:37" x14ac:dyDescent="0.35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</row>
    <row r="503" spans="1:37" x14ac:dyDescent="0.35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</row>
    <row r="504" spans="1:37" x14ac:dyDescent="0.35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</row>
    <row r="505" spans="1:37" x14ac:dyDescent="0.3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</row>
    <row r="506" spans="1:37" x14ac:dyDescent="0.35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</row>
    <row r="507" spans="1:37" x14ac:dyDescent="0.35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</row>
    <row r="508" spans="1:37" x14ac:dyDescent="0.35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</row>
    <row r="509" spans="1:37" x14ac:dyDescent="0.35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</row>
    <row r="510" spans="1:37" x14ac:dyDescent="0.35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</row>
    <row r="511" spans="1:37" x14ac:dyDescent="0.35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</row>
    <row r="512" spans="1:37" x14ac:dyDescent="0.35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</row>
    <row r="513" spans="1:37" x14ac:dyDescent="0.35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</row>
    <row r="514" spans="1:37" x14ac:dyDescent="0.35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</row>
    <row r="515" spans="1:37" x14ac:dyDescent="0.3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</row>
    <row r="516" spans="1:37" x14ac:dyDescent="0.35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</row>
    <row r="517" spans="1:37" x14ac:dyDescent="0.35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</row>
    <row r="518" spans="1:37" x14ac:dyDescent="0.35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</row>
    <row r="519" spans="1:37" x14ac:dyDescent="0.35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</row>
    <row r="520" spans="1:37" x14ac:dyDescent="0.35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</row>
    <row r="521" spans="1:37" x14ac:dyDescent="0.35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</row>
    <row r="522" spans="1:37" x14ac:dyDescent="0.35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</row>
    <row r="523" spans="1:37" x14ac:dyDescent="0.35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</row>
    <row r="524" spans="1:37" x14ac:dyDescent="0.35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</row>
    <row r="525" spans="1:37" x14ac:dyDescent="0.3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</row>
    <row r="526" spans="1:37" x14ac:dyDescent="0.35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</row>
    <row r="527" spans="1:37" x14ac:dyDescent="0.35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</row>
    <row r="528" spans="1:37" x14ac:dyDescent="0.35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</row>
    <row r="529" spans="1:37" x14ac:dyDescent="0.35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</row>
    <row r="530" spans="1:37" x14ac:dyDescent="0.35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</row>
    <row r="531" spans="1:37" x14ac:dyDescent="0.35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</row>
    <row r="532" spans="1:37" x14ac:dyDescent="0.35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</row>
    <row r="533" spans="1:37" x14ac:dyDescent="0.35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</row>
    <row r="534" spans="1:37" x14ac:dyDescent="0.35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</row>
    <row r="535" spans="1:37" x14ac:dyDescent="0.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</row>
    <row r="536" spans="1:37" x14ac:dyDescent="0.35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</row>
    <row r="537" spans="1:37" x14ac:dyDescent="0.35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</row>
    <row r="538" spans="1:37" x14ac:dyDescent="0.35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</row>
    <row r="539" spans="1:37" x14ac:dyDescent="0.35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</row>
    <row r="540" spans="1:37" x14ac:dyDescent="0.35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</row>
    <row r="541" spans="1:37" x14ac:dyDescent="0.35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</row>
    <row r="542" spans="1:37" x14ac:dyDescent="0.35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</row>
    <row r="543" spans="1:37" x14ac:dyDescent="0.35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</row>
    <row r="544" spans="1:37" x14ac:dyDescent="0.35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</row>
    <row r="545" spans="1:37" x14ac:dyDescent="0.3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</row>
    <row r="546" spans="1:37" x14ac:dyDescent="0.35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</row>
    <row r="547" spans="1:37" x14ac:dyDescent="0.35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</row>
    <row r="548" spans="1:37" x14ac:dyDescent="0.35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</row>
    <row r="549" spans="1:37" x14ac:dyDescent="0.35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</row>
    <row r="550" spans="1:37" x14ac:dyDescent="0.35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</row>
    <row r="551" spans="1:37" x14ac:dyDescent="0.35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</row>
    <row r="552" spans="1:37" x14ac:dyDescent="0.35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</row>
    <row r="553" spans="1:37" x14ac:dyDescent="0.35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</row>
    <row r="554" spans="1:37" x14ac:dyDescent="0.35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</row>
    <row r="555" spans="1:37" x14ac:dyDescent="0.3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</row>
    <row r="556" spans="1:37" x14ac:dyDescent="0.35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</row>
    <row r="557" spans="1:37" x14ac:dyDescent="0.35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</row>
    <row r="558" spans="1:37" x14ac:dyDescent="0.35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</row>
    <row r="559" spans="1:37" x14ac:dyDescent="0.35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</row>
    <row r="560" spans="1:37" x14ac:dyDescent="0.35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</row>
    <row r="561" spans="1:37" x14ac:dyDescent="0.35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</row>
    <row r="562" spans="1:37" x14ac:dyDescent="0.35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</row>
    <row r="563" spans="1:37" x14ac:dyDescent="0.35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</row>
    <row r="564" spans="1:37" x14ac:dyDescent="0.35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</row>
    <row r="565" spans="1:37" x14ac:dyDescent="0.3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</row>
    <row r="566" spans="1:37" x14ac:dyDescent="0.35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</row>
    <row r="567" spans="1:37" x14ac:dyDescent="0.35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</row>
    <row r="568" spans="1:37" x14ac:dyDescent="0.35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</row>
    <row r="569" spans="1:37" x14ac:dyDescent="0.35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</row>
    <row r="570" spans="1:37" x14ac:dyDescent="0.35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</row>
    <row r="571" spans="1:37" x14ac:dyDescent="0.35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</row>
    <row r="572" spans="1:37" x14ac:dyDescent="0.35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</row>
    <row r="573" spans="1:37" x14ac:dyDescent="0.35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</row>
    <row r="574" spans="1:37" x14ac:dyDescent="0.35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</row>
    <row r="575" spans="1:37" x14ac:dyDescent="0.3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</row>
    <row r="576" spans="1:37" x14ac:dyDescent="0.35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</row>
    <row r="577" spans="1:37" x14ac:dyDescent="0.35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</row>
    <row r="578" spans="1:37" x14ac:dyDescent="0.35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</row>
    <row r="579" spans="1:37" x14ac:dyDescent="0.35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</row>
    <row r="580" spans="1:37" x14ac:dyDescent="0.35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</row>
    <row r="581" spans="1:37" x14ac:dyDescent="0.35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</row>
    <row r="582" spans="1:37" x14ac:dyDescent="0.35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</row>
    <row r="583" spans="1:37" x14ac:dyDescent="0.35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</row>
    <row r="584" spans="1:37" x14ac:dyDescent="0.35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</row>
    <row r="585" spans="1:37" x14ac:dyDescent="0.3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</row>
    <row r="586" spans="1:37" x14ac:dyDescent="0.35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</row>
    <row r="587" spans="1:37" x14ac:dyDescent="0.35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</row>
    <row r="588" spans="1:37" x14ac:dyDescent="0.35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</row>
    <row r="589" spans="1:37" x14ac:dyDescent="0.35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</row>
    <row r="590" spans="1:37" x14ac:dyDescent="0.35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</row>
    <row r="591" spans="1:37" x14ac:dyDescent="0.35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</row>
    <row r="592" spans="1:37" x14ac:dyDescent="0.35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</row>
    <row r="593" spans="1:37" x14ac:dyDescent="0.35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</row>
    <row r="594" spans="1:37" x14ac:dyDescent="0.35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</row>
    <row r="595" spans="1:37" x14ac:dyDescent="0.3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</row>
    <row r="596" spans="1:37" x14ac:dyDescent="0.35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</row>
    <row r="597" spans="1:37" x14ac:dyDescent="0.35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</row>
    <row r="598" spans="1:37" x14ac:dyDescent="0.35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</row>
    <row r="599" spans="1:37" x14ac:dyDescent="0.35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</row>
    <row r="600" spans="1:37" x14ac:dyDescent="0.35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</row>
    <row r="601" spans="1:37" x14ac:dyDescent="0.35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</row>
    <row r="602" spans="1:37" x14ac:dyDescent="0.35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</row>
    <row r="603" spans="1:37" x14ac:dyDescent="0.35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</row>
    <row r="604" spans="1:37" x14ac:dyDescent="0.35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</row>
    <row r="605" spans="1:37" x14ac:dyDescent="0.3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</row>
    <row r="606" spans="1:37" x14ac:dyDescent="0.35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</row>
    <row r="607" spans="1:37" x14ac:dyDescent="0.35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</row>
    <row r="608" spans="1:37" x14ac:dyDescent="0.35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</row>
    <row r="609" spans="1:37" x14ac:dyDescent="0.35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</row>
    <row r="610" spans="1:37" x14ac:dyDescent="0.35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</row>
    <row r="611" spans="1:37" x14ac:dyDescent="0.35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</row>
    <row r="612" spans="1:37" x14ac:dyDescent="0.35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</row>
    <row r="613" spans="1:37" x14ac:dyDescent="0.35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</row>
    <row r="614" spans="1:37" x14ac:dyDescent="0.35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</row>
    <row r="615" spans="1:37" x14ac:dyDescent="0.3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</row>
    <row r="616" spans="1:37" x14ac:dyDescent="0.35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</row>
    <row r="617" spans="1:37" x14ac:dyDescent="0.35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</row>
    <row r="618" spans="1:37" x14ac:dyDescent="0.35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</row>
    <row r="619" spans="1:37" x14ac:dyDescent="0.35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</row>
    <row r="620" spans="1:37" x14ac:dyDescent="0.35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</row>
    <row r="621" spans="1:37" x14ac:dyDescent="0.35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</row>
    <row r="622" spans="1:37" x14ac:dyDescent="0.35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</row>
    <row r="623" spans="1:37" x14ac:dyDescent="0.35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</row>
    <row r="624" spans="1:37" x14ac:dyDescent="0.35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</row>
    <row r="625" spans="1:37" x14ac:dyDescent="0.3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</row>
    <row r="626" spans="1:37" x14ac:dyDescent="0.35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</row>
    <row r="627" spans="1:37" x14ac:dyDescent="0.35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</row>
    <row r="628" spans="1:37" x14ac:dyDescent="0.35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</row>
    <row r="629" spans="1:37" x14ac:dyDescent="0.35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</row>
    <row r="630" spans="1:37" x14ac:dyDescent="0.35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</row>
    <row r="631" spans="1:37" x14ac:dyDescent="0.35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</row>
    <row r="632" spans="1:37" x14ac:dyDescent="0.35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</row>
    <row r="633" spans="1:37" x14ac:dyDescent="0.35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</row>
    <row r="634" spans="1:37" x14ac:dyDescent="0.35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</row>
    <row r="635" spans="1:37" x14ac:dyDescent="0.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</row>
    <row r="636" spans="1:37" x14ac:dyDescent="0.35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</row>
    <row r="637" spans="1:37" x14ac:dyDescent="0.35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</row>
    <row r="638" spans="1:37" x14ac:dyDescent="0.35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</row>
    <row r="639" spans="1:37" x14ac:dyDescent="0.35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</row>
    <row r="640" spans="1:37" x14ac:dyDescent="0.35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</row>
    <row r="641" spans="1:37" x14ac:dyDescent="0.35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</row>
    <row r="642" spans="1:37" x14ac:dyDescent="0.35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</row>
    <row r="643" spans="1:37" x14ac:dyDescent="0.35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</row>
    <row r="644" spans="1:37" x14ac:dyDescent="0.35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</row>
    <row r="645" spans="1:37" x14ac:dyDescent="0.3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</row>
    <row r="646" spans="1:37" x14ac:dyDescent="0.35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</row>
    <row r="647" spans="1:37" x14ac:dyDescent="0.35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</row>
    <row r="648" spans="1:37" x14ac:dyDescent="0.35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</row>
    <row r="649" spans="1:37" x14ac:dyDescent="0.35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</row>
    <row r="650" spans="1:37" x14ac:dyDescent="0.35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  <c r="AJ650" s="141"/>
      <c r="AK650" s="141"/>
    </row>
    <row r="651" spans="1:37" x14ac:dyDescent="0.35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  <c r="AJ651" s="141"/>
      <c r="AK651" s="141"/>
    </row>
    <row r="652" spans="1:37" x14ac:dyDescent="0.35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/>
    </row>
    <row r="653" spans="1:37" x14ac:dyDescent="0.35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  <c r="AJ653" s="141"/>
      <c r="AK653" s="141"/>
    </row>
    <row r="654" spans="1:37" x14ac:dyDescent="0.35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/>
    </row>
    <row r="655" spans="1:37" x14ac:dyDescent="0.3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  <c r="AJ655" s="141"/>
      <c r="AK655" s="141"/>
    </row>
    <row r="656" spans="1:37" x14ac:dyDescent="0.35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</row>
    <row r="657" spans="1:37" x14ac:dyDescent="0.35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  <c r="AJ657" s="141"/>
      <c r="AK657" s="141"/>
    </row>
    <row r="658" spans="1:37" x14ac:dyDescent="0.35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</row>
    <row r="659" spans="1:37" x14ac:dyDescent="0.35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  <c r="AJ659" s="141"/>
      <c r="AK659" s="141"/>
    </row>
    <row r="660" spans="1:37" x14ac:dyDescent="0.35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</row>
    <row r="661" spans="1:37" x14ac:dyDescent="0.35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  <c r="AJ661" s="141"/>
      <c r="AK661" s="141"/>
    </row>
    <row r="662" spans="1:37" x14ac:dyDescent="0.35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</row>
    <row r="663" spans="1:37" x14ac:dyDescent="0.35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  <c r="AJ663" s="141"/>
      <c r="AK663" s="141"/>
    </row>
    <row r="664" spans="1:37" x14ac:dyDescent="0.35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</row>
    <row r="665" spans="1:37" x14ac:dyDescent="0.3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  <c r="AJ665" s="141"/>
      <c r="AK665" s="141"/>
    </row>
    <row r="666" spans="1:37" x14ac:dyDescent="0.35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</row>
    <row r="667" spans="1:37" x14ac:dyDescent="0.35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  <c r="AJ667" s="141"/>
      <c r="AK667" s="141"/>
    </row>
    <row r="668" spans="1:37" x14ac:dyDescent="0.35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  <c r="AJ668" s="141"/>
      <c r="AK668" s="141"/>
    </row>
    <row r="669" spans="1:37" x14ac:dyDescent="0.35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  <c r="AJ669" s="141"/>
      <c r="AK669" s="141"/>
    </row>
    <row r="670" spans="1:37" x14ac:dyDescent="0.35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/>
    </row>
    <row r="671" spans="1:37" x14ac:dyDescent="0.35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  <c r="AJ671" s="141"/>
      <c r="AK671" s="141"/>
    </row>
    <row r="672" spans="1:37" x14ac:dyDescent="0.35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  <c r="AJ672" s="141"/>
      <c r="AK672" s="141"/>
    </row>
    <row r="673" spans="1:37" x14ac:dyDescent="0.35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  <c r="AJ673" s="141"/>
      <c r="AK673" s="141"/>
    </row>
    <row r="674" spans="1:37" x14ac:dyDescent="0.35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</row>
    <row r="675" spans="1:37" x14ac:dyDescent="0.3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  <c r="AJ675" s="141"/>
      <c r="AK675" s="141"/>
    </row>
    <row r="676" spans="1:37" x14ac:dyDescent="0.35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  <c r="AJ676" s="141"/>
      <c r="AK676" s="141"/>
    </row>
    <row r="677" spans="1:37" x14ac:dyDescent="0.35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  <c r="AJ677" s="141"/>
      <c r="AK677" s="141"/>
    </row>
    <row r="678" spans="1:37" x14ac:dyDescent="0.35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</row>
    <row r="679" spans="1:37" x14ac:dyDescent="0.35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  <c r="AJ679" s="141"/>
      <c r="AK679" s="141"/>
    </row>
    <row r="680" spans="1:37" x14ac:dyDescent="0.35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/>
    </row>
    <row r="681" spans="1:37" x14ac:dyDescent="0.35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  <c r="AJ681" s="141"/>
      <c r="AK681" s="141"/>
    </row>
    <row r="682" spans="1:37" x14ac:dyDescent="0.35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  <c r="AJ682" s="141"/>
      <c r="AK682" s="141"/>
    </row>
    <row r="683" spans="1:37" x14ac:dyDescent="0.35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/>
    </row>
    <row r="684" spans="1:37" x14ac:dyDescent="0.35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  <c r="AJ684" s="141"/>
      <c r="AK684" s="141"/>
    </row>
    <row r="685" spans="1:37" x14ac:dyDescent="0.3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/>
    </row>
    <row r="686" spans="1:37" x14ac:dyDescent="0.35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  <c r="AJ686" s="141"/>
      <c r="AK686" s="141"/>
    </row>
    <row r="687" spans="1:37" x14ac:dyDescent="0.35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</row>
    <row r="688" spans="1:37" x14ac:dyDescent="0.35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</row>
    <row r="689" spans="1:37" x14ac:dyDescent="0.35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</row>
    <row r="690" spans="1:37" x14ac:dyDescent="0.35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</row>
    <row r="691" spans="1:37" x14ac:dyDescent="0.35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</row>
    <row r="692" spans="1:37" x14ac:dyDescent="0.35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</row>
    <row r="693" spans="1:37" x14ac:dyDescent="0.35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</row>
    <row r="694" spans="1:37" x14ac:dyDescent="0.35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</row>
    <row r="695" spans="1:37" x14ac:dyDescent="0.3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</row>
    <row r="696" spans="1:37" x14ac:dyDescent="0.35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</row>
    <row r="697" spans="1:37" x14ac:dyDescent="0.35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</row>
    <row r="698" spans="1:37" x14ac:dyDescent="0.35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</row>
    <row r="699" spans="1:37" x14ac:dyDescent="0.35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</row>
    <row r="700" spans="1:37" x14ac:dyDescent="0.35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</row>
    <row r="701" spans="1:37" x14ac:dyDescent="0.35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</row>
    <row r="702" spans="1:37" x14ac:dyDescent="0.35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</row>
    <row r="703" spans="1:37" x14ac:dyDescent="0.35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</row>
    <row r="704" spans="1:37" x14ac:dyDescent="0.35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</row>
    <row r="705" spans="1:37" x14ac:dyDescent="0.3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</row>
    <row r="706" spans="1:37" x14ac:dyDescent="0.35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</row>
    <row r="707" spans="1:37" x14ac:dyDescent="0.35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</row>
    <row r="708" spans="1:37" x14ac:dyDescent="0.35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</row>
    <row r="709" spans="1:37" x14ac:dyDescent="0.35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</row>
    <row r="710" spans="1:37" x14ac:dyDescent="0.35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</row>
    <row r="711" spans="1:37" x14ac:dyDescent="0.35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</row>
    <row r="712" spans="1:37" x14ac:dyDescent="0.35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</row>
    <row r="713" spans="1:37" x14ac:dyDescent="0.35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</row>
    <row r="714" spans="1:37" x14ac:dyDescent="0.35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</row>
    <row r="715" spans="1:37" x14ac:dyDescent="0.3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</row>
    <row r="716" spans="1:37" x14ac:dyDescent="0.35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</row>
    <row r="717" spans="1:37" x14ac:dyDescent="0.35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</row>
    <row r="718" spans="1:37" x14ac:dyDescent="0.35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</row>
    <row r="719" spans="1:37" x14ac:dyDescent="0.35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</row>
    <row r="720" spans="1:37" x14ac:dyDescent="0.35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</row>
    <row r="721" spans="1:37" x14ac:dyDescent="0.35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</row>
    <row r="722" spans="1:37" x14ac:dyDescent="0.35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</row>
    <row r="723" spans="1:37" x14ac:dyDescent="0.35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</row>
    <row r="724" spans="1:37" x14ac:dyDescent="0.35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</row>
    <row r="725" spans="1:37" x14ac:dyDescent="0.3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</row>
    <row r="726" spans="1:37" x14ac:dyDescent="0.35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</row>
    <row r="727" spans="1:37" x14ac:dyDescent="0.35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</row>
    <row r="728" spans="1:37" x14ac:dyDescent="0.35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</row>
    <row r="729" spans="1:37" x14ac:dyDescent="0.35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  <c r="AJ729" s="141"/>
      <c r="AK729" s="141"/>
    </row>
    <row r="730" spans="1:37" x14ac:dyDescent="0.35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/>
    </row>
    <row r="731" spans="1:37" x14ac:dyDescent="0.35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  <c r="AJ731" s="141"/>
      <c r="AK731" s="141"/>
    </row>
    <row r="732" spans="1:37" x14ac:dyDescent="0.35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/>
    </row>
    <row r="733" spans="1:37" x14ac:dyDescent="0.35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  <c r="AJ733" s="141"/>
      <c r="AK733" s="141"/>
    </row>
    <row r="734" spans="1:37" x14ac:dyDescent="0.35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/>
    </row>
    <row r="735" spans="1:37" x14ac:dyDescent="0.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  <c r="AJ735" s="141"/>
      <c r="AK735" s="141"/>
    </row>
    <row r="736" spans="1:37" x14ac:dyDescent="0.35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/>
    </row>
    <row r="737" spans="1:37" x14ac:dyDescent="0.35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  <c r="AJ737" s="141"/>
      <c r="AK737" s="141"/>
    </row>
    <row r="738" spans="1:37" x14ac:dyDescent="0.35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</row>
    <row r="739" spans="1:37" x14ac:dyDescent="0.35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  <c r="AJ739" s="141"/>
      <c r="AK739" s="141"/>
    </row>
    <row r="740" spans="1:37" x14ac:dyDescent="0.35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/>
    </row>
    <row r="741" spans="1:37" x14ac:dyDescent="0.35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  <c r="AJ741" s="141"/>
      <c r="AK741" s="141"/>
    </row>
    <row r="742" spans="1:37" x14ac:dyDescent="0.35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</row>
    <row r="743" spans="1:37" x14ac:dyDescent="0.35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/>
    </row>
    <row r="744" spans="1:37" x14ac:dyDescent="0.35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  <c r="AJ744" s="141"/>
      <c r="AK744" s="141"/>
    </row>
    <row r="745" spans="1:37" x14ac:dyDescent="0.3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/>
    </row>
    <row r="746" spans="1:37" x14ac:dyDescent="0.35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  <c r="AJ746" s="141"/>
      <c r="AK746" s="141"/>
    </row>
    <row r="747" spans="1:37" x14ac:dyDescent="0.35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</row>
    <row r="748" spans="1:37" x14ac:dyDescent="0.35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  <c r="AJ748" s="141"/>
      <c r="AK748" s="141"/>
    </row>
    <row r="749" spans="1:37" x14ac:dyDescent="0.35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  <c r="AJ749" s="141"/>
      <c r="AK749" s="141"/>
    </row>
    <row r="750" spans="1:37" x14ac:dyDescent="0.35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  <c r="AH750" s="141"/>
      <c r="AI750" s="141"/>
      <c r="AJ750" s="141"/>
      <c r="AK750" s="141"/>
    </row>
    <row r="751" spans="1:37" x14ac:dyDescent="0.35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  <c r="AJ751" s="141"/>
      <c r="AK751" s="141"/>
    </row>
    <row r="752" spans="1:37" x14ac:dyDescent="0.35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  <c r="AH752" s="141"/>
      <c r="AI752" s="141"/>
      <c r="AJ752" s="141"/>
      <c r="AK752" s="141"/>
    </row>
    <row r="753" spans="1:37" x14ac:dyDescent="0.35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  <c r="AH753" s="141"/>
      <c r="AI753" s="141"/>
      <c r="AJ753" s="141"/>
      <c r="AK753" s="141"/>
    </row>
    <row r="754" spans="1:37" x14ac:dyDescent="0.35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  <c r="AH754" s="141"/>
      <c r="AI754" s="141"/>
      <c r="AJ754" s="141"/>
      <c r="AK754" s="141"/>
    </row>
    <row r="755" spans="1:37" x14ac:dyDescent="0.3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  <c r="AJ755" s="141"/>
      <c r="AK755" s="141"/>
    </row>
    <row r="756" spans="1:37" x14ac:dyDescent="0.35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  <c r="AH756" s="141"/>
      <c r="AI756" s="141"/>
      <c r="AJ756" s="141"/>
      <c r="AK756" s="141"/>
    </row>
    <row r="757" spans="1:37" x14ac:dyDescent="0.35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  <c r="AH757" s="141"/>
      <c r="AI757" s="141"/>
      <c r="AJ757" s="141"/>
      <c r="AK757" s="141"/>
    </row>
    <row r="758" spans="1:37" x14ac:dyDescent="0.35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  <c r="AH758" s="141"/>
      <c r="AI758" s="141"/>
      <c r="AJ758" s="141"/>
      <c r="AK758" s="141"/>
    </row>
    <row r="759" spans="1:37" x14ac:dyDescent="0.35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  <c r="AH759" s="141"/>
      <c r="AI759" s="141"/>
      <c r="AJ759" s="141"/>
      <c r="AK759" s="141"/>
    </row>
    <row r="760" spans="1:37" x14ac:dyDescent="0.35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  <c r="AH760" s="141"/>
      <c r="AI760" s="141"/>
      <c r="AJ760" s="141"/>
      <c r="AK760" s="141"/>
    </row>
    <row r="761" spans="1:37" x14ac:dyDescent="0.35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  <c r="AJ761" s="141"/>
      <c r="AK761" s="141"/>
    </row>
    <row r="762" spans="1:37" x14ac:dyDescent="0.35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  <c r="AH762" s="141"/>
      <c r="AI762" s="141"/>
      <c r="AJ762" s="141"/>
      <c r="AK762" s="141"/>
    </row>
    <row r="763" spans="1:37" x14ac:dyDescent="0.35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  <c r="AJ763" s="141"/>
      <c r="AK763" s="141"/>
    </row>
    <row r="764" spans="1:37" x14ac:dyDescent="0.35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  <c r="AH764" s="141"/>
      <c r="AI764" s="141"/>
      <c r="AJ764" s="141"/>
      <c r="AK764" s="141"/>
    </row>
    <row r="765" spans="1:37" x14ac:dyDescent="0.3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  <c r="AJ765" s="141"/>
      <c r="AK765" s="141"/>
    </row>
    <row r="766" spans="1:37" x14ac:dyDescent="0.35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  <c r="AH766" s="141"/>
      <c r="AI766" s="141"/>
      <c r="AJ766" s="141"/>
      <c r="AK766" s="141"/>
    </row>
    <row r="767" spans="1:37" x14ac:dyDescent="0.35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  <c r="AJ767" s="141"/>
      <c r="AK767" s="141"/>
    </row>
    <row r="768" spans="1:37" x14ac:dyDescent="0.35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  <c r="AH768" s="141"/>
      <c r="AI768" s="141"/>
      <c r="AJ768" s="141"/>
      <c r="AK768" s="141"/>
    </row>
    <row r="769" spans="1:37" x14ac:dyDescent="0.35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  <c r="AJ769" s="141"/>
      <c r="AK769" s="141"/>
    </row>
    <row r="770" spans="1:37" x14ac:dyDescent="0.35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  <c r="AH770" s="141"/>
      <c r="AI770" s="141"/>
      <c r="AJ770" s="141"/>
      <c r="AK770" s="141"/>
    </row>
    <row r="771" spans="1:37" x14ac:dyDescent="0.35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  <c r="AJ771" s="141"/>
      <c r="AK771" s="141"/>
    </row>
    <row r="772" spans="1:37" x14ac:dyDescent="0.35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  <c r="AH772" s="141"/>
      <c r="AI772" s="141"/>
      <c r="AJ772" s="141"/>
      <c r="AK772" s="141"/>
    </row>
    <row r="773" spans="1:37" x14ac:dyDescent="0.35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  <c r="AJ773" s="141"/>
      <c r="AK773" s="141"/>
    </row>
    <row r="774" spans="1:37" x14ac:dyDescent="0.35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  <c r="AH774" s="141"/>
      <c r="AI774" s="141"/>
      <c r="AJ774" s="141"/>
      <c r="AK774" s="141"/>
    </row>
    <row r="775" spans="1:37" x14ac:dyDescent="0.3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  <c r="AJ775" s="141"/>
      <c r="AK775" s="141"/>
    </row>
    <row r="776" spans="1:37" x14ac:dyDescent="0.35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  <c r="AH776" s="141"/>
      <c r="AI776" s="141"/>
      <c r="AJ776" s="141"/>
      <c r="AK776" s="141"/>
    </row>
    <row r="777" spans="1:37" x14ac:dyDescent="0.35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  <c r="AJ777" s="141"/>
      <c r="AK777" s="141"/>
    </row>
    <row r="778" spans="1:37" x14ac:dyDescent="0.35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  <c r="AH778" s="141"/>
      <c r="AI778" s="141"/>
      <c r="AJ778" s="141"/>
      <c r="AK778" s="141"/>
    </row>
    <row r="779" spans="1:37" x14ac:dyDescent="0.35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  <c r="AH779" s="141"/>
      <c r="AI779" s="141"/>
      <c r="AJ779" s="141"/>
      <c r="AK779" s="141"/>
    </row>
    <row r="780" spans="1:37" x14ac:dyDescent="0.35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  <c r="AH780" s="141"/>
      <c r="AI780" s="141"/>
      <c r="AJ780" s="141"/>
      <c r="AK780" s="141"/>
    </row>
    <row r="781" spans="1:37" x14ac:dyDescent="0.35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  <c r="AJ781" s="141"/>
      <c r="AK781" s="141"/>
    </row>
    <row r="782" spans="1:37" x14ac:dyDescent="0.35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  <c r="AH782" s="141"/>
      <c r="AI782" s="141"/>
      <c r="AJ782" s="141"/>
      <c r="AK782" s="141"/>
    </row>
    <row r="783" spans="1:37" x14ac:dyDescent="0.35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  <c r="AJ783" s="141"/>
      <c r="AK783" s="141"/>
    </row>
    <row r="784" spans="1:37" x14ac:dyDescent="0.35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  <c r="AH784" s="141"/>
      <c r="AI784" s="141"/>
      <c r="AJ784" s="141"/>
      <c r="AK784" s="141"/>
    </row>
    <row r="785" spans="1:37" x14ac:dyDescent="0.3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  <c r="AH785" s="141"/>
      <c r="AI785" s="141"/>
      <c r="AJ785" s="141"/>
      <c r="AK785" s="141"/>
    </row>
    <row r="786" spans="1:37" x14ac:dyDescent="0.35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  <c r="AH786" s="141"/>
      <c r="AI786" s="141"/>
      <c r="AJ786" s="141"/>
      <c r="AK786" s="141"/>
    </row>
    <row r="787" spans="1:37" x14ac:dyDescent="0.35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</row>
    <row r="788" spans="1:37" x14ac:dyDescent="0.35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  <c r="AJ788" s="141"/>
      <c r="AK788" s="141"/>
    </row>
    <row r="789" spans="1:37" x14ac:dyDescent="0.35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/>
    </row>
    <row r="790" spans="1:37" x14ac:dyDescent="0.35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  <c r="AJ790" s="141"/>
      <c r="AK790" s="141"/>
    </row>
    <row r="791" spans="1:37" x14ac:dyDescent="0.35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/>
    </row>
    <row r="792" spans="1:37" x14ac:dyDescent="0.35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  <c r="AJ792" s="141"/>
      <c r="AK792" s="141"/>
    </row>
    <row r="793" spans="1:37" x14ac:dyDescent="0.35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  <c r="AJ793" s="141"/>
      <c r="AK793" s="141"/>
    </row>
    <row r="794" spans="1:37" x14ac:dyDescent="0.35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  <c r="AJ794" s="141"/>
      <c r="AK794" s="141"/>
    </row>
    <row r="795" spans="1:37" x14ac:dyDescent="0.3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/>
    </row>
    <row r="796" spans="1:37" x14ac:dyDescent="0.35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  <c r="AJ796" s="141"/>
      <c r="AK796" s="141"/>
    </row>
    <row r="797" spans="1:37" x14ac:dyDescent="0.35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  <c r="AJ797" s="141"/>
      <c r="AK797" s="141"/>
    </row>
    <row r="798" spans="1:37" x14ac:dyDescent="0.35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  <c r="AH798" s="141"/>
      <c r="AI798" s="141"/>
      <c r="AJ798" s="141"/>
      <c r="AK798" s="141"/>
    </row>
    <row r="799" spans="1:37" x14ac:dyDescent="0.35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  <c r="AJ799" s="141"/>
      <c r="AK799" s="141"/>
    </row>
    <row r="800" spans="1:37" x14ac:dyDescent="0.35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  <c r="AH800" s="141"/>
      <c r="AI800" s="141"/>
      <c r="AJ800" s="141"/>
      <c r="AK800" s="141"/>
    </row>
    <row r="801" spans="1:37" x14ac:dyDescent="0.35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  <c r="AJ801" s="141"/>
      <c r="AK801" s="141"/>
    </row>
    <row r="802" spans="1:37" x14ac:dyDescent="0.35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  <c r="AH802" s="141"/>
      <c r="AI802" s="141"/>
      <c r="AJ802" s="141"/>
      <c r="AK802" s="141"/>
    </row>
    <row r="803" spans="1:37" x14ac:dyDescent="0.35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  <c r="AJ803" s="141"/>
      <c r="AK803" s="141"/>
    </row>
    <row r="804" spans="1:37" x14ac:dyDescent="0.35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  <c r="AH804" s="141"/>
      <c r="AI804" s="141"/>
      <c r="AJ804" s="141"/>
      <c r="AK804" s="141"/>
    </row>
    <row r="805" spans="1:37" x14ac:dyDescent="0.3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  <c r="AJ805" s="141"/>
      <c r="AK805" s="141"/>
    </row>
    <row r="806" spans="1:37" x14ac:dyDescent="0.35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  <c r="AH806" s="141"/>
      <c r="AI806" s="141"/>
      <c r="AJ806" s="141"/>
      <c r="AK806" s="141"/>
    </row>
    <row r="807" spans="1:37" x14ac:dyDescent="0.35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  <c r="AJ807" s="141"/>
      <c r="AK807" s="141"/>
    </row>
    <row r="808" spans="1:37" x14ac:dyDescent="0.35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  <c r="AH808" s="141"/>
      <c r="AI808" s="141"/>
      <c r="AJ808" s="141"/>
      <c r="AK808" s="141"/>
    </row>
    <row r="809" spans="1:37" x14ac:dyDescent="0.35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  <c r="AH809" s="141"/>
      <c r="AI809" s="141"/>
      <c r="AJ809" s="141"/>
      <c r="AK809" s="141"/>
    </row>
    <row r="810" spans="1:37" x14ac:dyDescent="0.35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  <c r="AH810" s="141"/>
      <c r="AI810" s="141"/>
      <c r="AJ810" s="141"/>
      <c r="AK810" s="141"/>
    </row>
    <row r="811" spans="1:37" x14ac:dyDescent="0.35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  <c r="AJ811" s="141"/>
      <c r="AK811" s="141"/>
    </row>
    <row r="812" spans="1:37" x14ac:dyDescent="0.35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  <c r="AH812" s="141"/>
      <c r="AI812" s="141"/>
      <c r="AJ812" s="141"/>
      <c r="AK812" s="141"/>
    </row>
    <row r="813" spans="1:37" x14ac:dyDescent="0.35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  <c r="AH813" s="141"/>
      <c r="AI813" s="141"/>
      <c r="AJ813" s="141"/>
      <c r="AK813" s="141"/>
    </row>
    <row r="814" spans="1:37" x14ac:dyDescent="0.35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  <c r="AH814" s="141"/>
      <c r="AI814" s="141"/>
      <c r="AJ814" s="141"/>
      <c r="AK814" s="141"/>
    </row>
    <row r="815" spans="1:37" x14ac:dyDescent="0.3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  <c r="AH815" s="141"/>
      <c r="AI815" s="141"/>
      <c r="AJ815" s="141"/>
      <c r="AK815" s="141"/>
    </row>
    <row r="816" spans="1:37" x14ac:dyDescent="0.35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  <c r="AJ816" s="141"/>
      <c r="AK816" s="141"/>
    </row>
    <row r="817" spans="1:37" x14ac:dyDescent="0.35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  <c r="AH817" s="141"/>
      <c r="AI817" s="141"/>
      <c r="AJ817" s="141"/>
      <c r="AK817" s="141"/>
    </row>
    <row r="818" spans="1:37" x14ac:dyDescent="0.35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  <c r="AJ818" s="141"/>
      <c r="AK818" s="141"/>
    </row>
    <row r="819" spans="1:37" x14ac:dyDescent="0.35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  <c r="AH819" s="141"/>
      <c r="AI819" s="141"/>
      <c r="AJ819" s="141"/>
      <c r="AK819" s="141"/>
    </row>
    <row r="820" spans="1:37" x14ac:dyDescent="0.35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  <c r="AJ820" s="141"/>
      <c r="AK820" s="141"/>
    </row>
    <row r="821" spans="1:37" x14ac:dyDescent="0.35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  <c r="AH821" s="141"/>
      <c r="AI821" s="141"/>
      <c r="AJ821" s="141"/>
      <c r="AK821" s="141"/>
    </row>
    <row r="822" spans="1:37" x14ac:dyDescent="0.35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</row>
    <row r="823" spans="1:37" x14ac:dyDescent="0.35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  <c r="AH823" s="141"/>
      <c r="AI823" s="141"/>
      <c r="AJ823" s="141"/>
      <c r="AK823" s="141"/>
    </row>
    <row r="824" spans="1:37" x14ac:dyDescent="0.35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  <c r="AJ824" s="141"/>
      <c r="AK824" s="141"/>
    </row>
    <row r="825" spans="1:37" x14ac:dyDescent="0.3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  <c r="AH825" s="141"/>
      <c r="AI825" s="141"/>
      <c r="AJ825" s="141"/>
      <c r="AK825" s="141"/>
    </row>
    <row r="826" spans="1:37" x14ac:dyDescent="0.35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  <c r="AJ826" s="141"/>
      <c r="AK826" s="141"/>
    </row>
    <row r="827" spans="1:37" x14ac:dyDescent="0.35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  <c r="AH827" s="141"/>
      <c r="AI827" s="141"/>
      <c r="AJ827" s="141"/>
      <c r="AK827" s="141"/>
    </row>
    <row r="828" spans="1:37" x14ac:dyDescent="0.35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  <c r="AH828" s="141"/>
      <c r="AI828" s="141"/>
      <c r="AJ828" s="141"/>
      <c r="AK828" s="141"/>
    </row>
    <row r="829" spans="1:37" x14ac:dyDescent="0.35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  <c r="AH829" s="141"/>
      <c r="AI829" s="141"/>
      <c r="AJ829" s="141"/>
      <c r="AK829" s="141"/>
    </row>
    <row r="830" spans="1:37" x14ac:dyDescent="0.35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  <c r="AJ830" s="141"/>
      <c r="AK830" s="141"/>
    </row>
    <row r="831" spans="1:37" x14ac:dyDescent="0.35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  <c r="AH831" s="141"/>
      <c r="AI831" s="141"/>
      <c r="AJ831" s="141"/>
      <c r="AK831" s="141"/>
    </row>
    <row r="832" spans="1:37" x14ac:dyDescent="0.35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  <c r="AH832" s="141"/>
      <c r="AI832" s="141"/>
      <c r="AJ832" s="141"/>
      <c r="AK832" s="141"/>
    </row>
    <row r="833" spans="1:37" x14ac:dyDescent="0.35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  <c r="AJ833" s="141"/>
      <c r="AK833" s="141"/>
    </row>
    <row r="834" spans="1:37" x14ac:dyDescent="0.35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  <c r="AH834" s="141"/>
      <c r="AI834" s="141"/>
      <c r="AJ834" s="141"/>
      <c r="AK834" s="141"/>
    </row>
    <row r="835" spans="1:37" x14ac:dyDescent="0.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  <c r="AJ835" s="141"/>
      <c r="AK835" s="141"/>
    </row>
    <row r="836" spans="1:37" x14ac:dyDescent="0.35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  <c r="AH836" s="141"/>
      <c r="AI836" s="141"/>
      <c r="AJ836" s="141"/>
      <c r="AK836" s="141"/>
    </row>
    <row r="837" spans="1:37" x14ac:dyDescent="0.35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  <c r="AJ837" s="141"/>
      <c r="AK837" s="141"/>
    </row>
    <row r="838" spans="1:37" x14ac:dyDescent="0.35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  <c r="AH838" s="141"/>
      <c r="AI838" s="141"/>
      <c r="AJ838" s="141"/>
      <c r="AK838" s="141"/>
    </row>
    <row r="839" spans="1:37" x14ac:dyDescent="0.35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  <c r="AH839" s="141"/>
      <c r="AI839" s="141"/>
      <c r="AJ839" s="141"/>
      <c r="AK839" s="141"/>
    </row>
    <row r="840" spans="1:37" x14ac:dyDescent="0.35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  <c r="AH840" s="141"/>
      <c r="AI840" s="141"/>
      <c r="AJ840" s="141"/>
      <c r="AK840" s="141"/>
    </row>
    <row r="841" spans="1:37" x14ac:dyDescent="0.35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  <c r="AH841" s="141"/>
      <c r="AI841" s="141"/>
      <c r="AJ841" s="141"/>
      <c r="AK841" s="141"/>
    </row>
    <row r="842" spans="1:37" x14ac:dyDescent="0.35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  <c r="AJ842" s="141"/>
      <c r="AK842" s="141"/>
    </row>
    <row r="843" spans="1:37" x14ac:dyDescent="0.35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  <c r="AH843" s="141"/>
      <c r="AI843" s="141"/>
      <c r="AJ843" s="141"/>
      <c r="AK843" s="141"/>
    </row>
    <row r="844" spans="1:37" x14ac:dyDescent="0.35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  <c r="AJ844" s="141"/>
      <c r="AK844" s="141"/>
    </row>
    <row r="845" spans="1:37" x14ac:dyDescent="0.3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  <c r="AH845" s="141"/>
      <c r="AI845" s="141"/>
      <c r="AJ845" s="141"/>
      <c r="AK845" s="141"/>
    </row>
    <row r="846" spans="1:37" x14ac:dyDescent="0.35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  <c r="AH846" s="141"/>
      <c r="AI846" s="141"/>
      <c r="AJ846" s="141"/>
      <c r="AK846" s="141"/>
    </row>
    <row r="847" spans="1:37" x14ac:dyDescent="0.35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  <c r="AH847" s="141"/>
      <c r="AI847" s="141"/>
      <c r="AJ847" s="141"/>
      <c r="AK847" s="141"/>
    </row>
    <row r="848" spans="1:37" x14ac:dyDescent="0.35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  <c r="AJ848" s="141"/>
      <c r="AK848" s="141"/>
    </row>
    <row r="849" spans="1:37" x14ac:dyDescent="0.35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  <c r="AH849" s="141"/>
      <c r="AI849" s="141"/>
      <c r="AJ849" s="141"/>
      <c r="AK849" s="141"/>
    </row>
    <row r="850" spans="1:37" x14ac:dyDescent="0.35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  <c r="AH850" s="141"/>
      <c r="AI850" s="141"/>
      <c r="AJ850" s="141"/>
      <c r="AK850" s="141"/>
    </row>
    <row r="851" spans="1:37" x14ac:dyDescent="0.35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  <c r="AJ851" s="141"/>
      <c r="AK851" s="141"/>
    </row>
    <row r="852" spans="1:37" x14ac:dyDescent="0.35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  <c r="AH852" s="141"/>
      <c r="AI852" s="141"/>
      <c r="AJ852" s="141"/>
      <c r="AK852" s="141"/>
    </row>
    <row r="853" spans="1:37" x14ac:dyDescent="0.35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  <c r="AJ853" s="141"/>
      <c r="AK853" s="141"/>
    </row>
    <row r="854" spans="1:37" x14ac:dyDescent="0.35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  <c r="AH854" s="141"/>
      <c r="AI854" s="141"/>
      <c r="AJ854" s="141"/>
      <c r="AK854" s="141"/>
    </row>
    <row r="855" spans="1:37" x14ac:dyDescent="0.3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  <c r="AH855" s="141"/>
      <c r="AI855" s="141"/>
      <c r="AJ855" s="141"/>
      <c r="AK855" s="141"/>
    </row>
    <row r="856" spans="1:37" x14ac:dyDescent="0.35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  <c r="AH856" s="141"/>
      <c r="AI856" s="141"/>
      <c r="AJ856" s="141"/>
      <c r="AK856" s="141"/>
    </row>
    <row r="857" spans="1:37" x14ac:dyDescent="0.35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  <c r="AJ857" s="141"/>
      <c r="AK857" s="141"/>
    </row>
    <row r="858" spans="1:37" x14ac:dyDescent="0.35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  <c r="AH858" s="141"/>
      <c r="AI858" s="141"/>
      <c r="AJ858" s="141"/>
      <c r="AK858" s="141"/>
    </row>
    <row r="859" spans="1:37" x14ac:dyDescent="0.35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  <c r="AJ859" s="141"/>
      <c r="AK859" s="141"/>
    </row>
    <row r="860" spans="1:37" x14ac:dyDescent="0.35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  <c r="AH860" s="141"/>
      <c r="AI860" s="141"/>
      <c r="AJ860" s="141"/>
      <c r="AK860" s="141"/>
    </row>
    <row r="861" spans="1:37" x14ac:dyDescent="0.35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  <c r="AJ861" s="141"/>
      <c r="AK861" s="141"/>
    </row>
    <row r="862" spans="1:37" x14ac:dyDescent="0.35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  <c r="AH862" s="141"/>
      <c r="AI862" s="141"/>
      <c r="AJ862" s="141"/>
      <c r="AK862" s="141"/>
    </row>
    <row r="863" spans="1:37" x14ac:dyDescent="0.35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  <c r="AH863" s="141"/>
      <c r="AI863" s="141"/>
      <c r="AJ863" s="141"/>
      <c r="AK863" s="141"/>
    </row>
    <row r="864" spans="1:37" x14ac:dyDescent="0.35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  <c r="AJ864" s="141"/>
      <c r="AK864" s="141"/>
    </row>
    <row r="865" spans="1:37" x14ac:dyDescent="0.3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  <c r="AH865" s="141"/>
      <c r="AI865" s="141"/>
      <c r="AJ865" s="141"/>
      <c r="AK865" s="141"/>
    </row>
    <row r="866" spans="1:37" x14ac:dyDescent="0.35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  <c r="AJ866" s="141"/>
      <c r="AK866" s="141"/>
    </row>
    <row r="867" spans="1:37" x14ac:dyDescent="0.35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  <c r="AH867" s="141"/>
      <c r="AI867" s="141"/>
      <c r="AJ867" s="141"/>
      <c r="AK867" s="141"/>
    </row>
    <row r="868" spans="1:37" x14ac:dyDescent="0.35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  <c r="AH868" s="141"/>
      <c r="AI868" s="141"/>
      <c r="AJ868" s="141"/>
      <c r="AK868" s="141"/>
    </row>
    <row r="869" spans="1:37" x14ac:dyDescent="0.35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  <c r="AH869" s="141"/>
      <c r="AI869" s="141"/>
      <c r="AJ869" s="141"/>
      <c r="AK869" s="141"/>
    </row>
    <row r="870" spans="1:37" x14ac:dyDescent="0.35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  <c r="AH870" s="141"/>
      <c r="AI870" s="141"/>
      <c r="AJ870" s="141"/>
      <c r="AK870" s="141"/>
    </row>
    <row r="871" spans="1:37" x14ac:dyDescent="0.35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  <c r="AJ871" s="141"/>
      <c r="AK871" s="141"/>
    </row>
    <row r="872" spans="1:37" x14ac:dyDescent="0.35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  <c r="AH872" s="141"/>
      <c r="AI872" s="141"/>
      <c r="AJ872" s="141"/>
      <c r="AK872" s="141"/>
    </row>
    <row r="873" spans="1:37" x14ac:dyDescent="0.35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  <c r="AH873" s="141"/>
      <c r="AI873" s="141"/>
      <c r="AJ873" s="141"/>
      <c r="AK873" s="141"/>
    </row>
    <row r="874" spans="1:37" x14ac:dyDescent="0.35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  <c r="AH874" s="141"/>
      <c r="AI874" s="141"/>
      <c r="AJ874" s="141"/>
      <c r="AK874" s="141"/>
    </row>
    <row r="875" spans="1:37" x14ac:dyDescent="0.3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  <c r="AJ875" s="141"/>
      <c r="AK875" s="141"/>
    </row>
    <row r="876" spans="1:37" x14ac:dyDescent="0.35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  <c r="AH876" s="141"/>
      <c r="AI876" s="141"/>
      <c r="AJ876" s="141"/>
      <c r="AK876" s="141"/>
    </row>
    <row r="877" spans="1:37" x14ac:dyDescent="0.35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  <c r="AJ877" s="141"/>
      <c r="AK877" s="141"/>
    </row>
    <row r="878" spans="1:37" x14ac:dyDescent="0.35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  <c r="AH878" s="141"/>
      <c r="AI878" s="141"/>
      <c r="AJ878" s="141"/>
      <c r="AK878" s="141"/>
    </row>
    <row r="879" spans="1:37" x14ac:dyDescent="0.35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  <c r="AJ879" s="141"/>
      <c r="AK879" s="141"/>
    </row>
    <row r="880" spans="1:37" x14ac:dyDescent="0.35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  <c r="AH880" s="141"/>
      <c r="AI880" s="141"/>
      <c r="AJ880" s="141"/>
      <c r="AK880" s="141"/>
    </row>
    <row r="881" spans="1:37" x14ac:dyDescent="0.35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  <c r="AH881" s="141"/>
      <c r="AI881" s="141"/>
      <c r="AJ881" s="141"/>
      <c r="AK881" s="141"/>
    </row>
    <row r="882" spans="1:37" x14ac:dyDescent="0.35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  <c r="AH882" s="141"/>
      <c r="AI882" s="141"/>
      <c r="AJ882" s="141"/>
      <c r="AK882" s="141"/>
    </row>
    <row r="883" spans="1:37" x14ac:dyDescent="0.35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  <c r="AJ883" s="141"/>
      <c r="AK883" s="141"/>
    </row>
    <row r="884" spans="1:37" x14ac:dyDescent="0.35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  <c r="AH884" s="141"/>
      <c r="AI884" s="141"/>
      <c r="AJ884" s="141"/>
      <c r="AK884" s="141"/>
    </row>
    <row r="885" spans="1:37" x14ac:dyDescent="0.3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  <c r="AJ885" s="141"/>
      <c r="AK885" s="141"/>
    </row>
    <row r="886" spans="1:37" x14ac:dyDescent="0.35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  <c r="AH886" s="141"/>
      <c r="AI886" s="141"/>
      <c r="AJ886" s="141"/>
      <c r="AK886" s="141"/>
    </row>
    <row r="887" spans="1:37" x14ac:dyDescent="0.35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  <c r="AJ887" s="141"/>
      <c r="AK887" s="141"/>
    </row>
    <row r="888" spans="1:37" x14ac:dyDescent="0.35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  <c r="AH888" s="141"/>
      <c r="AI888" s="141"/>
      <c r="AJ888" s="141"/>
      <c r="AK888" s="141"/>
    </row>
    <row r="889" spans="1:37" x14ac:dyDescent="0.35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  <c r="AJ889" s="141"/>
      <c r="AK889" s="141"/>
    </row>
    <row r="890" spans="1:37" x14ac:dyDescent="0.35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  <c r="AH890" s="141"/>
      <c r="AI890" s="141"/>
      <c r="AJ890" s="141"/>
      <c r="AK890" s="141"/>
    </row>
    <row r="891" spans="1:37" x14ac:dyDescent="0.35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  <c r="AJ891" s="141"/>
      <c r="AK891" s="141"/>
    </row>
    <row r="892" spans="1:37" x14ac:dyDescent="0.35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  <c r="AH892" s="141"/>
      <c r="AI892" s="141"/>
      <c r="AJ892" s="141"/>
      <c r="AK892" s="141"/>
    </row>
    <row r="893" spans="1:37" x14ac:dyDescent="0.35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  <c r="AJ893" s="141"/>
      <c r="AK893" s="141"/>
    </row>
    <row r="894" spans="1:37" x14ac:dyDescent="0.35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  <c r="AH894" s="141"/>
      <c r="AI894" s="141"/>
      <c r="AJ894" s="141"/>
      <c r="AK894" s="141"/>
    </row>
    <row r="895" spans="1:37" x14ac:dyDescent="0.3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  <c r="AH895" s="141"/>
      <c r="AI895" s="141"/>
      <c r="AJ895" s="141"/>
      <c r="AK895" s="141"/>
    </row>
    <row r="896" spans="1:37" x14ac:dyDescent="0.35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  <c r="AH896" s="141"/>
      <c r="AI896" s="141"/>
      <c r="AJ896" s="141"/>
      <c r="AK896" s="141"/>
    </row>
    <row r="897" spans="1:37" x14ac:dyDescent="0.35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  <c r="AJ897" s="141"/>
      <c r="AK897" s="141"/>
    </row>
    <row r="898" spans="1:37" x14ac:dyDescent="0.35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  <c r="AH898" s="141"/>
      <c r="AI898" s="141"/>
      <c r="AJ898" s="141"/>
      <c r="AK898" s="141"/>
    </row>
    <row r="899" spans="1:37" x14ac:dyDescent="0.35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  <c r="AJ899" s="141"/>
      <c r="AK899" s="141"/>
    </row>
    <row r="900" spans="1:37" x14ac:dyDescent="0.35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  <c r="AH900" s="141"/>
      <c r="AI900" s="141"/>
      <c r="AJ900" s="141"/>
      <c r="AK900" s="141"/>
    </row>
    <row r="901" spans="1:37" x14ac:dyDescent="0.35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  <c r="AJ901" s="141"/>
      <c r="AK901" s="141"/>
    </row>
    <row r="902" spans="1:37" x14ac:dyDescent="0.35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  <c r="AH902" s="141"/>
      <c r="AI902" s="141"/>
      <c r="AJ902" s="141"/>
      <c r="AK902" s="141"/>
    </row>
    <row r="903" spans="1:37" x14ac:dyDescent="0.35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  <c r="AH903" s="141"/>
      <c r="AI903" s="141"/>
      <c r="AJ903" s="141"/>
      <c r="AK903" s="141"/>
    </row>
    <row r="904" spans="1:37" x14ac:dyDescent="0.35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  <c r="AH904" s="141"/>
      <c r="AI904" s="141"/>
      <c r="AJ904" s="141"/>
      <c r="AK904" s="141"/>
    </row>
    <row r="905" spans="1:37" x14ac:dyDescent="0.3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  <c r="AH905" s="141"/>
      <c r="AI905" s="141"/>
      <c r="AJ905" s="141"/>
      <c r="AK905" s="141"/>
    </row>
    <row r="906" spans="1:37" x14ac:dyDescent="0.35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  <c r="AH906" s="141"/>
      <c r="AI906" s="141"/>
      <c r="AJ906" s="141"/>
      <c r="AK906" s="141"/>
    </row>
    <row r="907" spans="1:37" x14ac:dyDescent="0.35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  <c r="AJ907" s="141"/>
      <c r="AK907" s="141"/>
    </row>
    <row r="908" spans="1:37" x14ac:dyDescent="0.35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  <c r="AH908" s="141"/>
      <c r="AI908" s="141"/>
      <c r="AJ908" s="141"/>
      <c r="AK908" s="141"/>
    </row>
    <row r="909" spans="1:37" x14ac:dyDescent="0.35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  <c r="AJ909" s="141"/>
      <c r="AK909" s="141"/>
    </row>
    <row r="910" spans="1:37" x14ac:dyDescent="0.35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  <c r="AH910" s="141"/>
      <c r="AI910" s="141"/>
      <c r="AJ910" s="141"/>
      <c r="AK910" s="141"/>
    </row>
    <row r="911" spans="1:37" x14ac:dyDescent="0.35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  <c r="AH911" s="141"/>
      <c r="AI911" s="141"/>
      <c r="AJ911" s="141"/>
      <c r="AK911" s="141"/>
    </row>
    <row r="912" spans="1:37" x14ac:dyDescent="0.35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  <c r="AH912" s="141"/>
      <c r="AI912" s="141"/>
      <c r="AJ912" s="141"/>
      <c r="AK912" s="141"/>
    </row>
    <row r="913" spans="1:37" x14ac:dyDescent="0.35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  <c r="AH913" s="141"/>
      <c r="AI913" s="141"/>
      <c r="AJ913" s="141"/>
      <c r="AK913" s="141"/>
    </row>
    <row r="914" spans="1:37" x14ac:dyDescent="0.35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  <c r="AH914" s="141"/>
      <c r="AI914" s="141"/>
      <c r="AJ914" s="141"/>
      <c r="AK914" s="141"/>
    </row>
    <row r="915" spans="1:37" x14ac:dyDescent="0.3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  <c r="AJ915" s="141"/>
      <c r="AK915" s="141"/>
    </row>
    <row r="916" spans="1:37" x14ac:dyDescent="0.35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  <c r="AH916" s="141"/>
      <c r="AI916" s="141"/>
      <c r="AJ916" s="141"/>
      <c r="AK916" s="141"/>
    </row>
    <row r="917" spans="1:37" x14ac:dyDescent="0.35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  <c r="AH917" s="141"/>
      <c r="AI917" s="141"/>
      <c r="AJ917" s="141"/>
      <c r="AK917" s="141"/>
    </row>
    <row r="918" spans="1:37" x14ac:dyDescent="0.35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  <c r="AH918" s="141"/>
      <c r="AI918" s="141"/>
      <c r="AJ918" s="141"/>
      <c r="AK918" s="141"/>
    </row>
    <row r="919" spans="1:37" x14ac:dyDescent="0.35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  <c r="AH919" s="141"/>
      <c r="AI919" s="141"/>
      <c r="AJ919" s="141"/>
      <c r="AK919" s="141"/>
    </row>
    <row r="920" spans="1:37" x14ac:dyDescent="0.35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  <c r="AH920" s="141"/>
      <c r="AI920" s="141"/>
      <c r="AJ920" s="141"/>
      <c r="AK920" s="141"/>
    </row>
    <row r="921" spans="1:37" x14ac:dyDescent="0.35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  <c r="AJ921" s="141"/>
      <c r="AK921" s="141"/>
    </row>
    <row r="922" spans="1:37" x14ac:dyDescent="0.35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  <c r="AH922" s="141"/>
      <c r="AI922" s="141"/>
      <c r="AJ922" s="141"/>
      <c r="AK922" s="141"/>
    </row>
    <row r="923" spans="1:37" x14ac:dyDescent="0.35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  <c r="AJ923" s="141"/>
      <c r="AK923" s="141"/>
    </row>
    <row r="924" spans="1:37" x14ac:dyDescent="0.35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  <c r="AH924" s="141"/>
      <c r="AI924" s="141"/>
      <c r="AJ924" s="141"/>
      <c r="AK924" s="141"/>
    </row>
    <row r="925" spans="1:37" x14ac:dyDescent="0.3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  <c r="AH925" s="141"/>
      <c r="AI925" s="141"/>
      <c r="AJ925" s="141"/>
      <c r="AK925" s="141"/>
    </row>
    <row r="926" spans="1:37" x14ac:dyDescent="0.35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  <c r="AH926" s="141"/>
      <c r="AI926" s="141"/>
      <c r="AJ926" s="141"/>
      <c r="AK926" s="141"/>
    </row>
    <row r="927" spans="1:37" x14ac:dyDescent="0.35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  <c r="AH927" s="141"/>
      <c r="AI927" s="141"/>
      <c r="AJ927" s="141"/>
      <c r="AK927" s="141"/>
    </row>
    <row r="928" spans="1:37" x14ac:dyDescent="0.35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  <c r="AH928" s="141"/>
      <c r="AI928" s="141"/>
      <c r="AJ928" s="141"/>
      <c r="AK928" s="141"/>
    </row>
    <row r="929" spans="1:37" x14ac:dyDescent="0.35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  <c r="AJ929" s="141"/>
      <c r="AK929" s="141"/>
    </row>
    <row r="930" spans="1:37" x14ac:dyDescent="0.35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  <c r="AH930" s="141"/>
      <c r="AI930" s="141"/>
      <c r="AJ930" s="141"/>
      <c r="AK930" s="141"/>
    </row>
    <row r="931" spans="1:37" x14ac:dyDescent="0.35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  <c r="AJ931" s="141"/>
      <c r="AK931" s="141"/>
    </row>
    <row r="932" spans="1:37" x14ac:dyDescent="0.35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  <c r="AH932" s="141"/>
      <c r="AI932" s="141"/>
      <c r="AJ932" s="141"/>
      <c r="AK932" s="141"/>
    </row>
    <row r="933" spans="1:37" x14ac:dyDescent="0.35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  <c r="AJ933" s="141"/>
      <c r="AK933" s="141"/>
    </row>
    <row r="934" spans="1:37" x14ac:dyDescent="0.35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  <c r="AH934" s="141"/>
      <c r="AI934" s="141"/>
      <c r="AJ934" s="141"/>
      <c r="AK934" s="141"/>
    </row>
    <row r="935" spans="1:37" x14ac:dyDescent="0.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  <c r="AJ935" s="141"/>
      <c r="AK935" s="141"/>
    </row>
    <row r="936" spans="1:37" x14ac:dyDescent="0.35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  <c r="AH936" s="141"/>
      <c r="AI936" s="141"/>
      <c r="AJ936" s="141"/>
      <c r="AK936" s="141"/>
    </row>
    <row r="937" spans="1:37" x14ac:dyDescent="0.35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  <c r="AH937" s="141"/>
      <c r="AI937" s="141"/>
      <c r="AJ937" s="141"/>
      <c r="AK937" s="141"/>
    </row>
    <row r="938" spans="1:37" x14ac:dyDescent="0.35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  <c r="AH938" s="141"/>
      <c r="AI938" s="141"/>
      <c r="AJ938" s="141"/>
      <c r="AK938" s="141"/>
    </row>
    <row r="939" spans="1:37" x14ac:dyDescent="0.35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  <c r="AH939" s="141"/>
      <c r="AI939" s="141"/>
      <c r="AJ939" s="141"/>
      <c r="AK939" s="141"/>
    </row>
    <row r="940" spans="1:37" x14ac:dyDescent="0.35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  <c r="AH940" s="141"/>
      <c r="AI940" s="141"/>
      <c r="AJ940" s="141"/>
      <c r="AK940" s="141"/>
    </row>
    <row r="941" spans="1:37" x14ac:dyDescent="0.35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  <c r="AH941" s="141"/>
      <c r="AI941" s="141"/>
      <c r="AJ941" s="141"/>
      <c r="AK941" s="141"/>
    </row>
    <row r="942" spans="1:37" x14ac:dyDescent="0.35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  <c r="AJ942" s="141"/>
      <c r="AK942" s="141"/>
    </row>
    <row r="943" spans="1:37" x14ac:dyDescent="0.35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  <c r="AH943" s="141"/>
      <c r="AI943" s="141"/>
      <c r="AJ943" s="141"/>
      <c r="AK943" s="141"/>
    </row>
    <row r="944" spans="1:37" x14ac:dyDescent="0.35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  <c r="AJ944" s="141"/>
      <c r="AK944" s="141"/>
    </row>
    <row r="945" spans="1:37" x14ac:dyDescent="0.3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  <c r="AH945" s="141"/>
      <c r="AI945" s="141"/>
      <c r="AJ945" s="141"/>
      <c r="AK945" s="141"/>
    </row>
    <row r="946" spans="1:37" x14ac:dyDescent="0.35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  <c r="AJ946" s="141"/>
      <c r="AK946" s="141"/>
    </row>
    <row r="947" spans="1:37" x14ac:dyDescent="0.35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  <c r="AH947" s="141"/>
      <c r="AI947" s="141"/>
      <c r="AJ947" s="141"/>
      <c r="AK947" s="141"/>
    </row>
    <row r="948" spans="1:37" x14ac:dyDescent="0.35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/>
      <c r="AI948" s="141"/>
      <c r="AJ948" s="141"/>
      <c r="AK948" s="141"/>
    </row>
    <row r="949" spans="1:37" x14ac:dyDescent="0.35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  <c r="AH949" s="141"/>
      <c r="AI949" s="141"/>
      <c r="AJ949" s="141"/>
      <c r="AK949" s="141"/>
    </row>
    <row r="950" spans="1:37" x14ac:dyDescent="0.35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  <c r="AJ950" s="141"/>
      <c r="AK950" s="141"/>
    </row>
    <row r="951" spans="1:37" x14ac:dyDescent="0.35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  <c r="AH951" s="141"/>
      <c r="AI951" s="141"/>
      <c r="AJ951" s="141"/>
      <c r="AK951" s="141"/>
    </row>
    <row r="952" spans="1:37" x14ac:dyDescent="0.35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  <c r="AJ952" s="141"/>
      <c r="AK952" s="141"/>
    </row>
    <row r="953" spans="1:37" x14ac:dyDescent="0.35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  <c r="AH953" s="141"/>
      <c r="AI953" s="141"/>
      <c r="AJ953" s="141"/>
      <c r="AK953" s="141"/>
    </row>
    <row r="954" spans="1:37" x14ac:dyDescent="0.35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  <c r="AJ954" s="141"/>
      <c r="AK954" s="141"/>
    </row>
    <row r="955" spans="1:37" x14ac:dyDescent="0.3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  <c r="AH955" s="141"/>
      <c r="AI955" s="141"/>
      <c r="AJ955" s="141"/>
      <c r="AK955" s="141"/>
    </row>
    <row r="956" spans="1:37" x14ac:dyDescent="0.35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  <c r="AJ956" s="141"/>
      <c r="AK956" s="141"/>
    </row>
    <row r="957" spans="1:37" x14ac:dyDescent="0.35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  <c r="AH957" s="141"/>
      <c r="AI957" s="141"/>
      <c r="AJ957" s="141"/>
      <c r="AK957" s="141"/>
    </row>
    <row r="958" spans="1:37" x14ac:dyDescent="0.35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  <c r="AJ958" s="141"/>
      <c r="AK958" s="141"/>
    </row>
    <row r="959" spans="1:37" x14ac:dyDescent="0.35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  <c r="AH959" s="141"/>
      <c r="AI959" s="141"/>
      <c r="AJ959" s="141"/>
      <c r="AK959" s="141"/>
    </row>
    <row r="960" spans="1:37" x14ac:dyDescent="0.35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/>
      <c r="AI960" s="141"/>
      <c r="AJ960" s="141"/>
      <c r="AK960" s="141"/>
    </row>
    <row r="961" spans="1:37" x14ac:dyDescent="0.35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  <c r="AH961" s="141"/>
      <c r="AI961" s="141"/>
      <c r="AJ961" s="141"/>
      <c r="AK961" s="141"/>
    </row>
    <row r="962" spans="1:37" x14ac:dyDescent="0.35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  <c r="AH962" s="141"/>
      <c r="AI962" s="141"/>
      <c r="AJ962" s="141"/>
      <c r="AK962" s="141"/>
    </row>
    <row r="963" spans="1:37" x14ac:dyDescent="0.35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  <c r="AH963" s="141"/>
      <c r="AI963" s="141"/>
      <c r="AJ963" s="141"/>
      <c r="AK963" s="141"/>
    </row>
    <row r="964" spans="1:37" x14ac:dyDescent="0.35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  <c r="AJ964" s="141"/>
      <c r="AK964" s="141"/>
    </row>
    <row r="965" spans="1:37" x14ac:dyDescent="0.3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  <c r="AH965" s="141"/>
      <c r="AI965" s="141"/>
      <c r="AJ965" s="141"/>
      <c r="AK965" s="141"/>
    </row>
    <row r="966" spans="1:37" x14ac:dyDescent="0.35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  <c r="AH966" s="141"/>
      <c r="AI966" s="141"/>
      <c r="AJ966" s="141"/>
      <c r="AK966" s="141"/>
    </row>
    <row r="967" spans="1:37" x14ac:dyDescent="0.35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  <c r="AH967" s="141"/>
      <c r="AI967" s="141"/>
      <c r="AJ967" s="141"/>
      <c r="AK967" s="141"/>
    </row>
    <row r="968" spans="1:37" x14ac:dyDescent="0.35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  <c r="AJ968" s="141"/>
      <c r="AK968" s="141"/>
    </row>
    <row r="969" spans="1:37" x14ac:dyDescent="0.35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  <c r="AH969" s="141"/>
      <c r="AI969" s="141"/>
      <c r="AJ969" s="141"/>
      <c r="AK969" s="141"/>
    </row>
    <row r="970" spans="1:37" x14ac:dyDescent="0.35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  <c r="AH970" s="141"/>
      <c r="AI970" s="141"/>
      <c r="AJ970" s="141"/>
      <c r="AK970" s="141"/>
    </row>
    <row r="971" spans="1:37" x14ac:dyDescent="0.35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  <c r="AH971" s="141"/>
      <c r="AI971" s="141"/>
      <c r="AJ971" s="141"/>
      <c r="AK971" s="141"/>
    </row>
    <row r="972" spans="1:37" x14ac:dyDescent="0.35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  <c r="AH972" s="141"/>
      <c r="AI972" s="141"/>
      <c r="AJ972" s="141"/>
      <c r="AK972" s="141"/>
    </row>
    <row r="973" spans="1:37" x14ac:dyDescent="0.35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  <c r="AH973" s="141"/>
      <c r="AI973" s="141"/>
      <c r="AJ973" s="141"/>
      <c r="AK973" s="141"/>
    </row>
    <row r="974" spans="1:37" x14ac:dyDescent="0.35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  <c r="AH974" s="141"/>
      <c r="AI974" s="141"/>
      <c r="AJ974" s="141"/>
      <c r="AK974" s="141"/>
    </row>
    <row r="975" spans="1:37" x14ac:dyDescent="0.3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  <c r="AH975" s="141"/>
      <c r="AI975" s="141"/>
      <c r="AJ975" s="141"/>
      <c r="AK975" s="141"/>
    </row>
    <row r="976" spans="1:37" x14ac:dyDescent="0.35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  <c r="AH976" s="141"/>
      <c r="AI976" s="141"/>
      <c r="AJ976" s="141"/>
      <c r="AK976" s="141"/>
    </row>
    <row r="977" spans="1:37" x14ac:dyDescent="0.35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  <c r="AF977" s="141"/>
      <c r="AG977" s="141"/>
      <c r="AH977" s="141"/>
      <c r="AI977" s="141"/>
      <c r="AJ977" s="141"/>
      <c r="AK977" s="141"/>
    </row>
    <row r="978" spans="1:37" x14ac:dyDescent="0.35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  <c r="AF978" s="141"/>
      <c r="AG978" s="141"/>
      <c r="AH978" s="141"/>
      <c r="AI978" s="141"/>
      <c r="AJ978" s="141"/>
      <c r="AK978" s="141"/>
    </row>
    <row r="979" spans="1:37" x14ac:dyDescent="0.35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  <c r="AF979" s="141"/>
      <c r="AG979" s="141"/>
      <c r="AH979" s="141"/>
      <c r="AI979" s="141"/>
      <c r="AJ979" s="141"/>
      <c r="AK979" s="141"/>
    </row>
    <row r="980" spans="1:37" x14ac:dyDescent="0.35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  <c r="AF980" s="141"/>
      <c r="AG980" s="141"/>
      <c r="AH980" s="141"/>
      <c r="AI980" s="141"/>
      <c r="AJ980" s="141"/>
      <c r="AK980" s="141"/>
    </row>
    <row r="981" spans="1:37" x14ac:dyDescent="0.35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  <c r="AF981" s="141"/>
      <c r="AG981" s="141"/>
      <c r="AH981" s="141"/>
      <c r="AI981" s="141"/>
      <c r="AJ981" s="141"/>
      <c r="AK981" s="141"/>
    </row>
    <row r="982" spans="1:37" x14ac:dyDescent="0.35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  <c r="AF982" s="141"/>
      <c r="AG982" s="141"/>
      <c r="AH982" s="141"/>
      <c r="AI982" s="141"/>
      <c r="AJ982" s="141"/>
      <c r="AK982" s="141"/>
    </row>
    <row r="983" spans="1:37" x14ac:dyDescent="0.35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  <c r="AF983" s="141"/>
      <c r="AG983" s="141"/>
      <c r="AH983" s="141"/>
      <c r="AI983" s="141"/>
      <c r="AJ983" s="141"/>
      <c r="AK983" s="141"/>
    </row>
    <row r="984" spans="1:37" x14ac:dyDescent="0.35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  <c r="AF984" s="141"/>
      <c r="AG984" s="141"/>
      <c r="AH984" s="141"/>
      <c r="AI984" s="141"/>
      <c r="AJ984" s="141"/>
      <c r="AK984" s="141"/>
    </row>
    <row r="985" spans="1:37" x14ac:dyDescent="0.3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  <c r="AE985" s="141"/>
      <c r="AF985" s="141"/>
      <c r="AG985" s="141"/>
      <c r="AH985" s="141"/>
      <c r="AI985" s="141"/>
      <c r="AJ985" s="141"/>
      <c r="AK985" s="141"/>
    </row>
    <row r="986" spans="1:37" x14ac:dyDescent="0.35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  <c r="AE986" s="141"/>
      <c r="AF986" s="141"/>
      <c r="AG986" s="141"/>
      <c r="AH986" s="141"/>
      <c r="AI986" s="141"/>
      <c r="AJ986" s="141"/>
      <c r="AK986" s="141"/>
    </row>
    <row r="987" spans="1:37" x14ac:dyDescent="0.35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  <c r="AE987" s="141"/>
      <c r="AF987" s="141"/>
      <c r="AG987" s="141"/>
      <c r="AH987" s="141"/>
      <c r="AI987" s="141"/>
      <c r="AJ987" s="141"/>
      <c r="AK987" s="141"/>
    </row>
    <row r="988" spans="1:37" x14ac:dyDescent="0.35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  <c r="AE988" s="141"/>
      <c r="AF988" s="141"/>
      <c r="AG988" s="141"/>
      <c r="AH988" s="141"/>
      <c r="AI988" s="141"/>
      <c r="AJ988" s="141"/>
      <c r="AK988" s="141"/>
    </row>
    <row r="989" spans="1:37" x14ac:dyDescent="0.35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  <c r="AE989" s="141"/>
      <c r="AF989" s="141"/>
      <c r="AG989" s="141"/>
      <c r="AH989" s="141"/>
      <c r="AI989" s="141"/>
      <c r="AJ989" s="141"/>
      <c r="AK989" s="141"/>
    </row>
    <row r="990" spans="1:37" x14ac:dyDescent="0.35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  <c r="AE990" s="141"/>
      <c r="AF990" s="141"/>
      <c r="AG990" s="141"/>
      <c r="AH990" s="141"/>
      <c r="AI990" s="141"/>
      <c r="AJ990" s="141"/>
      <c r="AK990" s="141"/>
    </row>
    <row r="991" spans="1:37" x14ac:dyDescent="0.35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  <c r="AE991" s="141"/>
      <c r="AF991" s="141"/>
      <c r="AG991" s="141"/>
      <c r="AH991" s="141"/>
      <c r="AI991" s="141"/>
      <c r="AJ991" s="141"/>
      <c r="AK991" s="141"/>
    </row>
    <row r="992" spans="1:37" x14ac:dyDescent="0.35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  <c r="AE992" s="141"/>
      <c r="AF992" s="141"/>
      <c r="AG992" s="141"/>
      <c r="AH992" s="141"/>
      <c r="AI992" s="141"/>
      <c r="AJ992" s="141"/>
      <c r="AK992" s="141"/>
    </row>
    <row r="993" spans="1:37" x14ac:dyDescent="0.35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  <c r="AD993" s="141"/>
      <c r="AE993" s="141"/>
      <c r="AF993" s="141"/>
      <c r="AG993" s="141"/>
      <c r="AH993" s="141"/>
      <c r="AI993" s="141"/>
      <c r="AJ993" s="141"/>
      <c r="AK993" s="141"/>
    </row>
    <row r="994" spans="1:37" x14ac:dyDescent="0.35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  <c r="AD994" s="141"/>
      <c r="AE994" s="141"/>
      <c r="AF994" s="141"/>
      <c r="AG994" s="141"/>
      <c r="AH994" s="141"/>
      <c r="AI994" s="141"/>
      <c r="AJ994" s="141"/>
      <c r="AK994" s="141"/>
    </row>
    <row r="995" spans="1:37" x14ac:dyDescent="0.3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  <c r="AD995" s="141"/>
      <c r="AE995" s="141"/>
      <c r="AF995" s="141"/>
      <c r="AG995" s="141"/>
      <c r="AH995" s="141"/>
      <c r="AI995" s="141"/>
      <c r="AJ995" s="141"/>
      <c r="AK995" s="141"/>
    </row>
    <row r="996" spans="1:37" x14ac:dyDescent="0.35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  <c r="AD996" s="141"/>
      <c r="AE996" s="141"/>
      <c r="AF996" s="141"/>
      <c r="AG996" s="141"/>
      <c r="AH996" s="141"/>
      <c r="AI996" s="141"/>
      <c r="AJ996" s="141"/>
      <c r="AK996" s="141"/>
    </row>
    <row r="997" spans="1:37" x14ac:dyDescent="0.35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  <c r="AD997" s="141"/>
      <c r="AE997" s="141"/>
      <c r="AF997" s="141"/>
      <c r="AG997" s="141"/>
      <c r="AH997" s="141"/>
      <c r="AI997" s="141"/>
      <c r="AJ997" s="141"/>
      <c r="AK997" s="141"/>
    </row>
    <row r="998" spans="1:37" x14ac:dyDescent="0.35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  <c r="AD998" s="141"/>
      <c r="AE998" s="141"/>
      <c r="AF998" s="141"/>
      <c r="AG998" s="141"/>
      <c r="AH998" s="141"/>
      <c r="AI998" s="141"/>
      <c r="AJ998" s="141"/>
      <c r="AK998" s="141"/>
    </row>
    <row r="999" spans="1:37" x14ac:dyDescent="0.35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  <c r="AD999" s="141"/>
      <c r="AE999" s="141"/>
      <c r="AF999" s="141"/>
      <c r="AG999" s="141"/>
      <c r="AH999" s="141"/>
      <c r="AI999" s="141"/>
      <c r="AJ999" s="141"/>
      <c r="AK999" s="141"/>
    </row>
    <row r="1000" spans="1:37" x14ac:dyDescent="0.35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  <c r="AD1000" s="141"/>
      <c r="AE1000" s="141"/>
      <c r="AF1000" s="141"/>
      <c r="AG1000" s="141"/>
      <c r="AH1000" s="141"/>
      <c r="AI1000" s="141"/>
      <c r="AJ1000" s="141"/>
      <c r="AK1000" s="141"/>
    </row>
    <row r="1001" spans="1:37" x14ac:dyDescent="0.35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  <c r="AB1001" s="141"/>
      <c r="AC1001" s="141"/>
      <c r="AD1001" s="141"/>
      <c r="AE1001" s="141"/>
      <c r="AF1001" s="141"/>
      <c r="AG1001" s="141"/>
      <c r="AH1001" s="141"/>
      <c r="AI1001" s="141"/>
      <c r="AJ1001" s="141"/>
      <c r="AK1001" s="141"/>
    </row>
    <row r="1002" spans="1:37" x14ac:dyDescent="0.35">
      <c r="A1002" s="141"/>
      <c r="B1002" s="141"/>
      <c r="C1002" s="141"/>
      <c r="D1002" s="141"/>
      <c r="E1002" s="141"/>
      <c r="F1002" s="141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  <c r="AA1002" s="141"/>
      <c r="AB1002" s="141"/>
      <c r="AC1002" s="141"/>
      <c r="AD1002" s="141"/>
      <c r="AE1002" s="141"/>
      <c r="AF1002" s="141"/>
      <c r="AG1002" s="141"/>
      <c r="AH1002" s="141"/>
      <c r="AI1002" s="141"/>
      <c r="AJ1002" s="141"/>
      <c r="AK1002" s="141"/>
    </row>
    <row r="1003" spans="1:37" x14ac:dyDescent="0.35">
      <c r="A1003" s="141"/>
      <c r="B1003" s="141"/>
      <c r="C1003" s="141"/>
      <c r="D1003" s="141"/>
      <c r="E1003" s="141"/>
      <c r="F1003" s="141"/>
      <c r="G1003" s="141"/>
      <c r="H1003" s="141"/>
      <c r="I1003" s="141"/>
      <c r="J1003" s="141"/>
      <c r="K1003" s="141"/>
      <c r="L1003" s="141"/>
      <c r="M1003" s="141"/>
      <c r="N1003" s="141"/>
      <c r="O1003" s="141"/>
      <c r="P1003" s="141"/>
      <c r="Q1003" s="141"/>
      <c r="R1003" s="141"/>
      <c r="S1003" s="141"/>
      <c r="T1003" s="141"/>
      <c r="U1003" s="141"/>
      <c r="V1003" s="141"/>
      <c r="W1003" s="141"/>
      <c r="X1003" s="141"/>
      <c r="Y1003" s="141"/>
      <c r="Z1003" s="141"/>
      <c r="AA1003" s="141"/>
      <c r="AB1003" s="141"/>
      <c r="AC1003" s="141"/>
      <c r="AD1003" s="141"/>
      <c r="AE1003" s="141"/>
      <c r="AF1003" s="141"/>
      <c r="AG1003" s="141"/>
      <c r="AH1003" s="141"/>
      <c r="AI1003" s="141"/>
      <c r="AJ1003" s="141"/>
      <c r="AK1003" s="141"/>
    </row>
    <row r="1004" spans="1:37" x14ac:dyDescent="0.35">
      <c r="A1004" s="141"/>
      <c r="B1004" s="141"/>
      <c r="C1004" s="141"/>
      <c r="D1004" s="141"/>
      <c r="E1004" s="141"/>
      <c r="F1004" s="141"/>
      <c r="G1004" s="141"/>
      <c r="H1004" s="141"/>
      <c r="I1004" s="141"/>
      <c r="J1004" s="141"/>
      <c r="K1004" s="141"/>
      <c r="L1004" s="141"/>
      <c r="M1004" s="141"/>
      <c r="N1004" s="141"/>
      <c r="O1004" s="141"/>
      <c r="P1004" s="141"/>
      <c r="Q1004" s="141"/>
      <c r="R1004" s="141"/>
      <c r="S1004" s="141"/>
      <c r="T1004" s="141"/>
      <c r="U1004" s="141"/>
      <c r="V1004" s="141"/>
      <c r="W1004" s="141"/>
      <c r="X1004" s="141"/>
      <c r="Y1004" s="141"/>
      <c r="Z1004" s="141"/>
      <c r="AA1004" s="141"/>
      <c r="AB1004" s="141"/>
      <c r="AC1004" s="141"/>
      <c r="AD1004" s="141"/>
      <c r="AE1004" s="141"/>
      <c r="AF1004" s="141"/>
      <c r="AG1004" s="141"/>
      <c r="AH1004" s="141"/>
      <c r="AI1004" s="141"/>
      <c r="AJ1004" s="141"/>
      <c r="AK1004" s="141"/>
    </row>
    <row r="1005" spans="1:37" x14ac:dyDescent="0.35">
      <c r="A1005" s="141"/>
      <c r="B1005" s="141"/>
      <c r="C1005" s="141"/>
      <c r="D1005" s="141"/>
      <c r="E1005" s="141"/>
      <c r="F1005" s="141"/>
      <c r="G1005" s="141"/>
      <c r="H1005" s="141"/>
      <c r="I1005" s="141"/>
      <c r="J1005" s="141"/>
      <c r="K1005" s="141"/>
      <c r="L1005" s="141"/>
      <c r="M1005" s="141"/>
      <c r="N1005" s="141"/>
      <c r="O1005" s="141"/>
      <c r="P1005" s="141"/>
      <c r="Q1005" s="141"/>
      <c r="R1005" s="141"/>
      <c r="S1005" s="141"/>
      <c r="T1005" s="141"/>
      <c r="U1005" s="141"/>
      <c r="V1005" s="141"/>
      <c r="W1005" s="141"/>
      <c r="X1005" s="141"/>
      <c r="Y1005" s="141"/>
      <c r="Z1005" s="141"/>
      <c r="AA1005" s="141"/>
      <c r="AB1005" s="141"/>
      <c r="AC1005" s="141"/>
      <c r="AD1005" s="141"/>
      <c r="AE1005" s="141"/>
      <c r="AF1005" s="141"/>
      <c r="AG1005" s="141"/>
      <c r="AH1005" s="141"/>
      <c r="AI1005" s="141"/>
      <c r="AJ1005" s="141"/>
      <c r="AK1005" s="141"/>
    </row>
    <row r="1006" spans="1:37" x14ac:dyDescent="0.35">
      <c r="A1006" s="141"/>
      <c r="B1006" s="141"/>
      <c r="C1006" s="141"/>
      <c r="D1006" s="141"/>
      <c r="E1006" s="141"/>
      <c r="F1006" s="141"/>
      <c r="G1006" s="141"/>
      <c r="H1006" s="141"/>
      <c r="I1006" s="141"/>
      <c r="J1006" s="141"/>
      <c r="K1006" s="141"/>
      <c r="L1006" s="141"/>
      <c r="M1006" s="141"/>
      <c r="N1006" s="141"/>
      <c r="O1006" s="141"/>
      <c r="P1006" s="141"/>
      <c r="Q1006" s="141"/>
      <c r="R1006" s="141"/>
      <c r="S1006" s="141"/>
      <c r="T1006" s="141"/>
      <c r="U1006" s="141"/>
      <c r="V1006" s="141"/>
      <c r="W1006" s="141"/>
      <c r="X1006" s="141"/>
      <c r="Y1006" s="141"/>
      <c r="Z1006" s="141"/>
      <c r="AA1006" s="141"/>
      <c r="AB1006" s="141"/>
      <c r="AC1006" s="141"/>
      <c r="AD1006" s="141"/>
      <c r="AE1006" s="141"/>
      <c r="AF1006" s="141"/>
      <c r="AG1006" s="141"/>
      <c r="AH1006" s="141"/>
      <c r="AI1006" s="141"/>
      <c r="AJ1006" s="141"/>
      <c r="AK1006" s="14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K986"/>
  <sheetViews>
    <sheetView workbookViewId="0"/>
  </sheetViews>
  <sheetFormatPr defaultColWidth="14.453125" defaultRowHeight="15" customHeight="1" x14ac:dyDescent="0.35"/>
  <sheetData>
    <row r="1" spans="1:37" x14ac:dyDescent="0.35">
      <c r="A1" s="286" t="s">
        <v>298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</row>
    <row r="2" spans="1:37" x14ac:dyDescent="0.35">
      <c r="A2" s="141"/>
      <c r="B2" s="141"/>
      <c r="C2" s="141"/>
      <c r="D2" s="141"/>
      <c r="E2" s="287" t="s">
        <v>1</v>
      </c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</row>
    <row r="3" spans="1:37" x14ac:dyDescent="0.35">
      <c r="A3" s="141"/>
      <c r="B3" s="141"/>
      <c r="C3" s="141"/>
      <c r="D3" s="141"/>
      <c r="E3" s="288" t="s">
        <v>299</v>
      </c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</row>
    <row r="4" spans="1:37" x14ac:dyDescent="0.35">
      <c r="A4" s="141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</row>
    <row r="5" spans="1:37" x14ac:dyDescent="0.35">
      <c r="A5" s="289"/>
      <c r="B5" s="289"/>
      <c r="C5" s="289"/>
      <c r="D5" s="289"/>
      <c r="E5" s="290" t="s">
        <v>341</v>
      </c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</row>
    <row r="6" spans="1:37" x14ac:dyDescent="0.35">
      <c r="A6" s="289"/>
      <c r="B6" s="291" t="b">
        <v>1</v>
      </c>
      <c r="C6" s="292" t="b">
        <v>1</v>
      </c>
      <c r="D6" s="292" t="b">
        <v>1</v>
      </c>
      <c r="E6" s="292" t="b">
        <v>1</v>
      </c>
      <c r="F6" s="292" t="b">
        <v>1</v>
      </c>
      <c r="G6" s="292" t="b">
        <v>1</v>
      </c>
      <c r="H6" s="292" t="b">
        <v>1</v>
      </c>
      <c r="I6" s="292" t="b">
        <v>1</v>
      </c>
      <c r="J6" s="292" t="b">
        <v>1</v>
      </c>
      <c r="K6" s="292" t="b">
        <v>1</v>
      </c>
      <c r="L6" s="292" t="b">
        <v>1</v>
      </c>
      <c r="M6" s="292" t="b">
        <v>1</v>
      </c>
      <c r="N6" s="292" t="b">
        <v>1</v>
      </c>
      <c r="O6" s="292" t="b">
        <v>1</v>
      </c>
      <c r="P6" s="292" t="b">
        <v>1</v>
      </c>
      <c r="Q6" s="292" t="b">
        <v>1</v>
      </c>
      <c r="R6" s="292" t="b">
        <v>1</v>
      </c>
      <c r="S6" s="292" t="b">
        <v>1</v>
      </c>
      <c r="T6" s="292" t="b">
        <v>1</v>
      </c>
      <c r="U6" s="292" t="b">
        <v>1</v>
      </c>
      <c r="V6" s="292" t="b">
        <v>1</v>
      </c>
      <c r="W6" s="292" t="b">
        <v>1</v>
      </c>
      <c r="X6" s="292" t="b">
        <v>1</v>
      </c>
      <c r="Y6" s="292" t="b">
        <v>1</v>
      </c>
      <c r="Z6" s="292" t="b">
        <v>1</v>
      </c>
      <c r="AA6" s="292" t="b">
        <v>1</v>
      </c>
      <c r="AB6" s="292" t="b">
        <v>1</v>
      </c>
      <c r="AC6" s="292" t="b">
        <v>1</v>
      </c>
      <c r="AD6" s="292" t="b">
        <v>1</v>
      </c>
      <c r="AE6" s="292" t="b">
        <v>1</v>
      </c>
      <c r="AF6" s="292" t="b">
        <v>1</v>
      </c>
      <c r="AG6" s="292" t="b">
        <v>1</v>
      </c>
      <c r="AH6" s="292" t="b">
        <v>1</v>
      </c>
      <c r="AI6" s="292" t="b">
        <v>1</v>
      </c>
      <c r="AJ6" s="292" t="b">
        <v>1</v>
      </c>
      <c r="AK6" s="289"/>
    </row>
    <row r="7" spans="1:37" x14ac:dyDescent="0.35">
      <c r="A7" s="289"/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  <c r="AD7" s="289"/>
      <c r="AE7" s="289"/>
      <c r="AF7" s="289"/>
      <c r="AG7" s="289"/>
      <c r="AH7" s="289"/>
      <c r="AI7" s="289"/>
      <c r="AJ7" s="289"/>
      <c r="AK7" s="289"/>
    </row>
    <row r="8" spans="1:37" x14ac:dyDescent="0.35">
      <c r="A8" s="293" t="s">
        <v>301</v>
      </c>
      <c r="B8" s="294" t="s">
        <v>302</v>
      </c>
      <c r="C8" s="294" t="s">
        <v>303</v>
      </c>
      <c r="D8" s="294" t="s">
        <v>97</v>
      </c>
      <c r="E8" s="294" t="s">
        <v>99</v>
      </c>
      <c r="F8" s="294" t="s">
        <v>304</v>
      </c>
      <c r="G8" s="294" t="s">
        <v>100</v>
      </c>
      <c r="H8" s="294" t="s">
        <v>94</v>
      </c>
      <c r="I8" s="294" t="s">
        <v>104</v>
      </c>
      <c r="J8" s="294" t="s">
        <v>15</v>
      </c>
      <c r="K8" s="294" t="s">
        <v>305</v>
      </c>
      <c r="L8" s="294" t="s">
        <v>306</v>
      </c>
      <c r="M8" s="294" t="s">
        <v>307</v>
      </c>
      <c r="N8" s="294" t="s">
        <v>308</v>
      </c>
      <c r="O8" s="294" t="s">
        <v>309</v>
      </c>
      <c r="P8" s="294" t="s">
        <v>310</v>
      </c>
      <c r="Q8" s="294" t="s">
        <v>101</v>
      </c>
      <c r="R8" s="294" t="s">
        <v>102</v>
      </c>
      <c r="S8" s="294" t="s">
        <v>20</v>
      </c>
      <c r="T8" s="294" t="s">
        <v>255</v>
      </c>
      <c r="U8" s="294" t="s">
        <v>39</v>
      </c>
      <c r="V8" s="294" t="s">
        <v>61</v>
      </c>
      <c r="W8" s="294" t="s">
        <v>9</v>
      </c>
      <c r="X8" s="294" t="s">
        <v>4</v>
      </c>
      <c r="Y8" s="294" t="s">
        <v>254</v>
      </c>
      <c r="Z8" s="294" t="s">
        <v>96</v>
      </c>
      <c r="AA8" s="294" t="s">
        <v>259</v>
      </c>
      <c r="AB8" s="294" t="s">
        <v>260</v>
      </c>
      <c r="AC8" s="294" t="s">
        <v>261</v>
      </c>
      <c r="AD8" s="294" t="s">
        <v>262</v>
      </c>
      <c r="AE8" s="294" t="s">
        <v>256</v>
      </c>
      <c r="AF8" s="294" t="s">
        <v>257</v>
      </c>
      <c r="AG8" s="294" t="s">
        <v>258</v>
      </c>
      <c r="AH8" s="294" t="s">
        <v>78</v>
      </c>
      <c r="AI8" s="294" t="s">
        <v>95</v>
      </c>
      <c r="AJ8" s="294" t="s">
        <v>311</v>
      </c>
      <c r="AK8" s="295" t="s">
        <v>312</v>
      </c>
    </row>
    <row r="9" spans="1:37" x14ac:dyDescent="0.35">
      <c r="A9" s="296"/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</row>
    <row r="10" spans="1:37" x14ac:dyDescent="0.35">
      <c r="A10" s="297" t="s">
        <v>313</v>
      </c>
      <c r="B10" s="297">
        <v>689700</v>
      </c>
      <c r="C10" s="297">
        <v>927218</v>
      </c>
      <c r="D10" s="298">
        <v>509937</v>
      </c>
      <c r="E10" s="297">
        <v>582323</v>
      </c>
      <c r="F10" s="297">
        <v>377938</v>
      </c>
      <c r="G10" s="297">
        <v>1946708</v>
      </c>
      <c r="H10" s="297">
        <v>851166</v>
      </c>
      <c r="I10" s="297">
        <v>1311858.5</v>
      </c>
      <c r="J10" s="297">
        <v>563919</v>
      </c>
      <c r="K10" s="297">
        <v>621224.5</v>
      </c>
      <c r="L10" s="297">
        <v>314438</v>
      </c>
      <c r="M10" s="297">
        <v>807788</v>
      </c>
      <c r="N10" s="299">
        <v>311854</v>
      </c>
      <c r="O10" s="299">
        <v>1606289.5</v>
      </c>
      <c r="P10" s="299">
        <v>277597</v>
      </c>
      <c r="Q10" s="300">
        <v>1098556</v>
      </c>
      <c r="R10" s="300">
        <v>527270</v>
      </c>
      <c r="S10" s="299">
        <v>631498</v>
      </c>
      <c r="T10" s="299">
        <v>1298942</v>
      </c>
      <c r="U10" s="297">
        <v>1140184</v>
      </c>
      <c r="V10" s="301">
        <v>518938</v>
      </c>
      <c r="W10" s="299">
        <v>859564</v>
      </c>
      <c r="X10" s="299">
        <v>665425.5</v>
      </c>
      <c r="Y10" s="299">
        <v>745637</v>
      </c>
      <c r="Z10" s="299">
        <v>712540</v>
      </c>
      <c r="AA10" s="299">
        <v>801371</v>
      </c>
      <c r="AB10" s="299">
        <v>977416</v>
      </c>
      <c r="AC10" s="299">
        <v>724779</v>
      </c>
      <c r="AD10" s="299">
        <v>694997</v>
      </c>
      <c r="AE10" s="299">
        <v>658705</v>
      </c>
      <c r="AF10" s="299">
        <v>1698314.5</v>
      </c>
      <c r="AG10" s="299">
        <v>413679</v>
      </c>
      <c r="AH10" s="299">
        <v>543866</v>
      </c>
      <c r="AI10" s="299">
        <v>749680</v>
      </c>
      <c r="AJ10" s="302">
        <v>278975.5</v>
      </c>
      <c r="AK10" s="303">
        <f t="shared" ref="AK10:AK11" si="0">SUM(B10:AJ10)</f>
        <v>27440296</v>
      </c>
    </row>
    <row r="11" spans="1:37" x14ac:dyDescent="0.35">
      <c r="A11" s="304" t="s">
        <v>314</v>
      </c>
      <c r="B11" s="305">
        <v>456771.46</v>
      </c>
      <c r="C11" s="305">
        <v>629906.31000000006</v>
      </c>
      <c r="D11" s="306">
        <v>348636.17</v>
      </c>
      <c r="E11" s="305">
        <v>388105.71</v>
      </c>
      <c r="F11" s="305">
        <v>249356.83</v>
      </c>
      <c r="G11" s="305">
        <v>1309379.69</v>
      </c>
      <c r="H11" s="305">
        <v>580681.13</v>
      </c>
      <c r="I11" s="305">
        <v>892430.09</v>
      </c>
      <c r="J11" s="305">
        <v>379159.72</v>
      </c>
      <c r="K11" s="305">
        <v>420378.71</v>
      </c>
      <c r="L11" s="305">
        <v>210784.75</v>
      </c>
      <c r="M11" s="305">
        <v>542896.76</v>
      </c>
      <c r="N11" s="307">
        <v>206777.03</v>
      </c>
      <c r="O11" s="307">
        <v>1098338.57</v>
      </c>
      <c r="P11" s="307">
        <v>188336.21</v>
      </c>
      <c r="Q11" s="307">
        <v>733378.13</v>
      </c>
      <c r="R11" s="307">
        <v>353757.1</v>
      </c>
      <c r="S11" s="307">
        <v>421643.9</v>
      </c>
      <c r="T11" s="307">
        <v>888505.2</v>
      </c>
      <c r="U11" s="307">
        <v>771075.76</v>
      </c>
      <c r="V11" s="269">
        <v>350451.91</v>
      </c>
      <c r="W11" s="307">
        <v>578034.1</v>
      </c>
      <c r="X11" s="307">
        <v>446528.32</v>
      </c>
      <c r="Y11" s="307">
        <v>500504.31</v>
      </c>
      <c r="Z11" s="307">
        <v>476149.65</v>
      </c>
      <c r="AA11" s="307">
        <v>531915.63</v>
      </c>
      <c r="AB11" s="307">
        <v>641332</v>
      </c>
      <c r="AC11" s="307">
        <v>484166.77</v>
      </c>
      <c r="AD11" s="307">
        <v>458917.54</v>
      </c>
      <c r="AE11" s="307">
        <v>441565.75</v>
      </c>
      <c r="AF11" s="307">
        <v>1142958.1200000001</v>
      </c>
      <c r="AG11" s="307">
        <v>275023.88</v>
      </c>
      <c r="AH11" s="307">
        <v>366024.62</v>
      </c>
      <c r="AI11" s="307">
        <v>502148</v>
      </c>
      <c r="AJ11" s="308">
        <v>184753.68</v>
      </c>
      <c r="AK11" s="303">
        <f t="shared" si="0"/>
        <v>18450773.509999998</v>
      </c>
    </row>
    <row r="12" spans="1:37" x14ac:dyDescent="0.35">
      <c r="A12" s="304" t="s">
        <v>266</v>
      </c>
      <c r="B12" s="305">
        <f t="shared" ref="B12:R12" si="1">B10-B11</f>
        <v>232928.53999999998</v>
      </c>
      <c r="C12" s="305">
        <f t="shared" si="1"/>
        <v>297311.68999999994</v>
      </c>
      <c r="D12" s="305">
        <f t="shared" si="1"/>
        <v>161300.83000000002</v>
      </c>
      <c r="E12" s="305">
        <f t="shared" si="1"/>
        <v>194217.28999999998</v>
      </c>
      <c r="F12" s="305">
        <f t="shared" si="1"/>
        <v>128581.17000000001</v>
      </c>
      <c r="G12" s="305">
        <f t="shared" si="1"/>
        <v>637328.31000000006</v>
      </c>
      <c r="H12" s="305">
        <f t="shared" si="1"/>
        <v>270484.87</v>
      </c>
      <c r="I12" s="305">
        <f t="shared" si="1"/>
        <v>419428.41000000003</v>
      </c>
      <c r="J12" s="305">
        <f t="shared" si="1"/>
        <v>184759.28000000003</v>
      </c>
      <c r="K12" s="305">
        <f t="shared" si="1"/>
        <v>200845.78999999998</v>
      </c>
      <c r="L12" s="305">
        <f t="shared" si="1"/>
        <v>103653.25</v>
      </c>
      <c r="M12" s="305">
        <f t="shared" si="1"/>
        <v>264891.24</v>
      </c>
      <c r="N12" s="305">
        <f t="shared" si="1"/>
        <v>105076.97</v>
      </c>
      <c r="O12" s="305">
        <f t="shared" si="1"/>
        <v>507950.92999999993</v>
      </c>
      <c r="P12" s="305">
        <f t="shared" si="1"/>
        <v>89260.790000000008</v>
      </c>
      <c r="Q12" s="305">
        <f t="shared" si="1"/>
        <v>365177.87</v>
      </c>
      <c r="R12" s="305">
        <f t="shared" si="1"/>
        <v>173512.90000000002</v>
      </c>
      <c r="S12" s="305">
        <v>209854.1</v>
      </c>
      <c r="T12" s="305">
        <f t="shared" ref="T12:AD12" si="2">T10-T11</f>
        <v>410436.80000000005</v>
      </c>
      <c r="U12" s="305">
        <f t="shared" si="2"/>
        <v>369108.24</v>
      </c>
      <c r="V12" s="305">
        <f t="shared" si="2"/>
        <v>168486.09000000003</v>
      </c>
      <c r="W12" s="305">
        <f t="shared" si="2"/>
        <v>281529.90000000002</v>
      </c>
      <c r="X12" s="305">
        <f t="shared" si="2"/>
        <v>218897.18</v>
      </c>
      <c r="Y12" s="305">
        <f t="shared" si="2"/>
        <v>245132.69</v>
      </c>
      <c r="Z12" s="305">
        <f t="shared" si="2"/>
        <v>236390.34999999998</v>
      </c>
      <c r="AA12" s="305">
        <f t="shared" si="2"/>
        <v>269455.37</v>
      </c>
      <c r="AB12" s="305">
        <f t="shared" si="2"/>
        <v>336084</v>
      </c>
      <c r="AC12" s="305">
        <f t="shared" si="2"/>
        <v>240612.22999999998</v>
      </c>
      <c r="AD12" s="305">
        <f t="shared" si="2"/>
        <v>236079.46000000002</v>
      </c>
      <c r="AE12" s="305">
        <v>217139.25</v>
      </c>
      <c r="AF12" s="305">
        <f t="shared" ref="AF12:AK12" si="3">AF10-AF11</f>
        <v>555356.37999999989</v>
      </c>
      <c r="AG12" s="305">
        <f t="shared" si="3"/>
        <v>138655.12</v>
      </c>
      <c r="AH12" s="305">
        <f t="shared" si="3"/>
        <v>177841.38</v>
      </c>
      <c r="AI12" s="305">
        <f t="shared" si="3"/>
        <v>247532</v>
      </c>
      <c r="AJ12" s="305">
        <f t="shared" si="3"/>
        <v>94221.82</v>
      </c>
      <c r="AK12" s="305">
        <f t="shared" si="3"/>
        <v>8989522.4900000021</v>
      </c>
    </row>
    <row r="13" spans="1:37" x14ac:dyDescent="0.35">
      <c r="A13" s="309" t="s">
        <v>267</v>
      </c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1"/>
    </row>
    <row r="14" spans="1:37" x14ac:dyDescent="0.35">
      <c r="A14" s="304" t="s">
        <v>90</v>
      </c>
      <c r="B14" s="305">
        <v>14390</v>
      </c>
      <c r="C14" s="305">
        <v>17987.5</v>
      </c>
      <c r="D14" s="305">
        <v>7195</v>
      </c>
      <c r="E14" s="305">
        <v>14390.5</v>
      </c>
      <c r="F14" s="305">
        <v>7195.5</v>
      </c>
      <c r="G14" s="305">
        <v>25183.5</v>
      </c>
      <c r="H14" s="305">
        <v>14390.5</v>
      </c>
      <c r="I14" s="305">
        <v>21585.5</v>
      </c>
      <c r="J14" s="305">
        <v>14390.5</v>
      </c>
      <c r="K14" s="305">
        <v>14390</v>
      </c>
      <c r="L14" s="307">
        <v>10792.5</v>
      </c>
      <c r="M14" s="307">
        <v>17987.5</v>
      </c>
      <c r="N14" s="307">
        <v>7195</v>
      </c>
      <c r="O14" s="307">
        <v>28580</v>
      </c>
      <c r="P14" s="307">
        <v>7195</v>
      </c>
      <c r="Q14" s="307">
        <v>21584.5</v>
      </c>
      <c r="R14" s="307">
        <v>10792.5</v>
      </c>
      <c r="S14" s="307">
        <v>10792.5</v>
      </c>
      <c r="T14" s="307">
        <v>21488</v>
      </c>
      <c r="U14" s="307">
        <v>17990</v>
      </c>
      <c r="V14" s="308">
        <v>10794</v>
      </c>
      <c r="W14" s="307">
        <v>17890</v>
      </c>
      <c r="X14" s="305">
        <v>10694</v>
      </c>
      <c r="Y14" s="307">
        <v>17990</v>
      </c>
      <c r="Z14" s="307">
        <v>10794</v>
      </c>
      <c r="AA14" s="307">
        <v>14392</v>
      </c>
      <c r="AB14" s="307">
        <v>14292</v>
      </c>
      <c r="AC14" s="307">
        <v>14392</v>
      </c>
      <c r="AD14" s="307">
        <v>17890</v>
      </c>
      <c r="AE14" s="307">
        <v>10694</v>
      </c>
      <c r="AF14" s="307">
        <v>32152.5</v>
      </c>
      <c r="AG14" s="307">
        <v>10718</v>
      </c>
      <c r="AH14" s="307">
        <v>10797</v>
      </c>
      <c r="AI14" s="307">
        <v>14392</v>
      </c>
      <c r="AJ14" s="308">
        <v>3693</v>
      </c>
      <c r="AK14" s="303">
        <f t="shared" ref="AK14:AK49" si="4">SUM(B14:AJ14)</f>
        <v>517070.5</v>
      </c>
    </row>
    <row r="15" spans="1:37" x14ac:dyDescent="0.35">
      <c r="A15" s="313" t="s">
        <v>91</v>
      </c>
      <c r="B15" s="314">
        <v>12728</v>
      </c>
      <c r="C15" s="314">
        <v>19092</v>
      </c>
      <c r="D15" s="314">
        <v>7955</v>
      </c>
      <c r="E15" s="314">
        <v>12728</v>
      </c>
      <c r="F15" s="314">
        <v>6364</v>
      </c>
      <c r="G15" s="314">
        <v>31820</v>
      </c>
      <c r="H15" s="314">
        <v>12728</v>
      </c>
      <c r="I15" s="314">
        <v>23865</v>
      </c>
      <c r="J15" s="314">
        <v>9546</v>
      </c>
      <c r="K15" s="314">
        <v>9546</v>
      </c>
      <c r="L15" s="314">
        <v>6364</v>
      </c>
      <c r="M15" s="314">
        <v>14319</v>
      </c>
      <c r="N15" s="314">
        <v>7955</v>
      </c>
      <c r="O15" s="314">
        <v>22274</v>
      </c>
      <c r="P15" s="314">
        <v>4773</v>
      </c>
      <c r="Q15" s="314">
        <v>17501</v>
      </c>
      <c r="R15" s="314">
        <v>11137</v>
      </c>
      <c r="S15" s="314">
        <v>11137</v>
      </c>
      <c r="T15" s="314">
        <v>20683</v>
      </c>
      <c r="U15" s="314">
        <v>20822</v>
      </c>
      <c r="V15" s="316">
        <v>12728</v>
      </c>
      <c r="W15" s="314">
        <v>16049</v>
      </c>
      <c r="X15" s="314">
        <v>11137</v>
      </c>
      <c r="Y15" s="314">
        <v>12728</v>
      </c>
      <c r="Z15" s="314">
        <v>11137</v>
      </c>
      <c r="AA15" s="314">
        <v>17022</v>
      </c>
      <c r="AB15" s="314">
        <v>17300</v>
      </c>
      <c r="AC15" s="314">
        <v>13840</v>
      </c>
      <c r="AD15" s="314">
        <v>13840</v>
      </c>
      <c r="AE15" s="314">
        <v>13840</v>
      </c>
      <c r="AF15" s="314">
        <v>31140</v>
      </c>
      <c r="AG15" s="314">
        <v>8650</v>
      </c>
      <c r="AH15" s="314">
        <v>13840</v>
      </c>
      <c r="AI15" s="314">
        <v>12110</v>
      </c>
      <c r="AJ15" s="316">
        <v>4773</v>
      </c>
      <c r="AK15" s="303">
        <f t="shared" si="4"/>
        <v>493471</v>
      </c>
    </row>
    <row r="16" spans="1:37" x14ac:dyDescent="0.35">
      <c r="A16" s="317" t="s">
        <v>92</v>
      </c>
      <c r="B16" s="307">
        <v>15744</v>
      </c>
      <c r="C16" s="307">
        <v>22304</v>
      </c>
      <c r="D16" s="307">
        <v>15744</v>
      </c>
      <c r="E16" s="307">
        <v>13120</v>
      </c>
      <c r="F16" s="307">
        <v>6560</v>
      </c>
      <c r="G16" s="307">
        <v>44608</v>
      </c>
      <c r="H16" s="307">
        <v>19680</v>
      </c>
      <c r="I16" s="307">
        <v>35424</v>
      </c>
      <c r="J16" s="307">
        <v>15290</v>
      </c>
      <c r="K16" s="307">
        <v>10496</v>
      </c>
      <c r="L16" s="307">
        <v>5248</v>
      </c>
      <c r="M16" s="307">
        <v>22304</v>
      </c>
      <c r="N16" s="307">
        <v>7872</v>
      </c>
      <c r="O16" s="307">
        <v>31488</v>
      </c>
      <c r="P16" s="307">
        <v>6560</v>
      </c>
      <c r="Q16" s="307">
        <v>20992</v>
      </c>
      <c r="R16" s="307">
        <v>11176</v>
      </c>
      <c r="S16" s="307">
        <v>12961</v>
      </c>
      <c r="T16" s="307">
        <v>26967</v>
      </c>
      <c r="U16" s="307">
        <v>23616</v>
      </c>
      <c r="V16" s="308">
        <v>14432</v>
      </c>
      <c r="W16" s="307">
        <v>14432</v>
      </c>
      <c r="X16" s="318">
        <v>15677</v>
      </c>
      <c r="Y16" s="307">
        <v>15419</v>
      </c>
      <c r="Z16" s="307">
        <v>16894</v>
      </c>
      <c r="AA16" s="307">
        <v>11764</v>
      </c>
      <c r="AB16" s="307">
        <v>16060</v>
      </c>
      <c r="AC16" s="307">
        <v>9648</v>
      </c>
      <c r="AD16" s="307">
        <v>10854</v>
      </c>
      <c r="AE16" s="307">
        <v>12060</v>
      </c>
      <c r="AF16" s="307">
        <v>30009</v>
      </c>
      <c r="AG16" s="307">
        <v>7938</v>
      </c>
      <c r="AH16" s="307">
        <v>9964</v>
      </c>
      <c r="AI16" s="307">
        <v>10960</v>
      </c>
      <c r="AJ16" s="308">
        <v>5248</v>
      </c>
      <c r="AK16" s="303">
        <f t="shared" si="4"/>
        <v>569513</v>
      </c>
    </row>
    <row r="17" spans="1:37" x14ac:dyDescent="0.35">
      <c r="A17" s="313" t="s">
        <v>268</v>
      </c>
      <c r="B17" s="314">
        <v>2970</v>
      </c>
      <c r="C17" s="314">
        <v>3780</v>
      </c>
      <c r="D17" s="314">
        <v>3240</v>
      </c>
      <c r="E17" s="314">
        <v>3510</v>
      </c>
      <c r="F17" s="314">
        <v>1620</v>
      </c>
      <c r="G17" s="314">
        <v>6804</v>
      </c>
      <c r="H17" s="314">
        <v>2970</v>
      </c>
      <c r="I17" s="314">
        <v>4914</v>
      </c>
      <c r="J17" s="314">
        <v>2970</v>
      </c>
      <c r="K17" s="314">
        <v>2700</v>
      </c>
      <c r="L17" s="314">
        <v>1890</v>
      </c>
      <c r="M17" s="314">
        <v>4590</v>
      </c>
      <c r="N17" s="314">
        <v>1350</v>
      </c>
      <c r="O17" s="314">
        <v>7290</v>
      </c>
      <c r="P17" s="314">
        <v>1890</v>
      </c>
      <c r="Q17" s="314">
        <v>6750</v>
      </c>
      <c r="R17" s="314">
        <v>2430</v>
      </c>
      <c r="S17" s="314">
        <v>4050</v>
      </c>
      <c r="T17" s="314">
        <v>5940</v>
      </c>
      <c r="U17" s="314">
        <v>5400</v>
      </c>
      <c r="V17" s="316">
        <v>3240</v>
      </c>
      <c r="W17" s="314">
        <v>5820</v>
      </c>
      <c r="X17" s="314">
        <v>3510</v>
      </c>
      <c r="Y17" s="314">
        <v>5400</v>
      </c>
      <c r="Z17" s="314">
        <v>4590</v>
      </c>
      <c r="AA17" s="314">
        <v>6470</v>
      </c>
      <c r="AB17" s="314">
        <v>7040</v>
      </c>
      <c r="AC17" s="314">
        <v>5120</v>
      </c>
      <c r="AD17" s="314">
        <v>6080</v>
      </c>
      <c r="AE17" s="314">
        <v>7360</v>
      </c>
      <c r="AF17" s="314">
        <v>9600</v>
      </c>
      <c r="AG17" s="314">
        <v>3790</v>
      </c>
      <c r="AH17" s="314">
        <v>3200</v>
      </c>
      <c r="AI17" s="314">
        <v>5440</v>
      </c>
      <c r="AJ17" s="316">
        <v>1620</v>
      </c>
      <c r="AK17" s="303">
        <f t="shared" si="4"/>
        <v>155338</v>
      </c>
    </row>
    <row r="18" spans="1:37" x14ac:dyDescent="0.35">
      <c r="A18" s="317" t="s">
        <v>55</v>
      </c>
      <c r="B18" s="307">
        <v>48250</v>
      </c>
      <c r="C18" s="307">
        <v>62950</v>
      </c>
      <c r="D18" s="307">
        <v>43600</v>
      </c>
      <c r="E18" s="307">
        <v>37250</v>
      </c>
      <c r="F18" s="307">
        <v>33800</v>
      </c>
      <c r="G18" s="307">
        <v>97600</v>
      </c>
      <c r="H18" s="307">
        <v>60600</v>
      </c>
      <c r="I18" s="307">
        <v>91100</v>
      </c>
      <c r="J18" s="307">
        <v>48450</v>
      </c>
      <c r="K18" s="307">
        <v>45050</v>
      </c>
      <c r="L18" s="307">
        <v>27850</v>
      </c>
      <c r="M18" s="307">
        <v>57350</v>
      </c>
      <c r="N18" s="307">
        <v>23000</v>
      </c>
      <c r="O18" s="307">
        <v>95950</v>
      </c>
      <c r="P18" s="307">
        <v>21550</v>
      </c>
      <c r="Q18" s="307">
        <v>63150.5</v>
      </c>
      <c r="R18" s="307">
        <v>47050</v>
      </c>
      <c r="S18" s="307">
        <v>40400</v>
      </c>
      <c r="T18" s="307">
        <v>60150</v>
      </c>
      <c r="U18" s="307">
        <v>65850</v>
      </c>
      <c r="V18" s="308">
        <v>31550</v>
      </c>
      <c r="W18" s="307">
        <v>53600</v>
      </c>
      <c r="X18" s="305">
        <v>42800</v>
      </c>
      <c r="Y18" s="307">
        <v>42050</v>
      </c>
      <c r="Z18" s="307">
        <v>45000</v>
      </c>
      <c r="AA18" s="307">
        <v>59245</v>
      </c>
      <c r="AB18" s="307">
        <v>62985</v>
      </c>
      <c r="AC18" s="307">
        <v>40913</v>
      </c>
      <c r="AD18" s="307">
        <v>43396</v>
      </c>
      <c r="AE18" s="307">
        <v>5030</v>
      </c>
      <c r="AF18" s="307">
        <v>80629.5</v>
      </c>
      <c r="AG18" s="307">
        <v>32832</v>
      </c>
      <c r="AH18" s="307">
        <v>42468</v>
      </c>
      <c r="AI18" s="307">
        <v>53548</v>
      </c>
      <c r="AJ18" s="308">
        <v>23500.5</v>
      </c>
      <c r="AK18" s="303">
        <f t="shared" si="4"/>
        <v>1730497.5</v>
      </c>
    </row>
    <row r="19" spans="1:37" x14ac:dyDescent="0.35">
      <c r="A19" s="313" t="s">
        <v>315</v>
      </c>
      <c r="B19" s="314">
        <v>0</v>
      </c>
      <c r="C19" s="314">
        <v>231</v>
      </c>
      <c r="D19" s="314">
        <v>195</v>
      </c>
      <c r="E19" s="314">
        <v>65</v>
      </c>
      <c r="F19" s="314">
        <v>1427</v>
      </c>
      <c r="G19" s="314">
        <v>906.3</v>
      </c>
      <c r="H19" s="314">
        <v>410.25</v>
      </c>
      <c r="I19" s="314">
        <v>5148.08</v>
      </c>
      <c r="J19" s="314">
        <v>386.5</v>
      </c>
      <c r="K19" s="314">
        <v>10792</v>
      </c>
      <c r="L19" s="314">
        <v>962</v>
      </c>
      <c r="M19" s="316">
        <v>0</v>
      </c>
      <c r="N19" s="314">
        <v>125</v>
      </c>
      <c r="O19" s="314">
        <v>546</v>
      </c>
      <c r="P19" s="314">
        <v>261</v>
      </c>
      <c r="Q19" s="314">
        <v>206</v>
      </c>
      <c r="R19" s="314">
        <v>420</v>
      </c>
      <c r="S19" s="314">
        <v>267.14999999999998</v>
      </c>
      <c r="T19" s="314">
        <v>4467</v>
      </c>
      <c r="U19" s="314">
        <v>475</v>
      </c>
      <c r="V19" s="316">
        <v>727</v>
      </c>
      <c r="W19" s="314">
        <v>363</v>
      </c>
      <c r="X19" s="314">
        <v>796</v>
      </c>
      <c r="Y19" s="314">
        <v>776</v>
      </c>
      <c r="Z19" s="314">
        <v>1028</v>
      </c>
      <c r="AA19" s="314">
        <v>1830.5</v>
      </c>
      <c r="AB19" s="316">
        <v>156</v>
      </c>
      <c r="AC19" s="314">
        <v>1068</v>
      </c>
      <c r="AD19" s="314">
        <v>541.86</v>
      </c>
      <c r="AE19" s="314">
        <v>0</v>
      </c>
      <c r="AF19" s="314">
        <v>2058</v>
      </c>
      <c r="AG19" s="314">
        <v>310</v>
      </c>
      <c r="AH19" s="314">
        <v>2374.7800000000002</v>
      </c>
      <c r="AI19" s="314">
        <v>792</v>
      </c>
      <c r="AJ19" s="316">
        <v>313</v>
      </c>
      <c r="AK19" s="303">
        <f t="shared" si="4"/>
        <v>40424.42</v>
      </c>
    </row>
    <row r="20" spans="1:37" x14ac:dyDescent="0.35">
      <c r="A20" s="321" t="s">
        <v>272</v>
      </c>
      <c r="B20" s="305">
        <v>6888.1</v>
      </c>
      <c r="C20" s="305">
        <v>6888.1</v>
      </c>
      <c r="D20" s="305">
        <v>4721.43</v>
      </c>
      <c r="E20" s="305">
        <v>4721.43</v>
      </c>
      <c r="F20" s="305">
        <v>5214.24</v>
      </c>
      <c r="G20" s="305">
        <v>9054.76</v>
      </c>
      <c r="H20" s="305">
        <v>9055</v>
      </c>
      <c r="I20" s="305">
        <v>10138.1</v>
      </c>
      <c r="J20" s="305">
        <v>4721.43</v>
      </c>
      <c r="K20" s="305">
        <v>4721.43</v>
      </c>
      <c r="L20" s="305">
        <v>3638.1</v>
      </c>
      <c r="M20" s="305">
        <v>5804.76</v>
      </c>
      <c r="N20" s="305">
        <v>2554</v>
      </c>
      <c r="O20" s="305">
        <v>10138</v>
      </c>
      <c r="P20" s="305">
        <v>2554.7600000000002</v>
      </c>
      <c r="Q20" s="305">
        <v>6888.1</v>
      </c>
      <c r="R20" s="305">
        <v>4731.43</v>
      </c>
      <c r="S20" s="305">
        <v>4721.43</v>
      </c>
      <c r="T20" s="305">
        <v>0</v>
      </c>
      <c r="U20" s="305">
        <v>9054.76</v>
      </c>
      <c r="V20" s="269">
        <v>4721.43</v>
      </c>
      <c r="W20" s="305">
        <v>9054.76</v>
      </c>
      <c r="X20" s="269">
        <v>3638</v>
      </c>
      <c r="Y20" s="305">
        <v>3638.1</v>
      </c>
      <c r="Z20" s="305">
        <v>4721.43</v>
      </c>
      <c r="AA20" s="305">
        <v>7207.1</v>
      </c>
      <c r="AB20" s="305">
        <v>7057.1</v>
      </c>
      <c r="AC20" s="305">
        <v>5945</v>
      </c>
      <c r="AD20" s="305">
        <v>4834.1000000000004</v>
      </c>
      <c r="AE20" s="305">
        <v>4834.1000000000004</v>
      </c>
      <c r="AF20" s="305">
        <v>9280.1</v>
      </c>
      <c r="AG20" s="305">
        <v>4834.1000000000004</v>
      </c>
      <c r="AH20" s="305">
        <v>4834.1000000000004</v>
      </c>
      <c r="AI20" s="305">
        <v>5807</v>
      </c>
      <c r="AJ20" s="269">
        <v>4722</v>
      </c>
      <c r="AK20" s="303">
        <f t="shared" si="4"/>
        <v>201337.78000000003</v>
      </c>
    </row>
    <row r="21" spans="1:37" x14ac:dyDescent="0.35">
      <c r="A21" s="322" t="s">
        <v>273</v>
      </c>
      <c r="B21" s="314">
        <v>71.430000000000007</v>
      </c>
      <c r="C21" s="314">
        <v>671.43</v>
      </c>
      <c r="D21" s="314">
        <v>471.43</v>
      </c>
      <c r="E21" s="314">
        <v>71.430000000000007</v>
      </c>
      <c r="F21" s="314">
        <v>271.43</v>
      </c>
      <c r="G21" s="314">
        <v>471.43</v>
      </c>
      <c r="H21" s="314">
        <v>471.43</v>
      </c>
      <c r="I21" s="314">
        <v>671.43</v>
      </c>
      <c r="J21" s="314">
        <v>471.43</v>
      </c>
      <c r="K21" s="314">
        <v>271.43</v>
      </c>
      <c r="L21" s="314">
        <v>471.43</v>
      </c>
      <c r="M21" s="314">
        <v>271.43</v>
      </c>
      <c r="N21" s="314">
        <v>0</v>
      </c>
      <c r="O21" s="314">
        <v>871.43</v>
      </c>
      <c r="P21" s="314">
        <v>271.43</v>
      </c>
      <c r="Q21" s="314">
        <v>671.43</v>
      </c>
      <c r="R21" s="314">
        <v>271.43</v>
      </c>
      <c r="S21" s="314">
        <v>471.43</v>
      </c>
      <c r="T21" s="314">
        <v>671.43</v>
      </c>
      <c r="U21" s="314">
        <v>471.43</v>
      </c>
      <c r="V21" s="316">
        <v>271.43</v>
      </c>
      <c r="W21" s="314">
        <v>471.43</v>
      </c>
      <c r="X21" s="316">
        <v>271.43</v>
      </c>
      <c r="Y21" s="314">
        <v>271.43</v>
      </c>
      <c r="Z21" s="323">
        <v>0</v>
      </c>
      <c r="AA21" s="323">
        <v>0</v>
      </c>
      <c r="AB21" s="314">
        <v>871.43</v>
      </c>
      <c r="AC21" s="314">
        <v>271.43</v>
      </c>
      <c r="AD21" s="314">
        <v>871.43</v>
      </c>
      <c r="AE21" s="314">
        <v>271.43</v>
      </c>
      <c r="AF21" s="314">
        <v>471.43</v>
      </c>
      <c r="AG21" s="314">
        <v>0</v>
      </c>
      <c r="AH21" s="314">
        <v>471.43</v>
      </c>
      <c r="AI21" s="314">
        <v>271</v>
      </c>
      <c r="AJ21" s="316">
        <v>0</v>
      </c>
      <c r="AK21" s="303">
        <f t="shared" si="4"/>
        <v>13142.470000000005</v>
      </c>
    </row>
    <row r="22" spans="1:37" x14ac:dyDescent="0.35">
      <c r="A22" s="324" t="s">
        <v>269</v>
      </c>
      <c r="B22" s="307">
        <v>2600</v>
      </c>
      <c r="C22" s="307">
        <v>4240</v>
      </c>
      <c r="D22" s="307">
        <v>3050</v>
      </c>
      <c r="E22" s="307">
        <v>2250</v>
      </c>
      <c r="F22" s="307">
        <v>2250</v>
      </c>
      <c r="G22" s="307">
        <v>5350</v>
      </c>
      <c r="H22" s="307">
        <v>4050</v>
      </c>
      <c r="I22" s="307">
        <v>5630</v>
      </c>
      <c r="J22" s="307">
        <v>3590</v>
      </c>
      <c r="K22" s="307">
        <v>2900</v>
      </c>
      <c r="L22" s="307">
        <v>2100</v>
      </c>
      <c r="M22" s="307">
        <v>3440</v>
      </c>
      <c r="N22" s="307">
        <v>1600</v>
      </c>
      <c r="O22" s="307">
        <v>6750</v>
      </c>
      <c r="P22" s="307">
        <v>950</v>
      </c>
      <c r="Q22" s="307">
        <v>4650</v>
      </c>
      <c r="R22" s="307">
        <v>3200</v>
      </c>
      <c r="S22" s="307">
        <v>2850</v>
      </c>
      <c r="T22" s="307">
        <v>4350</v>
      </c>
      <c r="U22" s="307">
        <v>4300</v>
      </c>
      <c r="V22" s="308">
        <v>1750</v>
      </c>
      <c r="W22" s="307">
        <v>3700</v>
      </c>
      <c r="X22" s="308">
        <v>3050</v>
      </c>
      <c r="Y22" s="307">
        <v>2400</v>
      </c>
      <c r="Z22" s="325">
        <v>2550</v>
      </c>
      <c r="AA22" s="325">
        <v>3796.2</v>
      </c>
      <c r="AB22" s="307">
        <v>4661.8</v>
      </c>
      <c r="AC22" s="307">
        <v>2691.2</v>
      </c>
      <c r="AD22" s="307">
        <v>3129.3</v>
      </c>
      <c r="AE22" s="307">
        <v>2770.2</v>
      </c>
      <c r="AF22" s="307">
        <v>5796.9</v>
      </c>
      <c r="AG22" s="307">
        <v>3541.4</v>
      </c>
      <c r="AH22" s="307">
        <v>2770.2</v>
      </c>
      <c r="AI22" s="307">
        <v>3850</v>
      </c>
      <c r="AJ22" s="308">
        <v>1300</v>
      </c>
      <c r="AK22" s="317">
        <f t="shared" si="4"/>
        <v>117857.19999999998</v>
      </c>
    </row>
    <row r="23" spans="1:37" x14ac:dyDescent="0.35">
      <c r="A23" s="322" t="s">
        <v>57</v>
      </c>
      <c r="B23" s="314">
        <v>2625</v>
      </c>
      <c r="C23" s="314">
        <v>1375</v>
      </c>
      <c r="D23" s="314">
        <v>1375</v>
      </c>
      <c r="E23" s="314">
        <v>1375</v>
      </c>
      <c r="F23" s="314">
        <v>1687.5</v>
      </c>
      <c r="G23" s="314">
        <v>2437.5</v>
      </c>
      <c r="H23" s="314">
        <v>1625</v>
      </c>
      <c r="I23" s="316">
        <v>3218.75</v>
      </c>
      <c r="J23" s="314">
        <v>875</v>
      </c>
      <c r="K23" s="314">
        <v>4125</v>
      </c>
      <c r="L23" s="314">
        <v>2500</v>
      </c>
      <c r="M23" s="314">
        <v>4750</v>
      </c>
      <c r="N23" s="314">
        <v>2250</v>
      </c>
      <c r="O23" s="314">
        <v>5187.5</v>
      </c>
      <c r="P23" s="314">
        <v>4748.5</v>
      </c>
      <c r="Q23" s="314">
        <v>8499.5</v>
      </c>
      <c r="R23" s="314">
        <v>3625</v>
      </c>
      <c r="S23" s="314">
        <v>5776.5</v>
      </c>
      <c r="T23" s="314">
        <v>3937.5</v>
      </c>
      <c r="U23" s="314">
        <v>5000</v>
      </c>
      <c r="V23" s="316">
        <v>8500</v>
      </c>
      <c r="W23" s="314">
        <v>1375</v>
      </c>
      <c r="X23" s="314">
        <v>2937</v>
      </c>
      <c r="Y23" s="314">
        <v>2437.5</v>
      </c>
      <c r="Z23" s="323">
        <v>2312.5</v>
      </c>
      <c r="AA23" s="323">
        <v>7950.88</v>
      </c>
      <c r="AB23" s="314">
        <v>10195.14</v>
      </c>
      <c r="AC23" s="314">
        <v>8592.08</v>
      </c>
      <c r="AD23" s="314">
        <v>7694.4</v>
      </c>
      <c r="AE23" s="314">
        <v>3500</v>
      </c>
      <c r="AF23" s="314">
        <v>11349.24</v>
      </c>
      <c r="AG23" s="314">
        <v>5514.32</v>
      </c>
      <c r="AH23" s="314">
        <v>2821.28</v>
      </c>
      <c r="AI23" s="314">
        <v>5686</v>
      </c>
      <c r="AJ23" s="316">
        <v>4437.5</v>
      </c>
      <c r="AK23" s="303">
        <f t="shared" si="4"/>
        <v>152296.09</v>
      </c>
    </row>
    <row r="24" spans="1:37" x14ac:dyDescent="0.35">
      <c r="A24" s="322" t="s">
        <v>270</v>
      </c>
      <c r="B24" s="314">
        <v>1200</v>
      </c>
      <c r="C24" s="314">
        <v>1100</v>
      </c>
      <c r="D24" s="314">
        <v>1150</v>
      </c>
      <c r="E24" s="314">
        <v>1250</v>
      </c>
      <c r="F24" s="314">
        <v>1150</v>
      </c>
      <c r="G24" s="314">
        <v>1050</v>
      </c>
      <c r="H24" s="314">
        <v>1100</v>
      </c>
      <c r="I24" s="314">
        <v>0</v>
      </c>
      <c r="J24" s="314">
        <v>2100</v>
      </c>
      <c r="K24" s="314">
        <v>1100</v>
      </c>
      <c r="L24" s="314">
        <v>1100</v>
      </c>
      <c r="M24" s="314">
        <v>1200</v>
      </c>
      <c r="N24" s="314">
        <v>1200</v>
      </c>
      <c r="O24" s="314">
        <v>1200</v>
      </c>
      <c r="P24" s="314">
        <v>1150</v>
      </c>
      <c r="Q24" s="314">
        <v>1050</v>
      </c>
      <c r="R24" s="316">
        <v>1200</v>
      </c>
      <c r="S24" s="314">
        <v>2400</v>
      </c>
      <c r="T24" s="314">
        <v>1150</v>
      </c>
      <c r="U24" s="314">
        <v>1100</v>
      </c>
      <c r="V24" s="316">
        <v>1100</v>
      </c>
      <c r="W24" s="314">
        <v>1150</v>
      </c>
      <c r="X24" s="316">
        <v>1050</v>
      </c>
      <c r="Y24" s="314">
        <v>1150</v>
      </c>
      <c r="Z24" s="323">
        <v>1200</v>
      </c>
      <c r="AA24" s="323">
        <v>1200</v>
      </c>
      <c r="AB24" s="314">
        <v>250</v>
      </c>
      <c r="AC24" s="314">
        <v>1450</v>
      </c>
      <c r="AD24" s="314">
        <v>2300</v>
      </c>
      <c r="AE24" s="314">
        <v>0</v>
      </c>
      <c r="AF24" s="314">
        <v>2000</v>
      </c>
      <c r="AG24" s="314">
        <v>1150</v>
      </c>
      <c r="AH24" s="314">
        <v>1150</v>
      </c>
      <c r="AI24" s="314">
        <v>1200</v>
      </c>
      <c r="AJ24" s="316">
        <v>0</v>
      </c>
      <c r="AK24" s="303">
        <f t="shared" si="4"/>
        <v>40300</v>
      </c>
    </row>
    <row r="25" spans="1:37" x14ac:dyDescent="0.35">
      <c r="A25" s="324" t="s">
        <v>274</v>
      </c>
      <c r="B25" s="307">
        <v>1425.36</v>
      </c>
      <c r="C25" s="307">
        <v>5465.36</v>
      </c>
      <c r="D25" s="307">
        <v>2435.36</v>
      </c>
      <c r="E25" s="307">
        <v>415.36</v>
      </c>
      <c r="F25" s="307">
        <v>2435.36</v>
      </c>
      <c r="G25" s="307">
        <v>2435.36</v>
      </c>
      <c r="H25" s="307">
        <v>3445.36</v>
      </c>
      <c r="I25" s="307">
        <v>6475.36</v>
      </c>
      <c r="J25" s="307">
        <v>3445.36</v>
      </c>
      <c r="K25" s="307">
        <v>1425.36</v>
      </c>
      <c r="L25" s="307">
        <v>2435.36</v>
      </c>
      <c r="M25" s="307">
        <v>1425.36</v>
      </c>
      <c r="N25" s="307">
        <v>0</v>
      </c>
      <c r="O25" s="307">
        <v>5465.36</v>
      </c>
      <c r="P25" s="307">
        <v>1425.36</v>
      </c>
      <c r="Q25" s="307">
        <v>5465.36</v>
      </c>
      <c r="R25" s="307">
        <v>1425.36</v>
      </c>
      <c r="S25" s="307">
        <v>2435.36</v>
      </c>
      <c r="T25" s="307">
        <v>5465.36</v>
      </c>
      <c r="U25" s="307">
        <v>3445.36</v>
      </c>
      <c r="V25" s="308">
        <v>1425.36</v>
      </c>
      <c r="W25" s="307">
        <v>471.43</v>
      </c>
      <c r="X25" s="269">
        <v>1425.36</v>
      </c>
      <c r="Y25" s="307">
        <v>1425.36</v>
      </c>
      <c r="Z25" s="307">
        <v>0</v>
      </c>
      <c r="AA25" s="307">
        <v>0</v>
      </c>
      <c r="AB25" s="307">
        <v>4455.3599999999997</v>
      </c>
      <c r="AC25" s="307">
        <v>2435.36</v>
      </c>
      <c r="AD25" s="307">
        <v>4455.3599999999997</v>
      </c>
      <c r="AE25" s="307">
        <v>1425.36</v>
      </c>
      <c r="AF25" s="307">
        <v>2435.36</v>
      </c>
      <c r="AG25" s="307">
        <v>0</v>
      </c>
      <c r="AH25" s="307">
        <v>2435.36</v>
      </c>
      <c r="AI25" s="307">
        <v>1425</v>
      </c>
      <c r="AJ25" s="308">
        <v>0</v>
      </c>
      <c r="AK25" s="303">
        <f t="shared" si="4"/>
        <v>82206.510000000009</v>
      </c>
    </row>
    <row r="26" spans="1:37" x14ac:dyDescent="0.35">
      <c r="A26" s="313" t="s">
        <v>275</v>
      </c>
      <c r="B26" s="314">
        <v>343.75</v>
      </c>
      <c r="C26" s="314">
        <v>843.75</v>
      </c>
      <c r="D26" s="314">
        <v>593.75</v>
      </c>
      <c r="E26" s="314">
        <v>343.75</v>
      </c>
      <c r="F26" s="314">
        <v>593.75</v>
      </c>
      <c r="G26" s="314">
        <v>593.75</v>
      </c>
      <c r="H26" s="314">
        <v>843.75</v>
      </c>
      <c r="I26" s="314">
        <v>1093.75</v>
      </c>
      <c r="J26" s="314">
        <v>843.75</v>
      </c>
      <c r="K26" s="314">
        <v>343.75</v>
      </c>
      <c r="L26" s="314">
        <v>343.75</v>
      </c>
      <c r="M26" s="314">
        <v>343.75</v>
      </c>
      <c r="N26" s="314">
        <v>0</v>
      </c>
      <c r="O26" s="314">
        <v>1343.75</v>
      </c>
      <c r="P26" s="314">
        <v>343.75</v>
      </c>
      <c r="Q26" s="314">
        <v>1343.75</v>
      </c>
      <c r="R26" s="314">
        <v>343.75</v>
      </c>
      <c r="S26" s="314">
        <v>593.75</v>
      </c>
      <c r="T26" s="314">
        <v>1343.75</v>
      </c>
      <c r="U26" s="314">
        <v>843.75</v>
      </c>
      <c r="V26" s="316">
        <v>343.75</v>
      </c>
      <c r="W26" s="314">
        <v>593.75</v>
      </c>
      <c r="X26" s="316">
        <v>93.75</v>
      </c>
      <c r="Y26" s="314">
        <v>343.75</v>
      </c>
      <c r="Z26" s="314">
        <v>0</v>
      </c>
      <c r="AA26" s="314">
        <v>0</v>
      </c>
      <c r="AB26" s="314">
        <v>1093.75</v>
      </c>
      <c r="AC26" s="314">
        <v>343.75</v>
      </c>
      <c r="AD26" s="314">
        <v>1093.75</v>
      </c>
      <c r="AE26" s="314">
        <v>343.75</v>
      </c>
      <c r="AF26" s="314">
        <v>343.75</v>
      </c>
      <c r="AG26" s="314">
        <v>0</v>
      </c>
      <c r="AH26" s="314">
        <v>343.75</v>
      </c>
      <c r="AI26" s="314">
        <v>343</v>
      </c>
      <c r="AJ26" s="316">
        <v>0</v>
      </c>
      <c r="AK26" s="303">
        <f t="shared" si="4"/>
        <v>18561.75</v>
      </c>
    </row>
    <row r="27" spans="1:37" x14ac:dyDescent="0.35">
      <c r="A27" s="304" t="s">
        <v>316</v>
      </c>
      <c r="B27" s="296"/>
      <c r="C27" s="296"/>
      <c r="D27" s="296"/>
      <c r="E27" s="296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303">
        <f t="shared" si="4"/>
        <v>0</v>
      </c>
    </row>
    <row r="28" spans="1:37" x14ac:dyDescent="0.35">
      <c r="A28" s="313" t="s">
        <v>277</v>
      </c>
      <c r="B28" s="314">
        <v>150</v>
      </c>
      <c r="C28" s="314">
        <v>130</v>
      </c>
      <c r="D28" s="314">
        <v>260</v>
      </c>
      <c r="E28" s="314">
        <v>0</v>
      </c>
      <c r="F28" s="314">
        <v>100</v>
      </c>
      <c r="G28" s="314">
        <v>410</v>
      </c>
      <c r="H28" s="314">
        <v>100</v>
      </c>
      <c r="I28" s="314">
        <v>320</v>
      </c>
      <c r="J28" s="314">
        <v>155</v>
      </c>
      <c r="K28" s="314">
        <v>240</v>
      </c>
      <c r="L28" s="314">
        <v>300</v>
      </c>
      <c r="M28" s="314">
        <v>2400</v>
      </c>
      <c r="N28" s="314">
        <v>1000</v>
      </c>
      <c r="O28" s="314">
        <v>2850</v>
      </c>
      <c r="P28" s="314">
        <v>550</v>
      </c>
      <c r="Q28" s="314">
        <v>3100</v>
      </c>
      <c r="R28" s="307">
        <v>3180</v>
      </c>
      <c r="S28" s="314">
        <v>2250</v>
      </c>
      <c r="T28" s="314">
        <v>2320</v>
      </c>
      <c r="U28" s="314">
        <v>2655</v>
      </c>
      <c r="V28" s="316">
        <v>1042</v>
      </c>
      <c r="W28" s="314">
        <v>2210</v>
      </c>
      <c r="X28" s="314">
        <v>1550</v>
      </c>
      <c r="Y28" s="314">
        <v>1693</v>
      </c>
      <c r="Z28" s="314">
        <v>1645</v>
      </c>
      <c r="AA28" s="314">
        <v>900</v>
      </c>
      <c r="AB28" s="314">
        <v>690</v>
      </c>
      <c r="AC28" s="314">
        <v>150</v>
      </c>
      <c r="AD28" s="314">
        <v>340</v>
      </c>
      <c r="AE28" s="314">
        <v>2900</v>
      </c>
      <c r="AF28" s="314">
        <v>1995</v>
      </c>
      <c r="AG28" s="314">
        <v>1060</v>
      </c>
      <c r="AH28" s="314">
        <v>1540</v>
      </c>
      <c r="AI28" s="314">
        <v>2809</v>
      </c>
      <c r="AJ28" s="316">
        <v>465</v>
      </c>
      <c r="AK28" s="303">
        <f t="shared" si="4"/>
        <v>43459</v>
      </c>
    </row>
    <row r="29" spans="1:37" x14ac:dyDescent="0.35">
      <c r="A29" s="317" t="s">
        <v>278</v>
      </c>
      <c r="B29" s="308">
        <v>0</v>
      </c>
      <c r="C29" s="307">
        <v>400</v>
      </c>
      <c r="D29" s="308">
        <v>0</v>
      </c>
      <c r="E29" s="308">
        <v>0</v>
      </c>
      <c r="F29" s="308">
        <v>0</v>
      </c>
      <c r="G29" s="308">
        <v>0</v>
      </c>
      <c r="H29" s="308">
        <v>0</v>
      </c>
      <c r="I29" s="308">
        <v>0</v>
      </c>
      <c r="J29" s="308">
        <v>0</v>
      </c>
      <c r="K29" s="308">
        <v>70</v>
      </c>
      <c r="L29" s="308">
        <v>120</v>
      </c>
      <c r="M29" s="307">
        <v>2340</v>
      </c>
      <c r="N29" s="307">
        <v>0</v>
      </c>
      <c r="O29" s="326">
        <v>3440</v>
      </c>
      <c r="P29" s="308">
        <v>0</v>
      </c>
      <c r="Q29" s="307">
        <v>2800</v>
      </c>
      <c r="R29" s="357">
        <v>1800</v>
      </c>
      <c r="S29" s="307">
        <v>650</v>
      </c>
      <c r="T29" s="307">
        <v>270</v>
      </c>
      <c r="U29" s="307">
        <v>470</v>
      </c>
      <c r="V29" s="308">
        <v>0</v>
      </c>
      <c r="W29" s="307">
        <v>250</v>
      </c>
      <c r="X29" s="307">
        <v>250</v>
      </c>
      <c r="Y29" s="307">
        <v>330</v>
      </c>
      <c r="Z29" s="307">
        <v>200</v>
      </c>
      <c r="AA29" s="307">
        <v>500</v>
      </c>
      <c r="AB29" s="307">
        <v>520</v>
      </c>
      <c r="AC29" s="307">
        <v>300</v>
      </c>
      <c r="AD29" s="307">
        <v>100</v>
      </c>
      <c r="AE29" s="307">
        <v>910</v>
      </c>
      <c r="AF29" s="307">
        <v>3370</v>
      </c>
      <c r="AG29" s="307">
        <v>270</v>
      </c>
      <c r="AH29" s="307">
        <v>340</v>
      </c>
      <c r="AI29" s="307">
        <v>730</v>
      </c>
      <c r="AJ29" s="308">
        <v>25</v>
      </c>
      <c r="AK29" s="303">
        <f t="shared" si="4"/>
        <v>20455</v>
      </c>
    </row>
    <row r="30" spans="1:37" x14ac:dyDescent="0.35">
      <c r="A30" s="313" t="s">
        <v>279</v>
      </c>
      <c r="B30" s="314">
        <v>44000</v>
      </c>
      <c r="C30" s="314">
        <v>10000</v>
      </c>
      <c r="D30" s="314">
        <v>26750</v>
      </c>
      <c r="E30" s="314">
        <v>45000</v>
      </c>
      <c r="F30" s="314">
        <v>20000</v>
      </c>
      <c r="G30" s="314">
        <v>66150</v>
      </c>
      <c r="H30" s="314">
        <v>22050</v>
      </c>
      <c r="I30" s="314">
        <v>35280</v>
      </c>
      <c r="J30" s="314">
        <v>28000</v>
      </c>
      <c r="K30" s="314">
        <v>12000</v>
      </c>
      <c r="L30" s="314">
        <v>8269</v>
      </c>
      <c r="M30" s="314">
        <v>16000</v>
      </c>
      <c r="N30" s="314">
        <v>10000</v>
      </c>
      <c r="O30" s="314">
        <v>30500</v>
      </c>
      <c r="P30" s="314">
        <v>0</v>
      </c>
      <c r="Q30" s="314">
        <v>26250</v>
      </c>
      <c r="R30" s="314">
        <v>10000</v>
      </c>
      <c r="S30" s="314">
        <v>13000</v>
      </c>
      <c r="T30" s="314">
        <v>25000</v>
      </c>
      <c r="U30" s="314">
        <v>14500</v>
      </c>
      <c r="V30" s="316">
        <v>15000</v>
      </c>
      <c r="W30" s="314">
        <v>31500</v>
      </c>
      <c r="X30" s="316">
        <v>20000</v>
      </c>
      <c r="Y30" s="314">
        <v>15000</v>
      </c>
      <c r="Z30" s="314">
        <v>15000</v>
      </c>
      <c r="AA30" s="314">
        <v>15000</v>
      </c>
      <c r="AB30" s="314">
        <v>12894.9</v>
      </c>
      <c r="AC30" s="314">
        <v>20000</v>
      </c>
      <c r="AD30" s="314">
        <v>20000</v>
      </c>
      <c r="AE30" s="314">
        <v>12000</v>
      </c>
      <c r="AF30" s="314">
        <v>20000</v>
      </c>
      <c r="AG30" s="314">
        <v>14000</v>
      </c>
      <c r="AH30" s="314">
        <v>18000</v>
      </c>
      <c r="AI30" s="314">
        <v>36000</v>
      </c>
      <c r="AJ30" s="316">
        <v>12000</v>
      </c>
      <c r="AK30" s="303">
        <f t="shared" si="4"/>
        <v>739143.9</v>
      </c>
    </row>
    <row r="31" spans="1:37" x14ac:dyDescent="0.35">
      <c r="A31" s="317" t="s">
        <v>280</v>
      </c>
      <c r="B31" s="307">
        <v>12547</v>
      </c>
      <c r="C31" s="307">
        <v>5521.4</v>
      </c>
      <c r="D31" s="307">
        <v>5661.61</v>
      </c>
      <c r="E31" s="307">
        <v>7416.6</v>
      </c>
      <c r="F31" s="307">
        <v>468.57</v>
      </c>
      <c r="G31" s="307">
        <v>17686</v>
      </c>
      <c r="H31" s="307">
        <v>4833.6000000000004</v>
      </c>
      <c r="I31" s="307">
        <v>16408.5</v>
      </c>
      <c r="J31" s="307">
        <v>9021.94</v>
      </c>
      <c r="K31" s="325">
        <v>6912</v>
      </c>
      <c r="L31" s="307">
        <v>5031</v>
      </c>
      <c r="M31" s="307">
        <v>7422.17</v>
      </c>
      <c r="N31" s="307">
        <v>2753.44</v>
      </c>
      <c r="O31" s="325">
        <v>8363</v>
      </c>
      <c r="P31" s="307">
        <v>3262.54</v>
      </c>
      <c r="Q31" s="307">
        <v>7242</v>
      </c>
      <c r="R31" s="325">
        <v>4980</v>
      </c>
      <c r="S31" s="325">
        <v>5628</v>
      </c>
      <c r="T31" s="307">
        <v>4897.5600000000004</v>
      </c>
      <c r="U31" s="325">
        <v>4942</v>
      </c>
      <c r="V31" s="308">
        <v>3980</v>
      </c>
      <c r="W31" s="327">
        <v>6430</v>
      </c>
      <c r="X31" s="325">
        <v>7940.65</v>
      </c>
      <c r="Y31" s="325">
        <v>3862.5</v>
      </c>
      <c r="Z31" s="307">
        <v>7254</v>
      </c>
      <c r="AA31" s="307">
        <v>11417.2</v>
      </c>
      <c r="AB31" s="307">
        <v>6936.77</v>
      </c>
      <c r="AC31" s="307">
        <v>8802</v>
      </c>
      <c r="AD31" s="307">
        <v>4658</v>
      </c>
      <c r="AE31" s="307">
        <v>5901.17</v>
      </c>
      <c r="AF31" s="307">
        <v>8232.64</v>
      </c>
      <c r="AG31" s="307">
        <v>8132</v>
      </c>
      <c r="AH31" s="325">
        <v>5979.15</v>
      </c>
      <c r="AI31" s="325">
        <v>5348</v>
      </c>
      <c r="AJ31" s="308">
        <v>7896</v>
      </c>
      <c r="AK31" s="303">
        <f t="shared" si="4"/>
        <v>243769.00999999998</v>
      </c>
    </row>
    <row r="32" spans="1:37" x14ac:dyDescent="0.35">
      <c r="A32" s="313" t="s">
        <v>281</v>
      </c>
      <c r="B32" s="314">
        <v>3073</v>
      </c>
      <c r="C32" s="316">
        <v>880</v>
      </c>
      <c r="D32" s="314">
        <v>1925.65</v>
      </c>
      <c r="E32" s="314">
        <v>1447.38</v>
      </c>
      <c r="F32" s="314">
        <v>784.05</v>
      </c>
      <c r="G32" s="314">
        <v>0</v>
      </c>
      <c r="H32" s="314">
        <v>1500</v>
      </c>
      <c r="I32" s="314">
        <v>4077.2</v>
      </c>
      <c r="J32" s="314">
        <v>2119</v>
      </c>
      <c r="K32" s="314">
        <v>500</v>
      </c>
      <c r="L32" s="314">
        <v>142</v>
      </c>
      <c r="M32" s="314">
        <v>464</v>
      </c>
      <c r="N32" s="314">
        <v>120</v>
      </c>
      <c r="O32" s="314">
        <v>0</v>
      </c>
      <c r="P32" s="314">
        <v>457.5</v>
      </c>
      <c r="Q32" s="314">
        <v>1435</v>
      </c>
      <c r="R32" s="314">
        <v>805</v>
      </c>
      <c r="S32" s="314">
        <v>2065.4</v>
      </c>
      <c r="T32" s="316">
        <v>0</v>
      </c>
      <c r="U32" s="314">
        <v>752</v>
      </c>
      <c r="V32" s="316">
        <v>302</v>
      </c>
      <c r="W32" s="314">
        <v>984</v>
      </c>
      <c r="X32" s="316">
        <v>706</v>
      </c>
      <c r="Y32" s="314">
        <v>285</v>
      </c>
      <c r="Z32" s="316">
        <v>0</v>
      </c>
      <c r="AA32" s="314">
        <v>1375</v>
      </c>
      <c r="AB32" s="314">
        <v>589</v>
      </c>
      <c r="AC32" s="314">
        <v>339</v>
      </c>
      <c r="AD32" s="314">
        <v>699.75</v>
      </c>
      <c r="AE32" s="314">
        <v>193.2</v>
      </c>
      <c r="AF32" s="314">
        <v>1876.31</v>
      </c>
      <c r="AG32" s="314">
        <v>1110.47</v>
      </c>
      <c r="AH32" s="314">
        <v>2952.15</v>
      </c>
      <c r="AI32" s="314">
        <v>435</v>
      </c>
      <c r="AJ32" s="316">
        <v>500</v>
      </c>
      <c r="AK32" s="303">
        <f t="shared" si="4"/>
        <v>34894.060000000005</v>
      </c>
    </row>
    <row r="33" spans="1:37" x14ac:dyDescent="0.35">
      <c r="A33" s="317" t="s">
        <v>282</v>
      </c>
      <c r="B33" s="307">
        <v>5417.47</v>
      </c>
      <c r="C33" s="307">
        <v>0</v>
      </c>
      <c r="D33" s="307">
        <v>2911.43</v>
      </c>
      <c r="E33" s="307">
        <v>3205.6</v>
      </c>
      <c r="F33" s="308">
        <v>0</v>
      </c>
      <c r="G33" s="325">
        <v>6859.85</v>
      </c>
      <c r="H33" s="325">
        <v>4590.04</v>
      </c>
      <c r="I33" s="307">
        <v>6117.41</v>
      </c>
      <c r="J33" s="307">
        <v>2686.46</v>
      </c>
      <c r="K33" s="308">
        <v>2084.29</v>
      </c>
      <c r="L33" s="308">
        <v>1672.75</v>
      </c>
      <c r="M33" s="308">
        <v>4026.45</v>
      </c>
      <c r="N33" s="308">
        <v>2110.2600000000002</v>
      </c>
      <c r="O33" s="325">
        <v>5685.28</v>
      </c>
      <c r="P33" s="307">
        <v>2054.37</v>
      </c>
      <c r="Q33" s="307">
        <v>4166.33</v>
      </c>
      <c r="R33" s="308">
        <v>2365.8000000000002</v>
      </c>
      <c r="S33" s="307">
        <v>0</v>
      </c>
      <c r="T33" s="307">
        <v>11736.3</v>
      </c>
      <c r="U33" s="307">
        <v>3601.7</v>
      </c>
      <c r="V33" s="308">
        <v>2638.22</v>
      </c>
      <c r="W33" s="307">
        <v>2696.36</v>
      </c>
      <c r="X33" s="308">
        <v>0</v>
      </c>
      <c r="Y33" s="307">
        <v>2545.04</v>
      </c>
      <c r="Z33" s="307">
        <v>3296.81</v>
      </c>
      <c r="AA33" s="307">
        <v>3087.65</v>
      </c>
      <c r="AB33" s="325">
        <v>0</v>
      </c>
      <c r="AC33" s="307">
        <v>2766.9</v>
      </c>
      <c r="AD33" s="307">
        <v>3255.84</v>
      </c>
      <c r="AE33" s="307">
        <v>0</v>
      </c>
      <c r="AF33" s="307">
        <v>3741.87</v>
      </c>
      <c r="AG33" s="307">
        <v>2036</v>
      </c>
      <c r="AH33" s="327">
        <v>3131.93</v>
      </c>
      <c r="AI33" s="327">
        <v>0</v>
      </c>
      <c r="AJ33" s="308">
        <v>0</v>
      </c>
      <c r="AK33" s="303">
        <f t="shared" si="4"/>
        <v>100488.40999999996</v>
      </c>
    </row>
    <row r="34" spans="1:37" x14ac:dyDescent="0.35">
      <c r="A34" s="313" t="s">
        <v>317</v>
      </c>
      <c r="B34" s="314">
        <v>3743</v>
      </c>
      <c r="C34" s="314">
        <v>4200</v>
      </c>
      <c r="D34" s="314">
        <v>580</v>
      </c>
      <c r="E34" s="314">
        <v>2571</v>
      </c>
      <c r="F34" s="314">
        <v>577</v>
      </c>
      <c r="G34" s="314">
        <v>5888</v>
      </c>
      <c r="H34" s="314">
        <v>3899</v>
      </c>
      <c r="I34" s="323">
        <v>3918</v>
      </c>
      <c r="J34" s="314">
        <v>2203</v>
      </c>
      <c r="K34" s="314">
        <v>2479</v>
      </c>
      <c r="L34" s="323">
        <v>2337</v>
      </c>
      <c r="M34" s="314">
        <v>0</v>
      </c>
      <c r="N34" s="314">
        <v>3145</v>
      </c>
      <c r="O34" s="314">
        <v>9947</v>
      </c>
      <c r="P34" s="314">
        <v>1724</v>
      </c>
      <c r="Q34" s="323">
        <v>2742</v>
      </c>
      <c r="R34" s="323">
        <v>4045</v>
      </c>
      <c r="S34" s="323">
        <v>4771</v>
      </c>
      <c r="T34" s="323">
        <v>6833</v>
      </c>
      <c r="U34" s="323">
        <v>9834</v>
      </c>
      <c r="V34" s="316">
        <v>4248</v>
      </c>
      <c r="W34" s="323">
        <v>5497</v>
      </c>
      <c r="X34" s="316">
        <v>2296</v>
      </c>
      <c r="Y34" s="323">
        <v>3666</v>
      </c>
      <c r="Z34" s="323">
        <v>8071</v>
      </c>
      <c r="AA34" s="323">
        <v>13271</v>
      </c>
      <c r="AB34" s="323">
        <v>5855.85</v>
      </c>
      <c r="AC34" s="323">
        <v>9965.75</v>
      </c>
      <c r="AD34" s="323">
        <v>10225</v>
      </c>
      <c r="AE34" s="323">
        <v>9279</v>
      </c>
      <c r="AF34" s="323">
        <v>13469</v>
      </c>
      <c r="AG34" s="323">
        <v>3561</v>
      </c>
      <c r="AH34" s="314">
        <v>4983</v>
      </c>
      <c r="AI34" s="314">
        <v>4769</v>
      </c>
      <c r="AJ34" s="316">
        <v>1621.5</v>
      </c>
      <c r="AK34" s="303">
        <f t="shared" si="4"/>
        <v>176214.1</v>
      </c>
    </row>
    <row r="35" spans="1:37" x14ac:dyDescent="0.35">
      <c r="A35" s="317" t="s">
        <v>284</v>
      </c>
      <c r="B35" s="325">
        <v>550</v>
      </c>
      <c r="C35" s="325">
        <v>550</v>
      </c>
      <c r="D35" s="307">
        <v>200</v>
      </c>
      <c r="E35" s="325">
        <v>550</v>
      </c>
      <c r="F35" s="325">
        <v>250</v>
      </c>
      <c r="G35" s="325">
        <v>550</v>
      </c>
      <c r="H35" s="307">
        <v>550</v>
      </c>
      <c r="I35" s="307">
        <v>200</v>
      </c>
      <c r="J35" s="307">
        <v>200</v>
      </c>
      <c r="K35" s="307">
        <v>550</v>
      </c>
      <c r="L35" s="307">
        <v>550</v>
      </c>
      <c r="M35" s="307">
        <v>670</v>
      </c>
      <c r="N35" s="308">
        <v>550</v>
      </c>
      <c r="O35" s="325">
        <v>550</v>
      </c>
      <c r="P35" s="307">
        <v>350</v>
      </c>
      <c r="Q35" s="325">
        <v>500</v>
      </c>
      <c r="R35" s="325">
        <v>350</v>
      </c>
      <c r="S35" s="325">
        <v>1006</v>
      </c>
      <c r="T35" s="307">
        <v>1017</v>
      </c>
      <c r="U35" s="325">
        <v>550</v>
      </c>
      <c r="V35" s="308">
        <v>0</v>
      </c>
      <c r="W35" s="325">
        <v>550</v>
      </c>
      <c r="X35" s="308">
        <v>200</v>
      </c>
      <c r="Y35" s="325">
        <v>550</v>
      </c>
      <c r="Z35" s="307">
        <v>785</v>
      </c>
      <c r="AA35" s="308">
        <v>700</v>
      </c>
      <c r="AB35" s="307">
        <v>0</v>
      </c>
      <c r="AC35" s="307">
        <v>350</v>
      </c>
      <c r="AD35" s="308">
        <v>950</v>
      </c>
      <c r="AE35" s="308">
        <v>200</v>
      </c>
      <c r="AF35" s="307">
        <v>1020</v>
      </c>
      <c r="AG35" s="307">
        <v>550</v>
      </c>
      <c r="AH35" s="307">
        <v>200</v>
      </c>
      <c r="AI35" s="307">
        <v>0</v>
      </c>
      <c r="AJ35" s="308">
        <v>200</v>
      </c>
      <c r="AK35" s="303">
        <f t="shared" si="4"/>
        <v>16498</v>
      </c>
    </row>
    <row r="36" spans="1:37" x14ac:dyDescent="0.35">
      <c r="A36" s="313" t="s">
        <v>318</v>
      </c>
      <c r="B36" s="323">
        <v>365.52</v>
      </c>
      <c r="C36" s="323">
        <v>47.07</v>
      </c>
      <c r="D36" s="323">
        <v>230.32</v>
      </c>
      <c r="E36" s="323">
        <v>132.94999999999999</v>
      </c>
      <c r="F36" s="323">
        <v>70</v>
      </c>
      <c r="G36" s="323">
        <v>1473.63</v>
      </c>
      <c r="H36" s="323">
        <v>786</v>
      </c>
      <c r="I36" s="323">
        <v>418.18</v>
      </c>
      <c r="J36" s="323">
        <v>88.56</v>
      </c>
      <c r="K36" s="323">
        <v>154.97999999999999</v>
      </c>
      <c r="L36" s="323">
        <v>0</v>
      </c>
      <c r="M36" s="314">
        <v>22</v>
      </c>
      <c r="N36" s="316">
        <v>0</v>
      </c>
      <c r="O36" s="323">
        <v>1170</v>
      </c>
      <c r="P36" s="316">
        <v>0</v>
      </c>
      <c r="Q36" s="316">
        <v>0</v>
      </c>
      <c r="R36" s="316">
        <v>0</v>
      </c>
      <c r="S36" s="316">
        <v>0</v>
      </c>
      <c r="T36" s="323">
        <v>22</v>
      </c>
      <c r="U36" s="316">
        <v>79</v>
      </c>
      <c r="V36" s="316">
        <v>0</v>
      </c>
      <c r="W36" s="316">
        <v>16</v>
      </c>
      <c r="X36" s="316">
        <v>0</v>
      </c>
      <c r="Y36" s="316">
        <v>0</v>
      </c>
      <c r="Z36" s="316">
        <v>0</v>
      </c>
      <c r="AA36" s="316">
        <v>16</v>
      </c>
      <c r="AB36" s="314">
        <v>23</v>
      </c>
      <c r="AC36" s="323">
        <v>0</v>
      </c>
      <c r="AD36" s="316">
        <v>33.08</v>
      </c>
      <c r="AE36" s="316">
        <v>10</v>
      </c>
      <c r="AF36" s="323">
        <v>176</v>
      </c>
      <c r="AG36" s="316">
        <v>0</v>
      </c>
      <c r="AH36" s="323">
        <v>0</v>
      </c>
      <c r="AI36" s="323">
        <v>0</v>
      </c>
      <c r="AJ36" s="316">
        <v>5</v>
      </c>
      <c r="AK36" s="303">
        <f t="shared" si="4"/>
        <v>5339.2899999999991</v>
      </c>
    </row>
    <row r="37" spans="1:37" x14ac:dyDescent="0.35">
      <c r="A37" s="317" t="s">
        <v>286</v>
      </c>
      <c r="B37" s="307">
        <v>1698</v>
      </c>
      <c r="C37" s="307">
        <v>4128</v>
      </c>
      <c r="D37" s="307">
        <v>1254</v>
      </c>
      <c r="E37" s="307">
        <v>1823</v>
      </c>
      <c r="F37" s="307">
        <v>1037.75</v>
      </c>
      <c r="G37" s="307">
        <v>2081.98</v>
      </c>
      <c r="H37" s="307">
        <v>1026.5</v>
      </c>
      <c r="I37" s="307">
        <v>1867.75</v>
      </c>
      <c r="J37" s="307">
        <v>945</v>
      </c>
      <c r="K37" s="325">
        <v>1155</v>
      </c>
      <c r="L37" s="307">
        <v>1294</v>
      </c>
      <c r="M37" s="307">
        <v>2611</v>
      </c>
      <c r="N37" s="307">
        <v>1430</v>
      </c>
      <c r="O37" s="307">
        <v>3301</v>
      </c>
      <c r="P37" s="307">
        <v>1182</v>
      </c>
      <c r="Q37" s="307">
        <v>2620.9</v>
      </c>
      <c r="R37" s="325">
        <v>2515</v>
      </c>
      <c r="S37" s="307">
        <v>2678.8</v>
      </c>
      <c r="T37" s="307">
        <v>936</v>
      </c>
      <c r="U37" s="307">
        <v>1953</v>
      </c>
      <c r="V37" s="308">
        <v>1856</v>
      </c>
      <c r="W37" s="307">
        <v>5835</v>
      </c>
      <c r="X37" s="308">
        <v>1323</v>
      </c>
      <c r="Y37" s="307">
        <v>889</v>
      </c>
      <c r="Z37" s="307">
        <v>2492</v>
      </c>
      <c r="AA37" s="307">
        <v>2384.5500000000002</v>
      </c>
      <c r="AB37" s="307">
        <v>892.45</v>
      </c>
      <c r="AC37" s="307">
        <v>784.75</v>
      </c>
      <c r="AD37" s="307">
        <v>1758.45</v>
      </c>
      <c r="AE37" s="307">
        <v>577.5</v>
      </c>
      <c r="AF37" s="307">
        <v>2479</v>
      </c>
      <c r="AG37" s="307">
        <v>792</v>
      </c>
      <c r="AH37" s="307">
        <v>908</v>
      </c>
      <c r="AI37" s="307">
        <v>825</v>
      </c>
      <c r="AJ37" s="308">
        <v>739.8</v>
      </c>
      <c r="AK37" s="303">
        <f t="shared" si="4"/>
        <v>62075.18</v>
      </c>
    </row>
    <row r="38" spans="1:37" x14ac:dyDescent="0.35">
      <c r="A38" s="313" t="s">
        <v>287</v>
      </c>
      <c r="B38" s="314">
        <v>800</v>
      </c>
      <c r="C38" s="316">
        <v>0</v>
      </c>
      <c r="D38" s="316">
        <v>0</v>
      </c>
      <c r="E38" s="323">
        <v>0</v>
      </c>
      <c r="F38" s="316">
        <v>0</v>
      </c>
      <c r="G38" s="316">
        <v>0</v>
      </c>
      <c r="H38" s="314">
        <v>0</v>
      </c>
      <c r="I38" s="314">
        <v>0</v>
      </c>
      <c r="J38" s="314">
        <v>0</v>
      </c>
      <c r="K38" s="314">
        <v>575</v>
      </c>
      <c r="L38" s="316">
        <v>0</v>
      </c>
      <c r="M38" s="316">
        <v>0</v>
      </c>
      <c r="N38" s="323">
        <v>275</v>
      </c>
      <c r="O38" s="316">
        <v>0</v>
      </c>
      <c r="P38" s="314">
        <v>100</v>
      </c>
      <c r="Q38" s="316">
        <v>406.5</v>
      </c>
      <c r="R38" s="316">
        <v>0</v>
      </c>
      <c r="S38" s="314">
        <v>0</v>
      </c>
      <c r="T38" s="323">
        <v>112</v>
      </c>
      <c r="U38" s="316">
        <v>0</v>
      </c>
      <c r="V38" s="316">
        <v>0</v>
      </c>
      <c r="W38" s="316">
        <v>0</v>
      </c>
      <c r="X38" s="316">
        <v>0</v>
      </c>
      <c r="Y38" s="314">
        <v>0</v>
      </c>
      <c r="Z38" s="314">
        <v>100</v>
      </c>
      <c r="AA38" s="314">
        <v>20</v>
      </c>
      <c r="AB38" s="314">
        <v>0</v>
      </c>
      <c r="AC38" s="314">
        <v>0</v>
      </c>
      <c r="AD38" s="316">
        <v>160</v>
      </c>
      <c r="AE38" s="316">
        <v>0</v>
      </c>
      <c r="AF38" s="316">
        <v>0</v>
      </c>
      <c r="AG38" s="316">
        <v>0</v>
      </c>
      <c r="AH38" s="316">
        <v>0</v>
      </c>
      <c r="AI38" s="316">
        <v>0</v>
      </c>
      <c r="AJ38" s="316">
        <v>240</v>
      </c>
      <c r="AK38" s="303">
        <f t="shared" si="4"/>
        <v>2788.5</v>
      </c>
    </row>
    <row r="39" spans="1:37" x14ac:dyDescent="0.35">
      <c r="A39" s="317" t="s">
        <v>319</v>
      </c>
      <c r="B39" s="307">
        <v>0</v>
      </c>
      <c r="C39" s="307">
        <v>0</v>
      </c>
      <c r="D39" s="307">
        <v>0</v>
      </c>
      <c r="E39" s="307">
        <v>0</v>
      </c>
      <c r="F39" s="307">
        <v>125</v>
      </c>
      <c r="G39" s="307">
        <v>7523</v>
      </c>
      <c r="H39" s="308">
        <v>0</v>
      </c>
      <c r="I39" s="325">
        <v>321</v>
      </c>
      <c r="J39" s="307">
        <v>244.95</v>
      </c>
      <c r="K39" s="308">
        <v>0</v>
      </c>
      <c r="L39" s="308">
        <v>0</v>
      </c>
      <c r="M39" s="307">
        <v>4697</v>
      </c>
      <c r="N39" s="307">
        <v>499</v>
      </c>
      <c r="O39" s="325">
        <v>2365</v>
      </c>
      <c r="P39" s="325">
        <v>15</v>
      </c>
      <c r="Q39" s="307">
        <v>968</v>
      </c>
      <c r="R39" s="307">
        <v>428</v>
      </c>
      <c r="S39" s="325">
        <v>132.99</v>
      </c>
      <c r="T39" s="307">
        <v>1032</v>
      </c>
      <c r="U39" s="307">
        <v>2997</v>
      </c>
      <c r="V39" s="308">
        <v>293</v>
      </c>
      <c r="W39" s="307">
        <v>1181</v>
      </c>
      <c r="X39" s="307">
        <v>329</v>
      </c>
      <c r="Y39" s="325">
        <v>974</v>
      </c>
      <c r="Z39" s="308">
        <v>0</v>
      </c>
      <c r="AA39" s="307">
        <v>0</v>
      </c>
      <c r="AB39" s="327">
        <v>390.75</v>
      </c>
      <c r="AC39" s="307">
        <v>1577</v>
      </c>
      <c r="AD39" s="307">
        <v>2171.6999999999998</v>
      </c>
      <c r="AE39" s="307">
        <v>1635.5</v>
      </c>
      <c r="AF39" s="307">
        <v>2554.0500000000002</v>
      </c>
      <c r="AG39" s="307">
        <v>586.6</v>
      </c>
      <c r="AH39" s="325">
        <v>1388.75</v>
      </c>
      <c r="AI39" s="325">
        <v>1310</v>
      </c>
      <c r="AJ39" s="308">
        <v>476.75</v>
      </c>
      <c r="AK39" s="303">
        <f t="shared" si="4"/>
        <v>36216.04</v>
      </c>
    </row>
    <row r="40" spans="1:37" x14ac:dyDescent="0.35">
      <c r="A40" s="313" t="s">
        <v>289</v>
      </c>
      <c r="B40" s="314">
        <v>787.5</v>
      </c>
      <c r="C40" s="314">
        <v>1750</v>
      </c>
      <c r="D40" s="314">
        <v>450</v>
      </c>
      <c r="E40" s="314">
        <v>450</v>
      </c>
      <c r="F40" s="314">
        <v>923</v>
      </c>
      <c r="G40" s="314">
        <v>2577.75</v>
      </c>
      <c r="H40" s="314">
        <v>1000.5</v>
      </c>
      <c r="I40" s="314">
        <v>646.75</v>
      </c>
      <c r="J40" s="314">
        <v>1258</v>
      </c>
      <c r="K40" s="314">
        <v>464</v>
      </c>
      <c r="L40" s="314">
        <v>154</v>
      </c>
      <c r="M40" s="314">
        <v>1644</v>
      </c>
      <c r="N40" s="314">
        <v>110</v>
      </c>
      <c r="O40" s="314">
        <v>2494.5</v>
      </c>
      <c r="P40" s="314">
        <v>30</v>
      </c>
      <c r="Q40" s="314">
        <v>1365</v>
      </c>
      <c r="R40" s="314">
        <v>1537</v>
      </c>
      <c r="S40" s="314">
        <v>0</v>
      </c>
      <c r="T40" s="314">
        <v>88</v>
      </c>
      <c r="U40" s="314">
        <v>0</v>
      </c>
      <c r="V40" s="316">
        <v>130</v>
      </c>
      <c r="W40" s="314">
        <v>1459</v>
      </c>
      <c r="X40" s="330">
        <v>225</v>
      </c>
      <c r="Y40" s="323">
        <v>618</v>
      </c>
      <c r="Z40" s="323">
        <v>1020.25</v>
      </c>
      <c r="AA40" s="323">
        <v>0</v>
      </c>
      <c r="AB40" s="323">
        <v>0</v>
      </c>
      <c r="AC40" s="323">
        <v>0</v>
      </c>
      <c r="AD40" s="323">
        <v>0</v>
      </c>
      <c r="AE40" s="323">
        <v>605</v>
      </c>
      <c r="AF40" s="323">
        <v>1468.5</v>
      </c>
      <c r="AG40" s="323">
        <v>518</v>
      </c>
      <c r="AH40" s="314">
        <v>0</v>
      </c>
      <c r="AI40" s="314">
        <v>450</v>
      </c>
      <c r="AJ40" s="316">
        <v>745.5</v>
      </c>
      <c r="AK40" s="303">
        <f t="shared" si="4"/>
        <v>24969.25</v>
      </c>
    </row>
    <row r="41" spans="1:37" x14ac:dyDescent="0.35">
      <c r="A41" s="304" t="s">
        <v>320</v>
      </c>
      <c r="B41" s="305">
        <v>500</v>
      </c>
      <c r="C41" s="305">
        <v>0</v>
      </c>
      <c r="D41" s="305">
        <v>945</v>
      </c>
      <c r="E41" s="305">
        <v>500</v>
      </c>
      <c r="F41" s="305">
        <v>500</v>
      </c>
      <c r="G41" s="305">
        <v>12318</v>
      </c>
      <c r="H41" s="305">
        <v>1803</v>
      </c>
      <c r="I41" s="305">
        <v>701</v>
      </c>
      <c r="J41" s="269">
        <v>1300.25</v>
      </c>
      <c r="K41" s="305">
        <v>909</v>
      </c>
      <c r="L41" s="305">
        <v>676</v>
      </c>
      <c r="M41" s="305">
        <v>0</v>
      </c>
      <c r="N41" s="307">
        <v>0</v>
      </c>
      <c r="O41" s="307">
        <v>0</v>
      </c>
      <c r="P41" s="308">
        <v>0</v>
      </c>
      <c r="Q41" s="307">
        <v>1207</v>
      </c>
      <c r="R41" s="307">
        <v>64</v>
      </c>
      <c r="S41" s="307">
        <v>0</v>
      </c>
      <c r="T41" s="307">
        <v>1535</v>
      </c>
      <c r="U41" s="307">
        <v>2514</v>
      </c>
      <c r="V41" s="308">
        <v>0</v>
      </c>
      <c r="W41" s="307">
        <v>276</v>
      </c>
      <c r="X41" s="308">
        <v>230</v>
      </c>
      <c r="Y41" s="308">
        <v>0</v>
      </c>
      <c r="Z41" s="325">
        <v>0</v>
      </c>
      <c r="AA41" s="325">
        <v>22124.39</v>
      </c>
      <c r="AB41" s="325">
        <v>545</v>
      </c>
      <c r="AC41" s="325">
        <v>3922.39</v>
      </c>
      <c r="AD41" s="325">
        <v>1035</v>
      </c>
      <c r="AE41" s="325">
        <v>796</v>
      </c>
      <c r="AF41" s="325">
        <v>1694</v>
      </c>
      <c r="AG41" s="308">
        <v>900</v>
      </c>
      <c r="AH41" s="307">
        <v>0</v>
      </c>
      <c r="AI41" s="307">
        <v>0</v>
      </c>
      <c r="AJ41" s="308">
        <v>190</v>
      </c>
      <c r="AK41" s="303">
        <f t="shared" si="4"/>
        <v>57185.03</v>
      </c>
    </row>
    <row r="42" spans="1:37" x14ac:dyDescent="0.35">
      <c r="A42" s="313" t="s">
        <v>291</v>
      </c>
      <c r="B42" s="314">
        <v>882.65</v>
      </c>
      <c r="C42" s="316">
        <v>2984.82</v>
      </c>
      <c r="D42" s="314">
        <v>0</v>
      </c>
      <c r="E42" s="314">
        <v>927.23</v>
      </c>
      <c r="F42" s="316">
        <v>385</v>
      </c>
      <c r="G42" s="314">
        <v>1536.91</v>
      </c>
      <c r="H42" s="314">
        <v>492.25</v>
      </c>
      <c r="I42" s="314">
        <v>0</v>
      </c>
      <c r="J42" s="316">
        <v>546</v>
      </c>
      <c r="K42" s="314">
        <v>451</v>
      </c>
      <c r="L42" s="314">
        <v>0</v>
      </c>
      <c r="M42" s="314">
        <v>660</v>
      </c>
      <c r="N42" s="314">
        <v>880</v>
      </c>
      <c r="O42" s="314">
        <v>175</v>
      </c>
      <c r="P42" s="314">
        <v>500</v>
      </c>
      <c r="Q42" s="314">
        <v>400</v>
      </c>
      <c r="R42" s="316">
        <v>48</v>
      </c>
      <c r="S42" s="316">
        <v>390</v>
      </c>
      <c r="T42" s="314">
        <v>50</v>
      </c>
      <c r="U42" s="314">
        <v>352</v>
      </c>
      <c r="V42" s="316">
        <v>145</v>
      </c>
      <c r="W42" s="314">
        <v>1647.75</v>
      </c>
      <c r="X42" s="330">
        <v>300</v>
      </c>
      <c r="Y42" s="323">
        <v>1247.92</v>
      </c>
      <c r="Z42" s="323">
        <v>752</v>
      </c>
      <c r="AA42" s="323">
        <v>919.75</v>
      </c>
      <c r="AB42" s="323">
        <v>7703.35</v>
      </c>
      <c r="AC42" s="331">
        <v>3582</v>
      </c>
      <c r="AD42" s="332">
        <v>2039.15</v>
      </c>
      <c r="AE42" s="332">
        <v>1935.5</v>
      </c>
      <c r="AF42" s="331">
        <v>5255.5</v>
      </c>
      <c r="AG42" s="331">
        <v>5223</v>
      </c>
      <c r="AH42" s="333">
        <v>197</v>
      </c>
      <c r="AI42" s="333">
        <v>3293</v>
      </c>
      <c r="AJ42" s="332">
        <v>500</v>
      </c>
      <c r="AK42" s="303">
        <f t="shared" si="4"/>
        <v>46401.78</v>
      </c>
    </row>
    <row r="43" spans="1:37" x14ac:dyDescent="0.35">
      <c r="A43" s="304" t="s">
        <v>292</v>
      </c>
      <c r="B43" s="305">
        <v>10599.64</v>
      </c>
      <c r="C43" s="305">
        <v>10599.64</v>
      </c>
      <c r="D43" s="307">
        <v>7949.73</v>
      </c>
      <c r="E43" s="305">
        <v>7949.73</v>
      </c>
      <c r="F43" s="305">
        <v>2649.91</v>
      </c>
      <c r="G43" s="305">
        <v>18549.37</v>
      </c>
      <c r="H43" s="305">
        <v>15899.4</v>
      </c>
      <c r="I43" s="305">
        <v>18549.37</v>
      </c>
      <c r="J43" s="305">
        <v>7949.73</v>
      </c>
      <c r="K43" s="305">
        <v>7949.73</v>
      </c>
      <c r="L43" s="305">
        <v>5299.82</v>
      </c>
      <c r="M43" s="305">
        <v>7949.73</v>
      </c>
      <c r="N43" s="305">
        <v>2649.91</v>
      </c>
      <c r="O43" s="307">
        <v>15899.46</v>
      </c>
      <c r="P43" s="305">
        <v>2649.91</v>
      </c>
      <c r="Q43" s="305">
        <v>7949.73</v>
      </c>
      <c r="R43" s="305">
        <v>5299.82</v>
      </c>
      <c r="S43" s="305">
        <v>5299.82</v>
      </c>
      <c r="T43" s="305">
        <v>7949.73</v>
      </c>
      <c r="U43" s="305">
        <v>10599.64</v>
      </c>
      <c r="V43" s="269">
        <v>2649.91</v>
      </c>
      <c r="W43" s="305">
        <v>10599.64</v>
      </c>
      <c r="X43" s="269">
        <v>2649.91</v>
      </c>
      <c r="Y43" s="334">
        <v>2649.91</v>
      </c>
      <c r="Z43" s="334">
        <v>5299.82</v>
      </c>
      <c r="AA43" s="334">
        <v>7949.73</v>
      </c>
      <c r="AB43" s="334">
        <v>7949.73</v>
      </c>
      <c r="AC43" s="334">
        <v>7949.73</v>
      </c>
      <c r="AD43" s="334">
        <v>2649.91</v>
      </c>
      <c r="AE43" s="334">
        <v>4649.91</v>
      </c>
      <c r="AF43" s="334">
        <v>15899.46</v>
      </c>
      <c r="AG43" s="334">
        <v>7949.73</v>
      </c>
      <c r="AH43" s="305">
        <v>2649.91</v>
      </c>
      <c r="AI43" s="305">
        <v>2549.91</v>
      </c>
      <c r="AJ43" s="269">
        <v>2632.51</v>
      </c>
      <c r="AK43" s="303">
        <f t="shared" si="4"/>
        <v>266873.54000000004</v>
      </c>
    </row>
    <row r="44" spans="1:37" x14ac:dyDescent="0.35">
      <c r="A44" s="313" t="s">
        <v>321</v>
      </c>
      <c r="B44" s="314">
        <v>2996.36</v>
      </c>
      <c r="C44" s="314">
        <v>2996.36</v>
      </c>
      <c r="D44" s="314">
        <v>2247.27</v>
      </c>
      <c r="E44" s="314">
        <v>2247.27</v>
      </c>
      <c r="F44" s="314">
        <v>749.09</v>
      </c>
      <c r="G44" s="314">
        <v>5243.63</v>
      </c>
      <c r="H44" s="314">
        <v>4494</v>
      </c>
      <c r="I44" s="314">
        <v>5243.63</v>
      </c>
      <c r="J44" s="314">
        <v>2247.27</v>
      </c>
      <c r="K44" s="314">
        <v>2247.27</v>
      </c>
      <c r="L44" s="314">
        <v>1498.18</v>
      </c>
      <c r="M44" s="314">
        <v>2247.27</v>
      </c>
      <c r="N44" s="314">
        <v>749.09</v>
      </c>
      <c r="O44" s="314">
        <v>4494.54</v>
      </c>
      <c r="P44" s="314">
        <v>749.09</v>
      </c>
      <c r="Q44" s="314">
        <v>2247.27</v>
      </c>
      <c r="R44" s="314">
        <v>1498.18</v>
      </c>
      <c r="S44" s="314">
        <v>1498.18</v>
      </c>
      <c r="T44" s="314">
        <v>2247.27</v>
      </c>
      <c r="U44" s="314">
        <v>2996.36</v>
      </c>
      <c r="V44" s="316">
        <v>749.09</v>
      </c>
      <c r="W44" s="314">
        <v>2996.36</v>
      </c>
      <c r="X44" s="316">
        <v>749.09</v>
      </c>
      <c r="Y44" s="323">
        <v>749.09</v>
      </c>
      <c r="Z44" s="323">
        <v>1498.18</v>
      </c>
      <c r="AA44" s="323">
        <v>2247.27</v>
      </c>
      <c r="AB44" s="323">
        <v>2247.27</v>
      </c>
      <c r="AC44" s="331">
        <v>2247.27</v>
      </c>
      <c r="AD44" s="331">
        <v>749.09</v>
      </c>
      <c r="AE44" s="331">
        <v>749.09</v>
      </c>
      <c r="AF44" s="331">
        <v>4494.54</v>
      </c>
      <c r="AG44" s="331">
        <v>2247.27</v>
      </c>
      <c r="AH44" s="333">
        <v>749.09</v>
      </c>
      <c r="AI44" s="333">
        <v>749.09</v>
      </c>
      <c r="AJ44" s="332">
        <v>749.09</v>
      </c>
      <c r="AK44" s="303">
        <f t="shared" si="4"/>
        <v>74908.459999999948</v>
      </c>
    </row>
    <row r="45" spans="1:37" x14ac:dyDescent="0.35">
      <c r="A45" s="304" t="s">
        <v>322</v>
      </c>
      <c r="B45" s="269">
        <v>0</v>
      </c>
      <c r="C45" s="269">
        <v>0</v>
      </c>
      <c r="D45" s="269">
        <v>0</v>
      </c>
      <c r="E45" s="269">
        <v>0</v>
      </c>
      <c r="F45" s="269">
        <v>0</v>
      </c>
      <c r="G45" s="269">
        <v>0</v>
      </c>
      <c r="H45" s="269">
        <v>0</v>
      </c>
      <c r="I45" s="269">
        <v>0</v>
      </c>
      <c r="J45" s="334">
        <v>0</v>
      </c>
      <c r="K45" s="334">
        <v>0</v>
      </c>
      <c r="L45" s="269">
        <v>0</v>
      </c>
      <c r="M45" s="269">
        <v>0</v>
      </c>
      <c r="N45" s="269">
        <v>0</v>
      </c>
      <c r="O45" s="334">
        <v>0</v>
      </c>
      <c r="P45" s="269">
        <v>0</v>
      </c>
      <c r="Q45" s="269">
        <v>0</v>
      </c>
      <c r="R45" s="269">
        <v>0</v>
      </c>
      <c r="S45" s="269">
        <v>0</v>
      </c>
      <c r="T45" s="269">
        <v>0</v>
      </c>
      <c r="U45" s="334">
        <v>0</v>
      </c>
      <c r="V45" s="269">
        <v>0</v>
      </c>
      <c r="W45" s="269">
        <v>0</v>
      </c>
      <c r="X45" s="269">
        <v>0</v>
      </c>
      <c r="Y45" s="334">
        <v>0</v>
      </c>
      <c r="Z45" s="269">
        <v>0</v>
      </c>
      <c r="AA45" s="269">
        <v>0</v>
      </c>
      <c r="AB45" s="334">
        <v>0</v>
      </c>
      <c r="AC45" s="269">
        <v>0</v>
      </c>
      <c r="AD45" s="334">
        <v>0</v>
      </c>
      <c r="AE45" s="334">
        <v>0</v>
      </c>
      <c r="AF45" s="269">
        <v>0</v>
      </c>
      <c r="AG45" s="269">
        <v>0</v>
      </c>
      <c r="AH45" s="269">
        <v>0</v>
      </c>
      <c r="AI45" s="269">
        <v>0</v>
      </c>
      <c r="AJ45" s="269">
        <v>0</v>
      </c>
      <c r="AK45" s="303">
        <f t="shared" si="4"/>
        <v>0</v>
      </c>
    </row>
    <row r="46" spans="1:37" x14ac:dyDescent="0.35">
      <c r="A46" s="336" t="s">
        <v>323</v>
      </c>
      <c r="B46" s="336">
        <f t="shared" ref="B46:AD46" si="5">SUM(B14:B45)</f>
        <v>197345.77999999997</v>
      </c>
      <c r="C46" s="336">
        <f t="shared" si="5"/>
        <v>191115.43</v>
      </c>
      <c r="D46" s="336">
        <f t="shared" si="5"/>
        <v>143090.97999999998</v>
      </c>
      <c r="E46" s="336">
        <f t="shared" si="5"/>
        <v>165711.23000000001</v>
      </c>
      <c r="F46" s="336">
        <f t="shared" si="5"/>
        <v>99188.150000000009</v>
      </c>
      <c r="G46" s="336">
        <f t="shared" si="5"/>
        <v>377162.71999999991</v>
      </c>
      <c r="H46" s="336">
        <f t="shared" si="5"/>
        <v>194393.58</v>
      </c>
      <c r="I46" s="336">
        <f t="shared" si="5"/>
        <v>303332.75999999995</v>
      </c>
      <c r="J46" s="336">
        <f t="shared" si="5"/>
        <v>166045.12999999998</v>
      </c>
      <c r="K46" s="336">
        <f t="shared" si="5"/>
        <v>146602.23999999999</v>
      </c>
      <c r="L46" s="336">
        <f t="shared" si="5"/>
        <v>93038.889999999985</v>
      </c>
      <c r="M46" s="336">
        <f t="shared" si="5"/>
        <v>186939.42</v>
      </c>
      <c r="N46" s="336">
        <f t="shared" si="5"/>
        <v>81372.7</v>
      </c>
      <c r="O46" s="336">
        <f t="shared" si="5"/>
        <v>308318.82</v>
      </c>
      <c r="P46" s="336">
        <f t="shared" si="5"/>
        <v>67297.210000000006</v>
      </c>
      <c r="Q46" s="336">
        <f t="shared" si="5"/>
        <v>224151.86999999997</v>
      </c>
      <c r="R46" s="336">
        <f t="shared" si="5"/>
        <v>136718.26999999999</v>
      </c>
      <c r="S46" s="336">
        <f t="shared" si="5"/>
        <v>138226.31</v>
      </c>
      <c r="T46" s="336">
        <f t="shared" si="5"/>
        <v>222658.89999999997</v>
      </c>
      <c r="U46" s="336">
        <f t="shared" si="5"/>
        <v>217164</v>
      </c>
      <c r="V46" s="336">
        <f t="shared" si="5"/>
        <v>124616.18999999999</v>
      </c>
      <c r="W46" s="336">
        <f t="shared" si="5"/>
        <v>199098.47999999998</v>
      </c>
      <c r="X46" s="336">
        <f t="shared" si="5"/>
        <v>135828.19</v>
      </c>
      <c r="Y46" s="336">
        <f t="shared" si="5"/>
        <v>141088.6</v>
      </c>
      <c r="Z46" s="336">
        <f t="shared" si="5"/>
        <v>147640.99</v>
      </c>
      <c r="AA46" s="336">
        <f t="shared" si="5"/>
        <v>212790.21999999997</v>
      </c>
      <c r="AB46" s="336">
        <f t="shared" si="5"/>
        <v>193655.65</v>
      </c>
      <c r="AC46" s="336">
        <f t="shared" si="5"/>
        <v>169446.61000000002</v>
      </c>
      <c r="AD46" s="336">
        <f t="shared" si="5"/>
        <v>167805.17</v>
      </c>
      <c r="AE46" s="336">
        <v>149790.71</v>
      </c>
      <c r="AF46" s="336">
        <f t="shared" ref="AF46:AJ46" si="6">SUM(AF14:AF45)</f>
        <v>304991.64999999997</v>
      </c>
      <c r="AG46" s="336">
        <f t="shared" si="6"/>
        <v>128213.89000000001</v>
      </c>
      <c r="AH46" s="336">
        <f t="shared" si="6"/>
        <v>140488.87999999998</v>
      </c>
      <c r="AI46" s="336">
        <f t="shared" si="6"/>
        <v>175092</v>
      </c>
      <c r="AJ46" s="336">
        <f t="shared" si="6"/>
        <v>78593.149999999994</v>
      </c>
      <c r="AK46" s="303">
        <f t="shared" si="4"/>
        <v>6129014.7700000005</v>
      </c>
    </row>
    <row r="47" spans="1:37" x14ac:dyDescent="0.35">
      <c r="A47" s="304" t="s">
        <v>8</v>
      </c>
      <c r="B47" s="305">
        <f t="shared" ref="B47:AD47" si="7">B10-B11-B46</f>
        <v>35582.760000000009</v>
      </c>
      <c r="C47" s="305">
        <f t="shared" si="7"/>
        <v>106196.25999999995</v>
      </c>
      <c r="D47" s="305">
        <f t="shared" si="7"/>
        <v>18209.850000000035</v>
      </c>
      <c r="E47" s="305">
        <f t="shared" si="7"/>
        <v>28506.059999999969</v>
      </c>
      <c r="F47" s="305">
        <f t="shared" si="7"/>
        <v>29393.020000000004</v>
      </c>
      <c r="G47" s="305">
        <f t="shared" si="7"/>
        <v>260165.59000000014</v>
      </c>
      <c r="H47" s="305">
        <f t="shared" si="7"/>
        <v>76091.290000000008</v>
      </c>
      <c r="I47" s="305">
        <f t="shared" si="7"/>
        <v>116095.65000000008</v>
      </c>
      <c r="J47" s="305">
        <f t="shared" si="7"/>
        <v>18714.150000000052</v>
      </c>
      <c r="K47" s="305">
        <f t="shared" si="7"/>
        <v>54243.549999999988</v>
      </c>
      <c r="L47" s="305">
        <f t="shared" si="7"/>
        <v>10614.360000000015</v>
      </c>
      <c r="M47" s="305">
        <f t="shared" si="7"/>
        <v>77951.819999999978</v>
      </c>
      <c r="N47" s="305">
        <f t="shared" si="7"/>
        <v>23704.270000000004</v>
      </c>
      <c r="O47" s="305">
        <f t="shared" si="7"/>
        <v>199632.10999999993</v>
      </c>
      <c r="P47" s="305">
        <f t="shared" si="7"/>
        <v>21963.58</v>
      </c>
      <c r="Q47" s="305">
        <f t="shared" si="7"/>
        <v>141026.00000000003</v>
      </c>
      <c r="R47" s="305">
        <f t="shared" si="7"/>
        <v>36794.630000000034</v>
      </c>
      <c r="S47" s="305">
        <f t="shared" si="7"/>
        <v>71627.789999999979</v>
      </c>
      <c r="T47" s="305">
        <f t="shared" si="7"/>
        <v>187777.90000000008</v>
      </c>
      <c r="U47" s="305">
        <f t="shared" si="7"/>
        <v>151944.24</v>
      </c>
      <c r="V47" s="305">
        <f t="shared" si="7"/>
        <v>43869.900000000038</v>
      </c>
      <c r="W47" s="305">
        <f t="shared" si="7"/>
        <v>82431.420000000042</v>
      </c>
      <c r="X47" s="305">
        <f t="shared" si="7"/>
        <v>83068.989999999991</v>
      </c>
      <c r="Y47" s="305">
        <f t="shared" si="7"/>
        <v>104044.09</v>
      </c>
      <c r="Z47" s="305">
        <f t="shared" si="7"/>
        <v>88749.359999999986</v>
      </c>
      <c r="AA47" s="305">
        <f t="shared" si="7"/>
        <v>56665.150000000023</v>
      </c>
      <c r="AB47" s="305">
        <f t="shared" si="7"/>
        <v>142428.35</v>
      </c>
      <c r="AC47" s="305">
        <f t="shared" si="7"/>
        <v>71165.619999999966</v>
      </c>
      <c r="AD47" s="305">
        <f t="shared" si="7"/>
        <v>68274.290000000008</v>
      </c>
      <c r="AE47" s="305">
        <v>67348.539999999994</v>
      </c>
      <c r="AF47" s="305">
        <f t="shared" ref="AF47:AJ47" si="8">AF10-AF11-AF46</f>
        <v>250364.72999999992</v>
      </c>
      <c r="AG47" s="305">
        <f t="shared" si="8"/>
        <v>10441.229999999981</v>
      </c>
      <c r="AH47" s="305">
        <f t="shared" si="8"/>
        <v>37352.500000000029</v>
      </c>
      <c r="AI47" s="305">
        <f t="shared" si="8"/>
        <v>72440</v>
      </c>
      <c r="AJ47" s="305">
        <f t="shared" si="8"/>
        <v>15628.670000000013</v>
      </c>
      <c r="AK47" s="303">
        <f t="shared" si="4"/>
        <v>2860507.7200000007</v>
      </c>
    </row>
    <row r="48" spans="1:37" x14ac:dyDescent="0.35">
      <c r="A48" s="304" t="s">
        <v>325</v>
      </c>
      <c r="B48" s="305">
        <f t="shared" ref="B48:AD48" si="9">B47*20%</f>
        <v>7116.5520000000024</v>
      </c>
      <c r="C48" s="305">
        <f t="shared" si="9"/>
        <v>21239.251999999993</v>
      </c>
      <c r="D48" s="305">
        <f t="shared" si="9"/>
        <v>3641.9700000000071</v>
      </c>
      <c r="E48" s="305">
        <f t="shared" si="9"/>
        <v>5701.2119999999941</v>
      </c>
      <c r="F48" s="305">
        <f t="shared" si="9"/>
        <v>5878.6040000000012</v>
      </c>
      <c r="G48" s="305">
        <f t="shared" si="9"/>
        <v>52033.118000000031</v>
      </c>
      <c r="H48" s="305">
        <f t="shared" si="9"/>
        <v>15218.258000000002</v>
      </c>
      <c r="I48" s="305">
        <f t="shared" si="9"/>
        <v>23219.130000000019</v>
      </c>
      <c r="J48" s="305">
        <f t="shared" si="9"/>
        <v>3742.8300000000108</v>
      </c>
      <c r="K48" s="305">
        <f t="shared" si="9"/>
        <v>10848.71</v>
      </c>
      <c r="L48" s="305">
        <f t="shared" si="9"/>
        <v>2122.872000000003</v>
      </c>
      <c r="M48" s="305">
        <f t="shared" si="9"/>
        <v>15590.363999999996</v>
      </c>
      <c r="N48" s="305">
        <f t="shared" si="9"/>
        <v>4740.8540000000012</v>
      </c>
      <c r="O48" s="305">
        <f t="shared" si="9"/>
        <v>39926.421999999991</v>
      </c>
      <c r="P48" s="305">
        <f t="shared" si="9"/>
        <v>4392.7160000000003</v>
      </c>
      <c r="Q48" s="305">
        <f t="shared" si="9"/>
        <v>28205.200000000008</v>
      </c>
      <c r="R48" s="305">
        <f t="shared" si="9"/>
        <v>7358.9260000000068</v>
      </c>
      <c r="S48" s="305">
        <f t="shared" si="9"/>
        <v>14325.557999999997</v>
      </c>
      <c r="T48" s="305">
        <f t="shared" si="9"/>
        <v>37555.580000000016</v>
      </c>
      <c r="U48" s="305">
        <f t="shared" si="9"/>
        <v>30388.847999999998</v>
      </c>
      <c r="V48" s="305">
        <f t="shared" si="9"/>
        <v>8773.9800000000087</v>
      </c>
      <c r="W48" s="305">
        <f t="shared" si="9"/>
        <v>16486.284000000011</v>
      </c>
      <c r="X48" s="305">
        <f t="shared" si="9"/>
        <v>16613.797999999999</v>
      </c>
      <c r="Y48" s="305">
        <f t="shared" si="9"/>
        <v>20808.817999999999</v>
      </c>
      <c r="Z48" s="305">
        <f t="shared" si="9"/>
        <v>17749.871999999999</v>
      </c>
      <c r="AA48" s="305">
        <f t="shared" si="9"/>
        <v>11333.030000000006</v>
      </c>
      <c r="AB48" s="305">
        <f t="shared" si="9"/>
        <v>28485.670000000002</v>
      </c>
      <c r="AC48" s="305">
        <f t="shared" si="9"/>
        <v>14233.123999999994</v>
      </c>
      <c r="AD48" s="305">
        <f t="shared" si="9"/>
        <v>13654.858000000002</v>
      </c>
      <c r="AE48" s="305">
        <v>13469.71</v>
      </c>
      <c r="AF48" s="305">
        <f t="shared" ref="AF48:AJ48" si="10">AF47*20%</f>
        <v>50072.945999999989</v>
      </c>
      <c r="AG48" s="305">
        <f t="shared" si="10"/>
        <v>2088.2459999999965</v>
      </c>
      <c r="AH48" s="305">
        <f t="shared" si="10"/>
        <v>7470.5000000000064</v>
      </c>
      <c r="AI48" s="305">
        <f t="shared" si="10"/>
        <v>14488</v>
      </c>
      <c r="AJ48" s="305">
        <f t="shared" si="10"/>
        <v>3125.7340000000027</v>
      </c>
      <c r="AK48" s="303">
        <f t="shared" si="4"/>
        <v>572101.54600000009</v>
      </c>
    </row>
    <row r="49" spans="1:37" x14ac:dyDescent="0.35">
      <c r="A49" s="304" t="s">
        <v>81</v>
      </c>
      <c r="B49" s="305">
        <f t="shared" ref="B49:AD49" si="11">B47*80%</f>
        <v>28466.20800000001</v>
      </c>
      <c r="C49" s="305">
        <f t="shared" si="11"/>
        <v>84957.007999999973</v>
      </c>
      <c r="D49" s="305">
        <f t="shared" si="11"/>
        <v>14567.880000000028</v>
      </c>
      <c r="E49" s="305">
        <f t="shared" si="11"/>
        <v>22804.847999999976</v>
      </c>
      <c r="F49" s="305">
        <f t="shared" si="11"/>
        <v>23514.416000000005</v>
      </c>
      <c r="G49" s="305">
        <f t="shared" si="11"/>
        <v>208132.47200000013</v>
      </c>
      <c r="H49" s="305">
        <f t="shared" si="11"/>
        <v>60873.032000000007</v>
      </c>
      <c r="I49" s="305">
        <f t="shared" si="11"/>
        <v>92876.520000000077</v>
      </c>
      <c r="J49" s="305">
        <f t="shared" si="11"/>
        <v>14971.320000000043</v>
      </c>
      <c r="K49" s="305">
        <f t="shared" si="11"/>
        <v>43394.84</v>
      </c>
      <c r="L49" s="305">
        <f t="shared" si="11"/>
        <v>8491.4880000000121</v>
      </c>
      <c r="M49" s="305">
        <f t="shared" si="11"/>
        <v>62361.455999999984</v>
      </c>
      <c r="N49" s="305">
        <f t="shared" si="11"/>
        <v>18963.416000000005</v>
      </c>
      <c r="O49" s="305">
        <f t="shared" si="11"/>
        <v>159705.68799999997</v>
      </c>
      <c r="P49" s="305">
        <f t="shared" si="11"/>
        <v>17570.864000000001</v>
      </c>
      <c r="Q49" s="305">
        <f t="shared" si="11"/>
        <v>112820.80000000003</v>
      </c>
      <c r="R49" s="305">
        <f t="shared" si="11"/>
        <v>29435.704000000027</v>
      </c>
      <c r="S49" s="305">
        <f t="shared" si="11"/>
        <v>57302.231999999989</v>
      </c>
      <c r="T49" s="305">
        <f t="shared" si="11"/>
        <v>150222.32000000007</v>
      </c>
      <c r="U49" s="305">
        <f t="shared" si="11"/>
        <v>121555.39199999999</v>
      </c>
      <c r="V49" s="305">
        <f t="shared" si="11"/>
        <v>35095.920000000035</v>
      </c>
      <c r="W49" s="305">
        <f t="shared" si="11"/>
        <v>65945.136000000042</v>
      </c>
      <c r="X49" s="305">
        <f t="shared" si="11"/>
        <v>66455.191999999995</v>
      </c>
      <c r="Y49" s="305">
        <f t="shared" si="11"/>
        <v>83235.271999999997</v>
      </c>
      <c r="Z49" s="305">
        <f t="shared" si="11"/>
        <v>70999.487999999998</v>
      </c>
      <c r="AA49" s="305">
        <f t="shared" si="11"/>
        <v>45332.120000000024</v>
      </c>
      <c r="AB49" s="305">
        <f t="shared" si="11"/>
        <v>113942.68000000001</v>
      </c>
      <c r="AC49" s="305">
        <f t="shared" si="11"/>
        <v>56932.495999999977</v>
      </c>
      <c r="AD49" s="305">
        <f t="shared" si="11"/>
        <v>54619.432000000008</v>
      </c>
      <c r="AE49" s="305">
        <v>53878.83</v>
      </c>
      <c r="AF49" s="305">
        <f t="shared" ref="AF49:AJ49" si="12">AF47*80%</f>
        <v>200291.78399999996</v>
      </c>
      <c r="AG49" s="305">
        <f t="shared" si="12"/>
        <v>8352.9839999999858</v>
      </c>
      <c r="AH49" s="305">
        <f t="shared" si="12"/>
        <v>29882.000000000025</v>
      </c>
      <c r="AI49" s="305">
        <f t="shared" si="12"/>
        <v>57952</v>
      </c>
      <c r="AJ49" s="305">
        <f t="shared" si="12"/>
        <v>12502.936000000011</v>
      </c>
      <c r="AK49" s="303">
        <f t="shared" si="4"/>
        <v>2288406.1740000006</v>
      </c>
    </row>
    <row r="50" spans="1:37" x14ac:dyDescent="0.35">
      <c r="A50" s="296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311"/>
    </row>
    <row r="51" spans="1:37" x14ac:dyDescent="0.35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  <c r="AA51" s="339"/>
      <c r="AB51" s="339"/>
      <c r="AC51" s="339"/>
      <c r="AD51" s="339"/>
      <c r="AE51" s="339"/>
      <c r="AF51" s="339"/>
      <c r="AG51" s="339"/>
      <c r="AH51" s="289"/>
      <c r="AI51" s="289"/>
      <c r="AJ51" s="289"/>
      <c r="AK51" s="289"/>
    </row>
    <row r="52" spans="1:37" x14ac:dyDescent="0.35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</row>
    <row r="53" spans="1:37" x14ac:dyDescent="0.35">
      <c r="A53" s="289"/>
      <c r="B53" s="291" t="s">
        <v>326</v>
      </c>
      <c r="C53" s="289"/>
      <c r="D53" s="289"/>
      <c r="E53" s="291" t="s">
        <v>327</v>
      </c>
      <c r="F53" s="289"/>
      <c r="G53" s="289"/>
      <c r="H53" s="291" t="s">
        <v>328</v>
      </c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</row>
    <row r="54" spans="1:37" x14ac:dyDescent="0.35">
      <c r="A54" s="289"/>
      <c r="B54" s="338" t="s">
        <v>329</v>
      </c>
      <c r="C54" s="289"/>
      <c r="D54" s="289"/>
      <c r="E54" s="338" t="s">
        <v>330</v>
      </c>
      <c r="F54" s="289"/>
      <c r="G54" s="289"/>
      <c r="H54" s="338" t="s">
        <v>331</v>
      </c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</row>
    <row r="55" spans="1:37" x14ac:dyDescent="0.3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33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</row>
    <row r="56" spans="1:37" x14ac:dyDescent="0.35">
      <c r="A56" s="141"/>
      <c r="B56" s="289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</row>
    <row r="57" spans="1:37" x14ac:dyDescent="0.35">
      <c r="A57" s="141"/>
      <c r="B57" s="289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</row>
    <row r="58" spans="1:37" x14ac:dyDescent="0.35">
      <c r="A58" s="141"/>
      <c r="B58" s="289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</row>
    <row r="59" spans="1:37" x14ac:dyDescent="0.35">
      <c r="A59" s="141"/>
      <c r="B59" s="289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</row>
    <row r="60" spans="1:37" x14ac:dyDescent="0.35">
      <c r="A60" s="141"/>
      <c r="B60" s="289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</row>
    <row r="61" spans="1:37" x14ac:dyDescent="0.35">
      <c r="A61" s="141"/>
      <c r="B61" s="289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</row>
    <row r="62" spans="1:37" x14ac:dyDescent="0.35">
      <c r="A62" s="141"/>
      <c r="B62" s="289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</row>
    <row r="63" spans="1:37" x14ac:dyDescent="0.35">
      <c r="A63" s="141"/>
      <c r="B63" s="289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</row>
    <row r="64" spans="1:37" x14ac:dyDescent="0.35">
      <c r="A64" s="141"/>
      <c r="B64" s="289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</row>
    <row r="65" spans="1:37" x14ac:dyDescent="0.35">
      <c r="A65" s="141"/>
      <c r="B65" s="289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</row>
    <row r="66" spans="1:37" x14ac:dyDescent="0.35">
      <c r="A66" s="141"/>
      <c r="B66" s="289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</row>
    <row r="67" spans="1:37" x14ac:dyDescent="0.35">
      <c r="A67" s="141"/>
      <c r="B67" s="289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</row>
    <row r="68" spans="1:37" x14ac:dyDescent="0.35">
      <c r="A68" s="141"/>
      <c r="B68" s="289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</row>
    <row r="69" spans="1:37" x14ac:dyDescent="0.35">
      <c r="A69" s="141"/>
      <c r="B69" s="289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</row>
    <row r="70" spans="1:37" x14ac:dyDescent="0.35">
      <c r="A70" s="141"/>
      <c r="B70" s="289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</row>
    <row r="71" spans="1:37" x14ac:dyDescent="0.35">
      <c r="A71" s="141"/>
      <c r="B71" s="289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</row>
    <row r="72" spans="1:37" x14ac:dyDescent="0.35">
      <c r="A72" s="341"/>
      <c r="B72" s="342"/>
      <c r="C72" s="341"/>
      <c r="D72" s="341"/>
      <c r="E72" s="341"/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</row>
    <row r="73" spans="1:37" x14ac:dyDescent="0.35">
      <c r="A73" s="343"/>
      <c r="B73" s="344"/>
      <c r="C73" s="343"/>
      <c r="D73" s="343"/>
      <c r="E73" s="343"/>
      <c r="F73" s="343"/>
      <c r="G73" s="343"/>
      <c r="H73" s="343"/>
      <c r="I73" s="343"/>
      <c r="J73" s="343"/>
      <c r="K73" s="343"/>
      <c r="L73" s="343"/>
      <c r="M73" s="343"/>
      <c r="N73" s="343"/>
      <c r="O73" s="343"/>
      <c r="P73" s="343"/>
      <c r="Q73" s="343"/>
      <c r="R73" s="343"/>
      <c r="S73" s="343"/>
      <c r="T73" s="343"/>
      <c r="U73" s="343"/>
      <c r="V73" s="343"/>
      <c r="W73" s="343"/>
      <c r="X73" s="343"/>
      <c r="Y73" s="343"/>
      <c r="Z73" s="343"/>
      <c r="AA73" s="343"/>
      <c r="AB73" s="343"/>
      <c r="AC73" s="343"/>
      <c r="AD73" s="343"/>
      <c r="AE73" s="343"/>
      <c r="AF73" s="343"/>
      <c r="AG73" s="343"/>
      <c r="AH73" s="343"/>
      <c r="AI73" s="343"/>
      <c r="AJ73" s="343"/>
      <c r="AK73" s="343"/>
    </row>
    <row r="74" spans="1:37" x14ac:dyDescent="0.35">
      <c r="A74" s="343"/>
      <c r="B74" s="344"/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343"/>
      <c r="O74" s="343"/>
      <c r="P74" s="343"/>
      <c r="Q74" s="343"/>
      <c r="R74" s="343"/>
      <c r="S74" s="343"/>
      <c r="T74" s="343"/>
      <c r="U74" s="343"/>
      <c r="V74" s="343"/>
      <c r="W74" s="343"/>
      <c r="X74" s="343"/>
      <c r="Y74" s="343"/>
      <c r="Z74" s="343"/>
      <c r="AA74" s="343"/>
      <c r="AB74" s="343"/>
      <c r="AC74" s="343"/>
      <c r="AD74" s="343"/>
      <c r="AE74" s="343"/>
      <c r="AF74" s="343"/>
      <c r="AG74" s="343"/>
      <c r="AH74" s="343"/>
      <c r="AI74" s="343"/>
      <c r="AJ74" s="343"/>
      <c r="AK74" s="343"/>
    </row>
    <row r="75" spans="1:37" x14ac:dyDescent="0.35">
      <c r="A75" s="343"/>
      <c r="B75" s="344"/>
      <c r="C75" s="343"/>
      <c r="D75" s="343"/>
      <c r="E75" s="343"/>
      <c r="F75" s="343"/>
      <c r="G75" s="343"/>
      <c r="H75" s="343"/>
      <c r="I75" s="343"/>
      <c r="J75" s="343"/>
      <c r="K75" s="343"/>
      <c r="L75" s="343"/>
      <c r="M75" s="343"/>
      <c r="N75" s="343"/>
      <c r="O75" s="343"/>
      <c r="P75" s="343"/>
      <c r="Q75" s="343"/>
      <c r="R75" s="343"/>
      <c r="S75" s="343"/>
      <c r="T75" s="343"/>
      <c r="U75" s="343"/>
      <c r="V75" s="343"/>
      <c r="W75" s="343"/>
      <c r="X75" s="343"/>
      <c r="Y75" s="343"/>
      <c r="Z75" s="343"/>
      <c r="AA75" s="343"/>
      <c r="AB75" s="343"/>
      <c r="AC75" s="343"/>
      <c r="AD75" s="343"/>
      <c r="AE75" s="343"/>
      <c r="AF75" s="343"/>
      <c r="AG75" s="343"/>
      <c r="AH75" s="343"/>
      <c r="AI75" s="343"/>
      <c r="AJ75" s="343"/>
      <c r="AK75" s="343"/>
    </row>
    <row r="76" spans="1:37" x14ac:dyDescent="0.35">
      <c r="A76" s="343"/>
      <c r="B76" s="344"/>
      <c r="C76" s="343"/>
      <c r="D76" s="343"/>
      <c r="E76" s="343"/>
      <c r="F76" s="343"/>
      <c r="G76" s="343"/>
      <c r="H76" s="343"/>
      <c r="I76" s="343"/>
      <c r="J76" s="343"/>
      <c r="K76" s="343"/>
      <c r="L76" s="343"/>
      <c r="M76" s="343"/>
      <c r="N76" s="343"/>
      <c r="O76" s="343"/>
      <c r="P76" s="343"/>
      <c r="Q76" s="343"/>
      <c r="R76" s="343"/>
      <c r="S76" s="343"/>
      <c r="T76" s="343"/>
      <c r="U76" s="343"/>
      <c r="V76" s="343"/>
      <c r="W76" s="343"/>
      <c r="X76" s="343"/>
      <c r="Y76" s="343"/>
      <c r="Z76" s="343"/>
      <c r="AA76" s="343"/>
      <c r="AB76" s="343"/>
      <c r="AC76" s="343"/>
      <c r="AD76" s="343"/>
      <c r="AE76" s="343"/>
      <c r="AF76" s="343"/>
      <c r="AG76" s="343"/>
      <c r="AH76" s="343"/>
      <c r="AI76" s="343"/>
      <c r="AJ76" s="343"/>
      <c r="AK76" s="343"/>
    </row>
    <row r="77" spans="1:37" x14ac:dyDescent="0.35">
      <c r="A77" s="343"/>
      <c r="B77" s="344"/>
      <c r="C77" s="343"/>
      <c r="D77" s="343"/>
      <c r="E77" s="343"/>
      <c r="F77" s="343"/>
      <c r="G77" s="343"/>
      <c r="H77" s="343"/>
      <c r="I77" s="343"/>
      <c r="J77" s="343"/>
      <c r="K77" s="343"/>
      <c r="L77" s="343"/>
      <c r="M77" s="343"/>
      <c r="N77" s="343"/>
      <c r="O77" s="343"/>
      <c r="P77" s="343"/>
      <c r="Q77" s="343"/>
      <c r="R77" s="343"/>
      <c r="S77" s="343"/>
      <c r="T77" s="343"/>
      <c r="U77" s="343"/>
      <c r="V77" s="343"/>
      <c r="W77" s="343"/>
      <c r="X77" s="343"/>
      <c r="Y77" s="343"/>
      <c r="Z77" s="343"/>
      <c r="AA77" s="343"/>
      <c r="AB77" s="343"/>
      <c r="AC77" s="343"/>
      <c r="AD77" s="343"/>
      <c r="AE77" s="343"/>
      <c r="AF77" s="343"/>
      <c r="AG77" s="343"/>
      <c r="AH77" s="343"/>
      <c r="AI77" s="343"/>
      <c r="AJ77" s="343"/>
      <c r="AK77" s="343"/>
    </row>
    <row r="78" spans="1:37" x14ac:dyDescent="0.35">
      <c r="A78" s="343"/>
      <c r="B78" s="344"/>
      <c r="C78" s="343"/>
      <c r="D78" s="343"/>
      <c r="E78" s="343"/>
      <c r="F78" s="343"/>
      <c r="G78" s="343"/>
      <c r="H78" s="343"/>
      <c r="I78" s="343"/>
      <c r="J78" s="343"/>
      <c r="K78" s="343"/>
      <c r="L78" s="343"/>
      <c r="M78" s="343"/>
      <c r="N78" s="343"/>
      <c r="O78" s="343"/>
      <c r="P78" s="343"/>
      <c r="Q78" s="343"/>
      <c r="R78" s="343"/>
      <c r="S78" s="343"/>
      <c r="T78" s="343"/>
      <c r="U78" s="343"/>
      <c r="V78" s="343"/>
      <c r="W78" s="343"/>
      <c r="X78" s="343"/>
      <c r="Y78" s="343"/>
      <c r="Z78" s="343"/>
      <c r="AA78" s="343"/>
      <c r="AB78" s="343"/>
      <c r="AC78" s="343"/>
      <c r="AD78" s="343"/>
      <c r="AE78" s="343"/>
      <c r="AF78" s="343"/>
      <c r="AG78" s="343"/>
      <c r="AH78" s="343"/>
      <c r="AI78" s="343"/>
      <c r="AJ78" s="343"/>
      <c r="AK78" s="343"/>
    </row>
    <row r="79" spans="1:37" x14ac:dyDescent="0.35">
      <c r="A79" s="343"/>
      <c r="B79" s="344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343"/>
      <c r="AG79" s="343"/>
      <c r="AH79" s="343"/>
      <c r="AI79" s="343"/>
      <c r="AJ79" s="343"/>
      <c r="AK79" s="343"/>
    </row>
    <row r="80" spans="1:37" x14ac:dyDescent="0.35">
      <c r="A80" s="343"/>
      <c r="B80" s="344"/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343"/>
      <c r="AG80" s="343"/>
      <c r="AH80" s="343"/>
      <c r="AI80" s="343"/>
      <c r="AJ80" s="343"/>
      <c r="AK80" s="343"/>
    </row>
    <row r="81" spans="1:37" x14ac:dyDescent="0.35">
      <c r="A81" s="343"/>
      <c r="B81" s="344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343"/>
      <c r="AG81" s="343"/>
      <c r="AH81" s="343"/>
      <c r="AI81" s="343"/>
      <c r="AJ81" s="343"/>
      <c r="AK81" s="343"/>
    </row>
    <row r="82" spans="1:37" x14ac:dyDescent="0.35">
      <c r="A82" s="343"/>
      <c r="B82" s="344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</row>
    <row r="83" spans="1:37" x14ac:dyDescent="0.35">
      <c r="A83" s="343"/>
      <c r="B83" s="344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</row>
    <row r="84" spans="1:37" x14ac:dyDescent="0.35">
      <c r="A84" s="343"/>
      <c r="B84" s="344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</row>
    <row r="85" spans="1:37" x14ac:dyDescent="0.35">
      <c r="A85" s="343"/>
      <c r="B85" s="344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</row>
    <row r="86" spans="1:37" x14ac:dyDescent="0.35">
      <c r="A86" s="343"/>
      <c r="B86" s="344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</row>
    <row r="87" spans="1:37" x14ac:dyDescent="0.35">
      <c r="A87" s="343"/>
      <c r="B87" s="344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</row>
    <row r="88" spans="1:37" x14ac:dyDescent="0.35">
      <c r="A88" s="343"/>
      <c r="B88" s="344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</row>
    <row r="89" spans="1:37" x14ac:dyDescent="0.35">
      <c r="A89" s="343"/>
      <c r="B89" s="344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</row>
    <row r="90" spans="1:37" x14ac:dyDescent="0.35">
      <c r="A90" s="343"/>
      <c r="B90" s="344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</row>
    <row r="91" spans="1:37" x14ac:dyDescent="0.35">
      <c r="A91" s="343"/>
      <c r="B91" s="344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</row>
    <row r="92" spans="1:37" x14ac:dyDescent="0.35">
      <c r="A92" s="343"/>
      <c r="B92" s="344"/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  <c r="AC92" s="343"/>
      <c r="AD92" s="343"/>
      <c r="AE92" s="343"/>
      <c r="AF92" s="343"/>
      <c r="AG92" s="343"/>
      <c r="AH92" s="343"/>
      <c r="AI92" s="343"/>
      <c r="AJ92" s="343"/>
      <c r="AK92" s="343"/>
    </row>
    <row r="93" spans="1:37" x14ac:dyDescent="0.35">
      <c r="A93" s="343"/>
      <c r="B93" s="344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343"/>
      <c r="AG93" s="343"/>
      <c r="AH93" s="343"/>
      <c r="AI93" s="343"/>
      <c r="AJ93" s="343"/>
      <c r="AK93" s="343"/>
    </row>
    <row r="94" spans="1:37" x14ac:dyDescent="0.35">
      <c r="A94" s="343"/>
      <c r="B94" s="344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343"/>
      <c r="AG94" s="343"/>
      <c r="AH94" s="343"/>
      <c r="AI94" s="343"/>
      <c r="AJ94" s="343"/>
      <c r="AK94" s="343"/>
    </row>
    <row r="95" spans="1:37" x14ac:dyDescent="0.35">
      <c r="A95" s="343"/>
      <c r="B95" s="344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343"/>
      <c r="AG95" s="343"/>
      <c r="AH95" s="343"/>
      <c r="AI95" s="343"/>
      <c r="AJ95" s="343"/>
      <c r="AK95" s="343"/>
    </row>
    <row r="96" spans="1:37" x14ac:dyDescent="0.35">
      <c r="A96" s="343"/>
      <c r="B96" s="344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343"/>
      <c r="AG96" s="343"/>
      <c r="AH96" s="343"/>
      <c r="AI96" s="343"/>
      <c r="AJ96" s="343"/>
      <c r="AK96" s="343"/>
    </row>
    <row r="97" spans="1:37" x14ac:dyDescent="0.35">
      <c r="A97" s="343"/>
      <c r="B97" s="344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343"/>
      <c r="AG97" s="343"/>
      <c r="AH97" s="343"/>
      <c r="AI97" s="343"/>
      <c r="AJ97" s="343"/>
      <c r="AK97" s="343"/>
    </row>
    <row r="98" spans="1:37" x14ac:dyDescent="0.35">
      <c r="A98" s="343"/>
      <c r="B98" s="344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343"/>
      <c r="AG98" s="343"/>
      <c r="AH98" s="343"/>
      <c r="AI98" s="343"/>
      <c r="AJ98" s="343"/>
      <c r="AK98" s="343"/>
    </row>
    <row r="99" spans="1:37" x14ac:dyDescent="0.35">
      <c r="A99" s="343"/>
      <c r="B99" s="344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343"/>
      <c r="AG99" s="343"/>
      <c r="AH99" s="343"/>
      <c r="AI99" s="343"/>
      <c r="AJ99" s="343"/>
      <c r="AK99" s="343"/>
    </row>
    <row r="100" spans="1:37" x14ac:dyDescent="0.35">
      <c r="A100" s="343"/>
      <c r="B100" s="344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343"/>
      <c r="AG100" s="343"/>
      <c r="AH100" s="343"/>
      <c r="AI100" s="343"/>
      <c r="AJ100" s="343"/>
      <c r="AK100" s="343"/>
    </row>
    <row r="101" spans="1:37" x14ac:dyDescent="0.35">
      <c r="A101" s="343"/>
      <c r="B101" s="344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343"/>
      <c r="AG101" s="343"/>
      <c r="AH101" s="343"/>
      <c r="AI101" s="343"/>
      <c r="AJ101" s="343"/>
      <c r="AK101" s="343"/>
    </row>
    <row r="102" spans="1:37" x14ac:dyDescent="0.35">
      <c r="A102" s="343"/>
      <c r="B102" s="344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343"/>
      <c r="AG102" s="343"/>
      <c r="AH102" s="343"/>
      <c r="AI102" s="343"/>
      <c r="AJ102" s="343"/>
      <c r="AK102" s="343"/>
    </row>
    <row r="103" spans="1:37" x14ac:dyDescent="0.35">
      <c r="A103" s="343"/>
      <c r="B103" s="344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343"/>
      <c r="AG103" s="343"/>
      <c r="AH103" s="343"/>
      <c r="AI103" s="343"/>
      <c r="AJ103" s="343"/>
      <c r="AK103" s="343"/>
    </row>
    <row r="104" spans="1:37" x14ac:dyDescent="0.35">
      <c r="A104" s="343"/>
      <c r="B104" s="344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343"/>
      <c r="AG104" s="343"/>
      <c r="AH104" s="343"/>
      <c r="AI104" s="343"/>
      <c r="AJ104" s="343"/>
      <c r="AK104" s="343"/>
    </row>
    <row r="105" spans="1:37" x14ac:dyDescent="0.35">
      <c r="A105" s="343"/>
      <c r="B105" s="344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343"/>
      <c r="AG105" s="343"/>
      <c r="AH105" s="343"/>
      <c r="AI105" s="343"/>
      <c r="AJ105" s="343"/>
      <c r="AK105" s="343"/>
    </row>
    <row r="106" spans="1:37" x14ac:dyDescent="0.35">
      <c r="A106" s="343"/>
      <c r="B106" s="344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343"/>
      <c r="AG106" s="343"/>
      <c r="AH106" s="343"/>
      <c r="AI106" s="343"/>
      <c r="AJ106" s="343"/>
      <c r="AK106" s="343"/>
    </row>
    <row r="107" spans="1:37" x14ac:dyDescent="0.35">
      <c r="A107" s="343"/>
      <c r="B107" s="344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343"/>
      <c r="AG107" s="343"/>
      <c r="AH107" s="343"/>
      <c r="AI107" s="343"/>
      <c r="AJ107" s="343"/>
      <c r="AK107" s="343"/>
    </row>
    <row r="108" spans="1:37" x14ac:dyDescent="0.35">
      <c r="A108" s="343"/>
      <c r="B108" s="344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343"/>
      <c r="AG108" s="343"/>
      <c r="AH108" s="343"/>
      <c r="AI108" s="343"/>
      <c r="AJ108" s="343"/>
      <c r="AK108" s="343"/>
    </row>
    <row r="109" spans="1:37" x14ac:dyDescent="0.35">
      <c r="A109" s="343"/>
      <c r="B109" s="344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343"/>
      <c r="AG109" s="343"/>
      <c r="AH109" s="343"/>
      <c r="AI109" s="343"/>
      <c r="AJ109" s="343"/>
      <c r="AK109" s="343"/>
    </row>
    <row r="110" spans="1:37" x14ac:dyDescent="0.35">
      <c r="A110" s="343"/>
      <c r="B110" s="344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  <c r="AB110" s="343"/>
      <c r="AC110" s="343"/>
      <c r="AD110" s="343"/>
      <c r="AE110" s="343"/>
      <c r="AF110" s="343"/>
      <c r="AG110" s="343"/>
      <c r="AH110" s="343"/>
      <c r="AI110" s="343"/>
      <c r="AJ110" s="343"/>
      <c r="AK110" s="343"/>
    </row>
    <row r="111" spans="1:37" x14ac:dyDescent="0.35">
      <c r="A111" s="343"/>
      <c r="B111" s="344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343"/>
      <c r="AE111" s="343"/>
      <c r="AF111" s="343"/>
      <c r="AG111" s="343"/>
      <c r="AH111" s="343"/>
      <c r="AI111" s="343"/>
      <c r="AJ111" s="343"/>
      <c r="AK111" s="343"/>
    </row>
    <row r="112" spans="1:37" x14ac:dyDescent="0.35">
      <c r="A112" s="343"/>
      <c r="B112" s="344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  <c r="AB112" s="343"/>
      <c r="AC112" s="343"/>
      <c r="AD112" s="343"/>
      <c r="AE112" s="343"/>
      <c r="AF112" s="343"/>
      <c r="AG112" s="343"/>
      <c r="AH112" s="343"/>
      <c r="AI112" s="343"/>
      <c r="AJ112" s="343"/>
      <c r="AK112" s="343"/>
    </row>
    <row r="113" spans="1:37" x14ac:dyDescent="0.35">
      <c r="A113" s="343"/>
      <c r="B113" s="344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  <c r="AB113" s="343"/>
      <c r="AC113" s="343"/>
      <c r="AD113" s="343"/>
      <c r="AE113" s="343"/>
      <c r="AF113" s="343"/>
      <c r="AG113" s="343"/>
      <c r="AH113" s="343"/>
      <c r="AI113" s="343"/>
      <c r="AJ113" s="343"/>
      <c r="AK113" s="343"/>
    </row>
    <row r="114" spans="1:37" x14ac:dyDescent="0.35">
      <c r="A114" s="343"/>
      <c r="B114" s="344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</row>
    <row r="115" spans="1:37" x14ac:dyDescent="0.35">
      <c r="A115" s="343"/>
      <c r="B115" s="344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343"/>
      <c r="AG115" s="343"/>
      <c r="AH115" s="343"/>
      <c r="AI115" s="343"/>
      <c r="AJ115" s="343"/>
      <c r="AK115" s="343"/>
    </row>
    <row r="116" spans="1:37" x14ac:dyDescent="0.35">
      <c r="A116" s="343"/>
      <c r="B116" s="344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343"/>
      <c r="AG116" s="343"/>
      <c r="AH116" s="343"/>
      <c r="AI116" s="343"/>
      <c r="AJ116" s="343"/>
      <c r="AK116" s="343"/>
    </row>
    <row r="117" spans="1:37" x14ac:dyDescent="0.35">
      <c r="A117" s="343"/>
      <c r="B117" s="344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343"/>
      <c r="AG117" s="343"/>
      <c r="AH117" s="343"/>
      <c r="AI117" s="343"/>
      <c r="AJ117" s="343"/>
      <c r="AK117" s="343"/>
    </row>
    <row r="118" spans="1:37" x14ac:dyDescent="0.35">
      <c r="A118" s="343"/>
      <c r="B118" s="344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343"/>
      <c r="AG118" s="343"/>
      <c r="AH118" s="343"/>
      <c r="AI118" s="343"/>
      <c r="AJ118" s="343"/>
      <c r="AK118" s="343"/>
    </row>
    <row r="119" spans="1:37" x14ac:dyDescent="0.35">
      <c r="A119" s="343"/>
      <c r="B119" s="344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343"/>
      <c r="AG119" s="343"/>
      <c r="AH119" s="343"/>
      <c r="AI119" s="343"/>
      <c r="AJ119" s="343"/>
      <c r="AK119" s="343"/>
    </row>
    <row r="120" spans="1:37" x14ac:dyDescent="0.35">
      <c r="A120" s="343"/>
      <c r="B120" s="344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343"/>
      <c r="AG120" s="343"/>
      <c r="AH120" s="343"/>
      <c r="AI120" s="343"/>
      <c r="AJ120" s="343"/>
      <c r="AK120" s="343"/>
    </row>
    <row r="121" spans="1:37" x14ac:dyDescent="0.35">
      <c r="A121" s="343"/>
      <c r="B121" s="344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343"/>
      <c r="AG121" s="343"/>
      <c r="AH121" s="343"/>
      <c r="AI121" s="343"/>
      <c r="AJ121" s="343"/>
      <c r="AK121" s="343"/>
    </row>
    <row r="122" spans="1:37" x14ac:dyDescent="0.35">
      <c r="A122" s="343"/>
      <c r="B122" s="344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343"/>
      <c r="AG122" s="343"/>
      <c r="AH122" s="343"/>
      <c r="AI122" s="343"/>
      <c r="AJ122" s="343"/>
      <c r="AK122" s="343"/>
    </row>
    <row r="123" spans="1:37" x14ac:dyDescent="0.35">
      <c r="A123" s="343"/>
      <c r="B123" s="344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343"/>
      <c r="AG123" s="343"/>
      <c r="AH123" s="343"/>
      <c r="AI123" s="343"/>
      <c r="AJ123" s="343"/>
      <c r="AK123" s="343"/>
    </row>
    <row r="124" spans="1:37" x14ac:dyDescent="0.35">
      <c r="A124" s="343"/>
      <c r="B124" s="344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343"/>
      <c r="AG124" s="343"/>
      <c r="AH124" s="343"/>
      <c r="AI124" s="343"/>
      <c r="AJ124" s="343"/>
      <c r="AK124" s="343"/>
    </row>
    <row r="125" spans="1:37" x14ac:dyDescent="0.35">
      <c r="A125" s="343"/>
      <c r="B125" s="344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343"/>
      <c r="AG125" s="343"/>
      <c r="AH125" s="343"/>
      <c r="AI125" s="343"/>
      <c r="AJ125" s="343"/>
      <c r="AK125" s="343"/>
    </row>
    <row r="126" spans="1:37" x14ac:dyDescent="0.35">
      <c r="A126" s="343"/>
      <c r="B126" s="344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343"/>
      <c r="AG126" s="343"/>
      <c r="AH126" s="343"/>
      <c r="AI126" s="343"/>
      <c r="AJ126" s="343"/>
      <c r="AK126" s="343"/>
    </row>
    <row r="127" spans="1:37" x14ac:dyDescent="0.35">
      <c r="A127" s="343"/>
      <c r="B127" s="344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343"/>
      <c r="AG127" s="343"/>
      <c r="AH127" s="343"/>
      <c r="AI127" s="343"/>
      <c r="AJ127" s="343"/>
      <c r="AK127" s="343"/>
    </row>
    <row r="128" spans="1:37" x14ac:dyDescent="0.35">
      <c r="A128" s="343"/>
      <c r="B128" s="344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343"/>
      <c r="AG128" s="343"/>
      <c r="AH128" s="343"/>
      <c r="AI128" s="343"/>
      <c r="AJ128" s="343"/>
      <c r="AK128" s="343"/>
    </row>
    <row r="129" spans="1:37" x14ac:dyDescent="0.35">
      <c r="A129" s="343"/>
      <c r="B129" s="344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343"/>
      <c r="AG129" s="343"/>
      <c r="AH129" s="343"/>
      <c r="AI129" s="343"/>
      <c r="AJ129" s="343"/>
      <c r="AK129" s="343"/>
    </row>
    <row r="130" spans="1:37" x14ac:dyDescent="0.35">
      <c r="A130" s="343"/>
      <c r="B130" s="344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343"/>
      <c r="AG130" s="343"/>
      <c r="AH130" s="343"/>
      <c r="AI130" s="343"/>
      <c r="AJ130" s="343"/>
      <c r="AK130" s="343"/>
    </row>
    <row r="131" spans="1:37" x14ac:dyDescent="0.35">
      <c r="A131" s="343"/>
      <c r="B131" s="344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343"/>
      <c r="AG131" s="343"/>
      <c r="AH131" s="343"/>
      <c r="AI131" s="343"/>
      <c r="AJ131" s="343"/>
      <c r="AK131" s="343"/>
    </row>
    <row r="132" spans="1:37" x14ac:dyDescent="0.35">
      <c r="A132" s="343"/>
      <c r="B132" s="344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343"/>
      <c r="AG132" s="343"/>
      <c r="AH132" s="343"/>
      <c r="AI132" s="343"/>
      <c r="AJ132" s="343"/>
      <c r="AK132" s="343"/>
    </row>
    <row r="133" spans="1:37" x14ac:dyDescent="0.35">
      <c r="A133" s="343"/>
      <c r="B133" s="344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343"/>
      <c r="AG133" s="343"/>
      <c r="AH133" s="343"/>
      <c r="AI133" s="343"/>
      <c r="AJ133" s="343"/>
      <c r="AK133" s="343"/>
    </row>
    <row r="134" spans="1:37" x14ac:dyDescent="0.35">
      <c r="A134" s="343"/>
      <c r="B134" s="344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343"/>
      <c r="AG134" s="343"/>
      <c r="AH134" s="343"/>
      <c r="AI134" s="343"/>
      <c r="AJ134" s="343"/>
      <c r="AK134" s="343"/>
    </row>
    <row r="135" spans="1:37" x14ac:dyDescent="0.35">
      <c r="A135" s="343"/>
      <c r="B135" s="344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343"/>
      <c r="AG135" s="343"/>
      <c r="AH135" s="343"/>
      <c r="AI135" s="343"/>
      <c r="AJ135" s="343"/>
      <c r="AK135" s="343"/>
    </row>
    <row r="136" spans="1:37" x14ac:dyDescent="0.35">
      <c r="A136" s="343"/>
      <c r="B136" s="344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343"/>
      <c r="AG136" s="343"/>
      <c r="AH136" s="343"/>
      <c r="AI136" s="343"/>
      <c r="AJ136" s="343"/>
      <c r="AK136" s="343"/>
    </row>
    <row r="137" spans="1:37" x14ac:dyDescent="0.35">
      <c r="A137" s="343"/>
      <c r="B137" s="344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343"/>
      <c r="AG137" s="343"/>
      <c r="AH137" s="343"/>
      <c r="AI137" s="343"/>
      <c r="AJ137" s="343"/>
      <c r="AK137" s="343"/>
    </row>
    <row r="138" spans="1:37" x14ac:dyDescent="0.35">
      <c r="A138" s="343"/>
      <c r="B138" s="344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343"/>
      <c r="AG138" s="343"/>
      <c r="AH138" s="343"/>
      <c r="AI138" s="343"/>
      <c r="AJ138" s="343"/>
      <c r="AK138" s="343"/>
    </row>
    <row r="139" spans="1:37" x14ac:dyDescent="0.35">
      <c r="A139" s="343"/>
      <c r="B139" s="344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343"/>
      <c r="AG139" s="343"/>
      <c r="AH139" s="343"/>
      <c r="AI139" s="343"/>
      <c r="AJ139" s="343"/>
      <c r="AK139" s="343"/>
    </row>
    <row r="140" spans="1:37" x14ac:dyDescent="0.35">
      <c r="A140" s="343"/>
      <c r="B140" s="344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343"/>
      <c r="AG140" s="343"/>
      <c r="AH140" s="343"/>
      <c r="AI140" s="343"/>
      <c r="AJ140" s="343"/>
      <c r="AK140" s="343"/>
    </row>
    <row r="141" spans="1:37" x14ac:dyDescent="0.35">
      <c r="A141" s="343"/>
      <c r="B141" s="344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343"/>
      <c r="AG141" s="343"/>
      <c r="AH141" s="343"/>
      <c r="AI141" s="343"/>
      <c r="AJ141" s="343"/>
      <c r="AK141" s="343"/>
    </row>
    <row r="142" spans="1:37" x14ac:dyDescent="0.35">
      <c r="A142" s="343"/>
      <c r="B142" s="344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343"/>
      <c r="AG142" s="343"/>
      <c r="AH142" s="343"/>
      <c r="AI142" s="343"/>
      <c r="AJ142" s="343"/>
      <c r="AK142" s="343"/>
    </row>
    <row r="143" spans="1:37" x14ac:dyDescent="0.35">
      <c r="A143" s="343"/>
      <c r="B143" s="344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343"/>
      <c r="AG143" s="343"/>
      <c r="AH143" s="343"/>
      <c r="AI143" s="343"/>
      <c r="AJ143" s="343"/>
      <c r="AK143" s="343"/>
    </row>
    <row r="144" spans="1:37" x14ac:dyDescent="0.35">
      <c r="A144" s="343"/>
      <c r="B144" s="344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343"/>
      <c r="AG144" s="343"/>
      <c r="AH144" s="343"/>
      <c r="AI144" s="343"/>
      <c r="AJ144" s="343"/>
      <c r="AK144" s="343"/>
    </row>
    <row r="145" spans="1:37" x14ac:dyDescent="0.35">
      <c r="A145" s="343"/>
      <c r="B145" s="344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343"/>
      <c r="AG145" s="343"/>
      <c r="AH145" s="343"/>
      <c r="AI145" s="343"/>
      <c r="AJ145" s="343"/>
      <c r="AK145" s="343"/>
    </row>
    <row r="146" spans="1:37" x14ac:dyDescent="0.35">
      <c r="A146" s="343"/>
      <c r="B146" s="344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343"/>
      <c r="AG146" s="343"/>
      <c r="AH146" s="343"/>
      <c r="AI146" s="343"/>
      <c r="AJ146" s="343"/>
      <c r="AK146" s="343"/>
    </row>
    <row r="147" spans="1:37" x14ac:dyDescent="0.35">
      <c r="A147" s="343"/>
      <c r="B147" s="344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343"/>
      <c r="AG147" s="343"/>
      <c r="AH147" s="343"/>
      <c r="AI147" s="343"/>
      <c r="AJ147" s="343"/>
      <c r="AK147" s="343"/>
    </row>
    <row r="148" spans="1:37" x14ac:dyDescent="0.35">
      <c r="A148" s="343"/>
      <c r="B148" s="344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343"/>
      <c r="AG148" s="343"/>
      <c r="AH148" s="343"/>
      <c r="AI148" s="343"/>
      <c r="AJ148" s="343"/>
      <c r="AK148" s="343"/>
    </row>
    <row r="149" spans="1:37" x14ac:dyDescent="0.35">
      <c r="A149" s="343"/>
      <c r="B149" s="344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3"/>
      <c r="AF149" s="343"/>
      <c r="AG149" s="343"/>
      <c r="AH149" s="343"/>
      <c r="AI149" s="343"/>
      <c r="AJ149" s="343"/>
      <c r="AK149" s="343"/>
    </row>
    <row r="150" spans="1:37" x14ac:dyDescent="0.35">
      <c r="A150" s="343"/>
      <c r="B150" s="344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3"/>
      <c r="AF150" s="343"/>
      <c r="AG150" s="343"/>
      <c r="AH150" s="343"/>
      <c r="AI150" s="343"/>
      <c r="AJ150" s="343"/>
      <c r="AK150" s="343"/>
    </row>
    <row r="151" spans="1:37" x14ac:dyDescent="0.35">
      <c r="A151" s="343"/>
      <c r="B151" s="344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3"/>
      <c r="AF151" s="343"/>
      <c r="AG151" s="343"/>
      <c r="AH151" s="343"/>
      <c r="AI151" s="343"/>
      <c r="AJ151" s="343"/>
      <c r="AK151" s="343"/>
    </row>
    <row r="152" spans="1:37" x14ac:dyDescent="0.35">
      <c r="A152" s="343"/>
      <c r="B152" s="344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3"/>
      <c r="AF152" s="343"/>
      <c r="AG152" s="343"/>
      <c r="AH152" s="343"/>
      <c r="AI152" s="343"/>
      <c r="AJ152" s="343"/>
      <c r="AK152" s="343"/>
    </row>
    <row r="153" spans="1:37" x14ac:dyDescent="0.35">
      <c r="A153" s="343"/>
      <c r="B153" s="344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343"/>
      <c r="AG153" s="343"/>
      <c r="AH153" s="343"/>
      <c r="AI153" s="343"/>
      <c r="AJ153" s="343"/>
      <c r="AK153" s="343"/>
    </row>
    <row r="154" spans="1:37" x14ac:dyDescent="0.35">
      <c r="A154" s="343"/>
      <c r="B154" s="344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3"/>
      <c r="AF154" s="343"/>
      <c r="AG154" s="343"/>
      <c r="AH154" s="343"/>
      <c r="AI154" s="343"/>
      <c r="AJ154" s="343"/>
      <c r="AK154" s="343"/>
    </row>
    <row r="155" spans="1:37" x14ac:dyDescent="0.35">
      <c r="A155" s="343"/>
      <c r="B155" s="344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3"/>
      <c r="W155" s="343"/>
      <c r="X155" s="343"/>
      <c r="Y155" s="343"/>
      <c r="Z155" s="343"/>
      <c r="AA155" s="343"/>
      <c r="AB155" s="343"/>
      <c r="AC155" s="343"/>
      <c r="AD155" s="343"/>
      <c r="AE155" s="343"/>
      <c r="AF155" s="343"/>
      <c r="AG155" s="343"/>
      <c r="AH155" s="343"/>
      <c r="AI155" s="343"/>
      <c r="AJ155" s="343"/>
      <c r="AK155" s="343"/>
    </row>
    <row r="156" spans="1:37" x14ac:dyDescent="0.35">
      <c r="A156" s="343"/>
      <c r="B156" s="344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3"/>
      <c r="AB156" s="343"/>
      <c r="AC156" s="343"/>
      <c r="AD156" s="343"/>
      <c r="AE156" s="343"/>
      <c r="AF156" s="343"/>
      <c r="AG156" s="343"/>
      <c r="AH156" s="343"/>
      <c r="AI156" s="343"/>
      <c r="AJ156" s="343"/>
      <c r="AK156" s="343"/>
    </row>
    <row r="157" spans="1:37" x14ac:dyDescent="0.35">
      <c r="A157" s="343"/>
      <c r="B157" s="344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3"/>
      <c r="W157" s="343"/>
      <c r="X157" s="343"/>
      <c r="Y157" s="343"/>
      <c r="Z157" s="343"/>
      <c r="AA157" s="343"/>
      <c r="AB157" s="343"/>
      <c r="AC157" s="343"/>
      <c r="AD157" s="343"/>
      <c r="AE157" s="343"/>
      <c r="AF157" s="343"/>
      <c r="AG157" s="343"/>
      <c r="AH157" s="343"/>
      <c r="AI157" s="343"/>
      <c r="AJ157" s="343"/>
      <c r="AK157" s="343"/>
    </row>
    <row r="158" spans="1:37" x14ac:dyDescent="0.35">
      <c r="A158" s="343"/>
      <c r="B158" s="344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343"/>
      <c r="AB158" s="343"/>
      <c r="AC158" s="343"/>
      <c r="AD158" s="343"/>
      <c r="AE158" s="343"/>
      <c r="AF158" s="343"/>
      <c r="AG158" s="343"/>
      <c r="AH158" s="343"/>
      <c r="AI158" s="343"/>
      <c r="AJ158" s="343"/>
      <c r="AK158" s="343"/>
    </row>
    <row r="159" spans="1:37" x14ac:dyDescent="0.35">
      <c r="A159" s="343"/>
      <c r="B159" s="344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343"/>
      <c r="AB159" s="343"/>
      <c r="AC159" s="343"/>
      <c r="AD159" s="343"/>
      <c r="AE159" s="343"/>
      <c r="AF159" s="343"/>
      <c r="AG159" s="343"/>
      <c r="AH159" s="343"/>
      <c r="AI159" s="343"/>
      <c r="AJ159" s="343"/>
      <c r="AK159" s="343"/>
    </row>
    <row r="160" spans="1:37" x14ac:dyDescent="0.35">
      <c r="A160" s="343"/>
      <c r="B160" s="344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343"/>
      <c r="AG160" s="343"/>
      <c r="AH160" s="343"/>
      <c r="AI160" s="343"/>
      <c r="AJ160" s="343"/>
      <c r="AK160" s="343"/>
    </row>
    <row r="161" spans="1:37" x14ac:dyDescent="0.35">
      <c r="A161" s="343"/>
      <c r="B161" s="344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343"/>
      <c r="AG161" s="343"/>
      <c r="AH161" s="343"/>
      <c r="AI161" s="343"/>
      <c r="AJ161" s="343"/>
      <c r="AK161" s="343"/>
    </row>
    <row r="162" spans="1:37" x14ac:dyDescent="0.35">
      <c r="A162" s="343"/>
      <c r="B162" s="344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3"/>
      <c r="W162" s="343"/>
      <c r="X162" s="343"/>
      <c r="Y162" s="343"/>
      <c r="Z162" s="343"/>
      <c r="AA162" s="343"/>
      <c r="AB162" s="343"/>
      <c r="AC162" s="343"/>
      <c r="AD162" s="343"/>
      <c r="AE162" s="343"/>
      <c r="AF162" s="343"/>
      <c r="AG162" s="343"/>
      <c r="AH162" s="343"/>
      <c r="AI162" s="343"/>
      <c r="AJ162" s="343"/>
      <c r="AK162" s="343"/>
    </row>
    <row r="163" spans="1:37" x14ac:dyDescent="0.35">
      <c r="A163" s="343"/>
      <c r="B163" s="344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343"/>
      <c r="AG163" s="343"/>
      <c r="AH163" s="343"/>
      <c r="AI163" s="343"/>
      <c r="AJ163" s="343"/>
      <c r="AK163" s="343"/>
    </row>
    <row r="164" spans="1:37" x14ac:dyDescent="0.35">
      <c r="A164" s="343"/>
      <c r="B164" s="344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343"/>
      <c r="AG164" s="343"/>
      <c r="AH164" s="343"/>
      <c r="AI164" s="343"/>
      <c r="AJ164" s="343"/>
      <c r="AK164" s="343"/>
    </row>
    <row r="165" spans="1:37" x14ac:dyDescent="0.35">
      <c r="A165" s="343"/>
      <c r="B165" s="344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3"/>
      <c r="W165" s="343"/>
      <c r="X165" s="343"/>
      <c r="Y165" s="343"/>
      <c r="Z165" s="343"/>
      <c r="AA165" s="343"/>
      <c r="AB165" s="343"/>
      <c r="AC165" s="343"/>
      <c r="AD165" s="343"/>
      <c r="AE165" s="343"/>
      <c r="AF165" s="343"/>
      <c r="AG165" s="343"/>
      <c r="AH165" s="343"/>
      <c r="AI165" s="343"/>
      <c r="AJ165" s="343"/>
      <c r="AK165" s="343"/>
    </row>
    <row r="166" spans="1:37" x14ac:dyDescent="0.35">
      <c r="A166" s="343"/>
      <c r="B166" s="344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3"/>
      <c r="W166" s="343"/>
      <c r="X166" s="343"/>
      <c r="Y166" s="343"/>
      <c r="Z166" s="343"/>
      <c r="AA166" s="343"/>
      <c r="AB166" s="343"/>
      <c r="AC166" s="343"/>
      <c r="AD166" s="343"/>
      <c r="AE166" s="343"/>
      <c r="AF166" s="343"/>
      <c r="AG166" s="343"/>
      <c r="AH166" s="343"/>
      <c r="AI166" s="343"/>
      <c r="AJ166" s="343"/>
      <c r="AK166" s="343"/>
    </row>
    <row r="167" spans="1:37" x14ac:dyDescent="0.35">
      <c r="A167" s="343"/>
      <c r="B167" s="344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3"/>
      <c r="W167" s="343"/>
      <c r="X167" s="343"/>
      <c r="Y167" s="343"/>
      <c r="Z167" s="343"/>
      <c r="AA167" s="343"/>
      <c r="AB167" s="343"/>
      <c r="AC167" s="343"/>
      <c r="AD167" s="343"/>
      <c r="AE167" s="343"/>
      <c r="AF167" s="343"/>
      <c r="AG167" s="343"/>
      <c r="AH167" s="343"/>
      <c r="AI167" s="343"/>
      <c r="AJ167" s="343"/>
      <c r="AK167" s="343"/>
    </row>
    <row r="168" spans="1:37" x14ac:dyDescent="0.35">
      <c r="A168" s="343"/>
      <c r="B168" s="344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343"/>
      <c r="AG168" s="343"/>
      <c r="AH168" s="343"/>
      <c r="AI168" s="343"/>
      <c r="AJ168" s="343"/>
      <c r="AK168" s="343"/>
    </row>
    <row r="169" spans="1:37" x14ac:dyDescent="0.35">
      <c r="A169" s="343"/>
      <c r="B169" s="344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343"/>
      <c r="AG169" s="343"/>
      <c r="AH169" s="343"/>
      <c r="AI169" s="343"/>
      <c r="AJ169" s="343"/>
      <c r="AK169" s="343"/>
    </row>
    <row r="170" spans="1:37" x14ac:dyDescent="0.35">
      <c r="A170" s="343"/>
      <c r="B170" s="344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343"/>
      <c r="AG170" s="343"/>
      <c r="AH170" s="343"/>
      <c r="AI170" s="343"/>
      <c r="AJ170" s="343"/>
      <c r="AK170" s="343"/>
    </row>
    <row r="171" spans="1:37" x14ac:dyDescent="0.35">
      <c r="A171" s="343"/>
      <c r="B171" s="344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3"/>
      <c r="W171" s="343"/>
      <c r="X171" s="343"/>
      <c r="Y171" s="343"/>
      <c r="Z171" s="343"/>
      <c r="AA171" s="343"/>
      <c r="AB171" s="343"/>
      <c r="AC171" s="343"/>
      <c r="AD171" s="343"/>
      <c r="AE171" s="343"/>
      <c r="AF171" s="343"/>
      <c r="AG171" s="343"/>
      <c r="AH171" s="343"/>
      <c r="AI171" s="343"/>
      <c r="AJ171" s="343"/>
      <c r="AK171" s="343"/>
    </row>
    <row r="172" spans="1:37" x14ac:dyDescent="0.35">
      <c r="A172" s="343"/>
      <c r="B172" s="344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3"/>
      <c r="W172" s="343"/>
      <c r="X172" s="343"/>
      <c r="Y172" s="343"/>
      <c r="Z172" s="343"/>
      <c r="AA172" s="343"/>
      <c r="AB172" s="343"/>
      <c r="AC172" s="343"/>
      <c r="AD172" s="343"/>
      <c r="AE172" s="343"/>
      <c r="AF172" s="343"/>
      <c r="AG172" s="343"/>
      <c r="AH172" s="343"/>
      <c r="AI172" s="343"/>
      <c r="AJ172" s="343"/>
      <c r="AK172" s="343"/>
    </row>
    <row r="173" spans="1:37" x14ac:dyDescent="0.35">
      <c r="A173" s="343"/>
      <c r="B173" s="344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3"/>
      <c r="W173" s="343"/>
      <c r="X173" s="343"/>
      <c r="Y173" s="343"/>
      <c r="Z173" s="343"/>
      <c r="AA173" s="343"/>
      <c r="AB173" s="343"/>
      <c r="AC173" s="343"/>
      <c r="AD173" s="343"/>
      <c r="AE173" s="343"/>
      <c r="AF173" s="343"/>
      <c r="AG173" s="343"/>
      <c r="AH173" s="343"/>
      <c r="AI173" s="343"/>
      <c r="AJ173" s="343"/>
      <c r="AK173" s="343"/>
    </row>
    <row r="174" spans="1:37" x14ac:dyDescent="0.35">
      <c r="A174" s="343"/>
      <c r="B174" s="344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3"/>
      <c r="W174" s="343"/>
      <c r="X174" s="343"/>
      <c r="Y174" s="343"/>
      <c r="Z174" s="343"/>
      <c r="AA174" s="343"/>
      <c r="AB174" s="343"/>
      <c r="AC174" s="343"/>
      <c r="AD174" s="343"/>
      <c r="AE174" s="343"/>
      <c r="AF174" s="343"/>
      <c r="AG174" s="343"/>
      <c r="AH174" s="343"/>
      <c r="AI174" s="343"/>
      <c r="AJ174" s="343"/>
      <c r="AK174" s="343"/>
    </row>
    <row r="175" spans="1:37" x14ac:dyDescent="0.35">
      <c r="A175" s="343"/>
      <c r="B175" s="344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343"/>
      <c r="AG175" s="343"/>
      <c r="AH175" s="343"/>
      <c r="AI175" s="343"/>
      <c r="AJ175" s="343"/>
      <c r="AK175" s="343"/>
    </row>
    <row r="176" spans="1:37" x14ac:dyDescent="0.35">
      <c r="A176" s="343"/>
      <c r="B176" s="344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343"/>
      <c r="AG176" s="343"/>
      <c r="AH176" s="343"/>
      <c r="AI176" s="343"/>
      <c r="AJ176" s="343"/>
      <c r="AK176" s="343"/>
    </row>
    <row r="177" spans="1:37" x14ac:dyDescent="0.35">
      <c r="A177" s="343"/>
      <c r="B177" s="344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343"/>
      <c r="AG177" s="343"/>
      <c r="AH177" s="343"/>
      <c r="AI177" s="343"/>
      <c r="AJ177" s="343"/>
      <c r="AK177" s="343"/>
    </row>
    <row r="178" spans="1:37" x14ac:dyDescent="0.35">
      <c r="A178" s="343"/>
      <c r="B178" s="344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343"/>
      <c r="AG178" s="343"/>
      <c r="AH178" s="343"/>
      <c r="AI178" s="343"/>
      <c r="AJ178" s="343"/>
      <c r="AK178" s="343"/>
    </row>
    <row r="179" spans="1:37" x14ac:dyDescent="0.35">
      <c r="A179" s="343"/>
      <c r="B179" s="344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3"/>
      <c r="W179" s="343"/>
      <c r="X179" s="343"/>
      <c r="Y179" s="343"/>
      <c r="Z179" s="343"/>
      <c r="AA179" s="343"/>
      <c r="AB179" s="343"/>
      <c r="AC179" s="343"/>
      <c r="AD179" s="343"/>
      <c r="AE179" s="343"/>
      <c r="AF179" s="343"/>
      <c r="AG179" s="343"/>
      <c r="AH179" s="343"/>
      <c r="AI179" s="343"/>
      <c r="AJ179" s="343"/>
      <c r="AK179" s="343"/>
    </row>
    <row r="180" spans="1:37" x14ac:dyDescent="0.35">
      <c r="A180" s="343"/>
      <c r="B180" s="344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343"/>
      <c r="AE180" s="343"/>
      <c r="AF180" s="343"/>
      <c r="AG180" s="343"/>
      <c r="AH180" s="343"/>
      <c r="AI180" s="343"/>
      <c r="AJ180" s="343"/>
      <c r="AK180" s="343"/>
    </row>
    <row r="181" spans="1:37" x14ac:dyDescent="0.35">
      <c r="A181" s="343"/>
      <c r="B181" s="344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3"/>
      <c r="AF181" s="343"/>
      <c r="AG181" s="343"/>
      <c r="AH181" s="343"/>
      <c r="AI181" s="343"/>
      <c r="AJ181" s="343"/>
      <c r="AK181" s="343"/>
    </row>
    <row r="182" spans="1:37" x14ac:dyDescent="0.35">
      <c r="A182" s="343"/>
      <c r="B182" s="344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343"/>
      <c r="AG182" s="343"/>
      <c r="AH182" s="343"/>
      <c r="AI182" s="343"/>
      <c r="AJ182" s="343"/>
      <c r="AK182" s="343"/>
    </row>
    <row r="183" spans="1:37" x14ac:dyDescent="0.35">
      <c r="A183" s="343"/>
      <c r="B183" s="344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3"/>
      <c r="AF183" s="343"/>
      <c r="AG183" s="343"/>
      <c r="AH183" s="343"/>
      <c r="AI183" s="343"/>
      <c r="AJ183" s="343"/>
      <c r="AK183" s="343"/>
    </row>
    <row r="184" spans="1:37" x14ac:dyDescent="0.35">
      <c r="A184" s="343"/>
      <c r="B184" s="344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343"/>
      <c r="AB184" s="343"/>
      <c r="AC184" s="343"/>
      <c r="AD184" s="343"/>
      <c r="AE184" s="343"/>
      <c r="AF184" s="343"/>
      <c r="AG184" s="343"/>
      <c r="AH184" s="343"/>
      <c r="AI184" s="343"/>
      <c r="AJ184" s="343"/>
      <c r="AK184" s="343"/>
    </row>
    <row r="185" spans="1:37" x14ac:dyDescent="0.35">
      <c r="A185" s="343"/>
      <c r="B185" s="344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3"/>
      <c r="W185" s="343"/>
      <c r="X185" s="343"/>
      <c r="Y185" s="343"/>
      <c r="Z185" s="343"/>
      <c r="AA185" s="343"/>
      <c r="AB185" s="343"/>
      <c r="AC185" s="343"/>
      <c r="AD185" s="343"/>
      <c r="AE185" s="343"/>
      <c r="AF185" s="343"/>
      <c r="AG185" s="343"/>
      <c r="AH185" s="343"/>
      <c r="AI185" s="343"/>
      <c r="AJ185" s="343"/>
      <c r="AK185" s="343"/>
    </row>
    <row r="186" spans="1:37" x14ac:dyDescent="0.35">
      <c r="A186" s="343"/>
      <c r="B186" s="344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3"/>
      <c r="W186" s="343"/>
      <c r="X186" s="343"/>
      <c r="Y186" s="343"/>
      <c r="Z186" s="343"/>
      <c r="AA186" s="343"/>
      <c r="AB186" s="343"/>
      <c r="AC186" s="343"/>
      <c r="AD186" s="343"/>
      <c r="AE186" s="343"/>
      <c r="AF186" s="343"/>
      <c r="AG186" s="343"/>
      <c r="AH186" s="343"/>
      <c r="AI186" s="343"/>
      <c r="AJ186" s="343"/>
      <c r="AK186" s="343"/>
    </row>
    <row r="187" spans="1:37" x14ac:dyDescent="0.35">
      <c r="A187" s="343"/>
      <c r="B187" s="344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343"/>
      <c r="AG187" s="343"/>
      <c r="AH187" s="343"/>
      <c r="AI187" s="343"/>
      <c r="AJ187" s="343"/>
      <c r="AK187" s="343"/>
    </row>
    <row r="188" spans="1:37" x14ac:dyDescent="0.35">
      <c r="A188" s="343"/>
      <c r="B188" s="344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343"/>
      <c r="AB188" s="343"/>
      <c r="AC188" s="343"/>
      <c r="AD188" s="343"/>
      <c r="AE188" s="343"/>
      <c r="AF188" s="343"/>
      <c r="AG188" s="343"/>
      <c r="AH188" s="343"/>
      <c r="AI188" s="343"/>
      <c r="AJ188" s="343"/>
      <c r="AK188" s="343"/>
    </row>
    <row r="189" spans="1:37" x14ac:dyDescent="0.35">
      <c r="A189" s="343"/>
      <c r="B189" s="344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343"/>
      <c r="AG189" s="343"/>
      <c r="AH189" s="343"/>
      <c r="AI189" s="343"/>
      <c r="AJ189" s="343"/>
      <c r="AK189" s="343"/>
    </row>
    <row r="190" spans="1:37" x14ac:dyDescent="0.35">
      <c r="A190" s="343"/>
      <c r="B190" s="344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343"/>
      <c r="AG190" s="343"/>
      <c r="AH190" s="343"/>
      <c r="AI190" s="343"/>
      <c r="AJ190" s="343"/>
      <c r="AK190" s="343"/>
    </row>
    <row r="191" spans="1:37" x14ac:dyDescent="0.35">
      <c r="A191" s="343"/>
      <c r="B191" s="344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343"/>
      <c r="AG191" s="343"/>
      <c r="AH191" s="343"/>
      <c r="AI191" s="343"/>
      <c r="AJ191" s="343"/>
      <c r="AK191" s="343"/>
    </row>
    <row r="192" spans="1:37" x14ac:dyDescent="0.35">
      <c r="A192" s="343"/>
      <c r="B192" s="344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343"/>
      <c r="AB192" s="343"/>
      <c r="AC192" s="343"/>
      <c r="AD192" s="343"/>
      <c r="AE192" s="343"/>
      <c r="AF192" s="343"/>
      <c r="AG192" s="343"/>
      <c r="AH192" s="343"/>
      <c r="AI192" s="343"/>
      <c r="AJ192" s="343"/>
      <c r="AK192" s="343"/>
    </row>
    <row r="193" spans="1:37" x14ac:dyDescent="0.35">
      <c r="A193" s="343"/>
      <c r="B193" s="344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343"/>
      <c r="AB193" s="343"/>
      <c r="AC193" s="343"/>
      <c r="AD193" s="343"/>
      <c r="AE193" s="343"/>
      <c r="AF193" s="343"/>
      <c r="AG193" s="343"/>
      <c r="AH193" s="343"/>
      <c r="AI193" s="343"/>
      <c r="AJ193" s="343"/>
      <c r="AK193" s="343"/>
    </row>
    <row r="194" spans="1:37" x14ac:dyDescent="0.35">
      <c r="A194" s="343"/>
      <c r="B194" s="344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343"/>
      <c r="AB194" s="343"/>
      <c r="AC194" s="343"/>
      <c r="AD194" s="343"/>
      <c r="AE194" s="343"/>
      <c r="AF194" s="343"/>
      <c r="AG194" s="343"/>
      <c r="AH194" s="343"/>
      <c r="AI194" s="343"/>
      <c r="AJ194" s="343"/>
      <c r="AK194" s="343"/>
    </row>
    <row r="195" spans="1:37" x14ac:dyDescent="0.35">
      <c r="A195" s="343"/>
      <c r="B195" s="344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3"/>
      <c r="W195" s="343"/>
      <c r="X195" s="343"/>
      <c r="Y195" s="343"/>
      <c r="Z195" s="343"/>
      <c r="AA195" s="343"/>
      <c r="AB195" s="343"/>
      <c r="AC195" s="343"/>
      <c r="AD195" s="343"/>
      <c r="AE195" s="343"/>
      <c r="AF195" s="343"/>
      <c r="AG195" s="343"/>
      <c r="AH195" s="343"/>
      <c r="AI195" s="343"/>
      <c r="AJ195" s="343"/>
      <c r="AK195" s="343"/>
    </row>
    <row r="196" spans="1:37" x14ac:dyDescent="0.35">
      <c r="A196" s="343"/>
      <c r="B196" s="344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343"/>
      <c r="AG196" s="343"/>
      <c r="AH196" s="343"/>
      <c r="AI196" s="343"/>
      <c r="AJ196" s="343"/>
      <c r="AK196" s="343"/>
    </row>
    <row r="197" spans="1:37" x14ac:dyDescent="0.35">
      <c r="A197" s="343"/>
      <c r="B197" s="344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3"/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343"/>
      <c r="AG197" s="343"/>
      <c r="AH197" s="343"/>
      <c r="AI197" s="343"/>
      <c r="AJ197" s="343"/>
      <c r="AK197" s="343"/>
    </row>
    <row r="198" spans="1:37" x14ac:dyDescent="0.35">
      <c r="A198" s="343"/>
      <c r="B198" s="344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343"/>
      <c r="AG198" s="343"/>
      <c r="AH198" s="343"/>
      <c r="AI198" s="343"/>
      <c r="AJ198" s="343"/>
      <c r="AK198" s="343"/>
    </row>
    <row r="199" spans="1:37" x14ac:dyDescent="0.35">
      <c r="A199" s="343"/>
      <c r="B199" s="344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343"/>
      <c r="AG199" s="343"/>
      <c r="AH199" s="343"/>
      <c r="AI199" s="343"/>
      <c r="AJ199" s="343"/>
      <c r="AK199" s="343"/>
    </row>
    <row r="200" spans="1:37" x14ac:dyDescent="0.35">
      <c r="A200" s="343"/>
      <c r="B200" s="344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343"/>
      <c r="AG200" s="343"/>
      <c r="AH200" s="343"/>
      <c r="AI200" s="343"/>
      <c r="AJ200" s="343"/>
      <c r="AK200" s="343"/>
    </row>
    <row r="201" spans="1:37" x14ac:dyDescent="0.35">
      <c r="A201" s="343"/>
      <c r="B201" s="344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343"/>
      <c r="AG201" s="343"/>
      <c r="AH201" s="343"/>
      <c r="AI201" s="343"/>
      <c r="AJ201" s="343"/>
      <c r="AK201" s="343"/>
    </row>
    <row r="202" spans="1:37" x14ac:dyDescent="0.35">
      <c r="A202" s="343"/>
      <c r="B202" s="344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343"/>
      <c r="AB202" s="343"/>
      <c r="AC202" s="343"/>
      <c r="AD202" s="343"/>
      <c r="AE202" s="343"/>
      <c r="AF202" s="343"/>
      <c r="AG202" s="343"/>
      <c r="AH202" s="343"/>
      <c r="AI202" s="343"/>
      <c r="AJ202" s="343"/>
      <c r="AK202" s="343"/>
    </row>
    <row r="203" spans="1:37" x14ac:dyDescent="0.35">
      <c r="A203" s="343"/>
      <c r="B203" s="344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343"/>
      <c r="AG203" s="343"/>
      <c r="AH203" s="343"/>
      <c r="AI203" s="343"/>
      <c r="AJ203" s="343"/>
      <c r="AK203" s="343"/>
    </row>
    <row r="204" spans="1:37" x14ac:dyDescent="0.35">
      <c r="A204" s="343"/>
      <c r="B204" s="344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3"/>
      <c r="W204" s="343"/>
      <c r="X204" s="343"/>
      <c r="Y204" s="343"/>
      <c r="Z204" s="343"/>
      <c r="AA204" s="343"/>
      <c r="AB204" s="343"/>
      <c r="AC204" s="343"/>
      <c r="AD204" s="343"/>
      <c r="AE204" s="343"/>
      <c r="AF204" s="343"/>
      <c r="AG204" s="343"/>
      <c r="AH204" s="343"/>
      <c r="AI204" s="343"/>
      <c r="AJ204" s="343"/>
      <c r="AK204" s="343"/>
    </row>
    <row r="205" spans="1:37" x14ac:dyDescent="0.35">
      <c r="A205" s="343"/>
      <c r="B205" s="344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343"/>
      <c r="AG205" s="343"/>
      <c r="AH205" s="343"/>
      <c r="AI205" s="343"/>
      <c r="AJ205" s="343"/>
      <c r="AK205" s="343"/>
    </row>
    <row r="206" spans="1:37" x14ac:dyDescent="0.35">
      <c r="A206" s="343"/>
      <c r="B206" s="344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343"/>
      <c r="AG206" s="343"/>
      <c r="AH206" s="343"/>
      <c r="AI206" s="343"/>
      <c r="AJ206" s="343"/>
      <c r="AK206" s="343"/>
    </row>
    <row r="207" spans="1:37" x14ac:dyDescent="0.35">
      <c r="A207" s="343"/>
      <c r="B207" s="344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343"/>
      <c r="AG207" s="343"/>
      <c r="AH207" s="343"/>
      <c r="AI207" s="343"/>
      <c r="AJ207" s="343"/>
      <c r="AK207" s="343"/>
    </row>
    <row r="208" spans="1:37" x14ac:dyDescent="0.35">
      <c r="A208" s="343"/>
      <c r="B208" s="344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343"/>
      <c r="AG208" s="343"/>
      <c r="AH208" s="343"/>
      <c r="AI208" s="343"/>
      <c r="AJ208" s="343"/>
      <c r="AK208" s="343"/>
    </row>
    <row r="209" spans="1:37" x14ac:dyDescent="0.35">
      <c r="A209" s="343"/>
      <c r="B209" s="344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343"/>
      <c r="AB209" s="343"/>
      <c r="AC209" s="343"/>
      <c r="AD209" s="343"/>
      <c r="AE209" s="343"/>
      <c r="AF209" s="343"/>
      <c r="AG209" s="343"/>
      <c r="AH209" s="343"/>
      <c r="AI209" s="343"/>
      <c r="AJ209" s="343"/>
      <c r="AK209" s="343"/>
    </row>
    <row r="210" spans="1:37" x14ac:dyDescent="0.35">
      <c r="A210" s="343"/>
      <c r="B210" s="344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343"/>
      <c r="AG210" s="343"/>
      <c r="AH210" s="343"/>
      <c r="AI210" s="343"/>
      <c r="AJ210" s="343"/>
      <c r="AK210" s="343"/>
    </row>
    <row r="211" spans="1:37" x14ac:dyDescent="0.35">
      <c r="A211" s="343"/>
      <c r="B211" s="344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343"/>
      <c r="AB211" s="343"/>
      <c r="AC211" s="343"/>
      <c r="AD211" s="343"/>
      <c r="AE211" s="343"/>
      <c r="AF211" s="343"/>
      <c r="AG211" s="343"/>
      <c r="AH211" s="343"/>
      <c r="AI211" s="343"/>
      <c r="AJ211" s="343"/>
      <c r="AK211" s="343"/>
    </row>
    <row r="212" spans="1:37" x14ac:dyDescent="0.35">
      <c r="A212" s="343"/>
      <c r="B212" s="344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3"/>
      <c r="W212" s="343"/>
      <c r="X212" s="343"/>
      <c r="Y212" s="343"/>
      <c r="Z212" s="343"/>
      <c r="AA212" s="343"/>
      <c r="AB212" s="343"/>
      <c r="AC212" s="343"/>
      <c r="AD212" s="343"/>
      <c r="AE212" s="343"/>
      <c r="AF212" s="343"/>
      <c r="AG212" s="343"/>
      <c r="AH212" s="343"/>
      <c r="AI212" s="343"/>
      <c r="AJ212" s="343"/>
      <c r="AK212" s="343"/>
    </row>
    <row r="213" spans="1:37" x14ac:dyDescent="0.35">
      <c r="A213" s="343"/>
      <c r="B213" s="344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3"/>
      <c r="W213" s="343"/>
      <c r="X213" s="343"/>
      <c r="Y213" s="343"/>
      <c r="Z213" s="343"/>
      <c r="AA213" s="343"/>
      <c r="AB213" s="343"/>
      <c r="AC213" s="343"/>
      <c r="AD213" s="343"/>
      <c r="AE213" s="343"/>
      <c r="AF213" s="343"/>
      <c r="AG213" s="343"/>
      <c r="AH213" s="343"/>
      <c r="AI213" s="343"/>
      <c r="AJ213" s="343"/>
      <c r="AK213" s="343"/>
    </row>
    <row r="214" spans="1:37" x14ac:dyDescent="0.35">
      <c r="A214" s="343"/>
      <c r="B214" s="344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343"/>
      <c r="AB214" s="343"/>
      <c r="AC214" s="343"/>
      <c r="AD214" s="343"/>
      <c r="AE214" s="343"/>
      <c r="AF214" s="343"/>
      <c r="AG214" s="343"/>
      <c r="AH214" s="343"/>
      <c r="AI214" s="343"/>
      <c r="AJ214" s="343"/>
      <c r="AK214" s="343"/>
    </row>
    <row r="215" spans="1:37" x14ac:dyDescent="0.35">
      <c r="A215" s="343"/>
      <c r="B215" s="344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  <c r="AB215" s="343"/>
      <c r="AC215" s="343"/>
      <c r="AD215" s="343"/>
      <c r="AE215" s="343"/>
      <c r="AF215" s="343"/>
      <c r="AG215" s="343"/>
      <c r="AH215" s="343"/>
      <c r="AI215" s="343"/>
      <c r="AJ215" s="343"/>
      <c r="AK215" s="343"/>
    </row>
    <row r="216" spans="1:37" x14ac:dyDescent="0.35">
      <c r="A216" s="343"/>
      <c r="B216" s="344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  <c r="AB216" s="343"/>
      <c r="AC216" s="343"/>
      <c r="AD216" s="343"/>
      <c r="AE216" s="343"/>
      <c r="AF216" s="343"/>
      <c r="AG216" s="343"/>
      <c r="AH216" s="343"/>
      <c r="AI216" s="343"/>
      <c r="AJ216" s="343"/>
      <c r="AK216" s="343"/>
    </row>
    <row r="217" spans="1:37" x14ac:dyDescent="0.35">
      <c r="A217" s="343"/>
      <c r="B217" s="344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343"/>
      <c r="AB217" s="343"/>
      <c r="AC217" s="343"/>
      <c r="AD217" s="343"/>
      <c r="AE217" s="343"/>
      <c r="AF217" s="343"/>
      <c r="AG217" s="343"/>
      <c r="AH217" s="343"/>
      <c r="AI217" s="343"/>
      <c r="AJ217" s="343"/>
      <c r="AK217" s="343"/>
    </row>
    <row r="218" spans="1:37" x14ac:dyDescent="0.35">
      <c r="A218" s="343"/>
      <c r="B218" s="344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343"/>
      <c r="AB218" s="343"/>
      <c r="AC218" s="343"/>
      <c r="AD218" s="343"/>
      <c r="AE218" s="343"/>
      <c r="AF218" s="343"/>
      <c r="AG218" s="343"/>
      <c r="AH218" s="343"/>
      <c r="AI218" s="343"/>
      <c r="AJ218" s="343"/>
      <c r="AK218" s="343"/>
    </row>
    <row r="219" spans="1:37" x14ac:dyDescent="0.35">
      <c r="A219" s="343"/>
      <c r="B219" s="344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3"/>
      <c r="W219" s="343"/>
      <c r="X219" s="343"/>
      <c r="Y219" s="343"/>
      <c r="Z219" s="343"/>
      <c r="AA219" s="343"/>
      <c r="AB219" s="343"/>
      <c r="AC219" s="343"/>
      <c r="AD219" s="343"/>
      <c r="AE219" s="343"/>
      <c r="AF219" s="343"/>
      <c r="AG219" s="343"/>
      <c r="AH219" s="343"/>
      <c r="AI219" s="343"/>
      <c r="AJ219" s="343"/>
      <c r="AK219" s="343"/>
    </row>
    <row r="220" spans="1:37" x14ac:dyDescent="0.35">
      <c r="A220" s="343"/>
      <c r="B220" s="344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343"/>
      <c r="AG220" s="343"/>
      <c r="AH220" s="343"/>
      <c r="AI220" s="343"/>
      <c r="AJ220" s="343"/>
      <c r="AK220" s="343"/>
    </row>
    <row r="221" spans="1:37" x14ac:dyDescent="0.35">
      <c r="A221" s="343"/>
      <c r="B221" s="344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343"/>
      <c r="AG221" s="343"/>
      <c r="AH221" s="343"/>
      <c r="AI221" s="343"/>
      <c r="AJ221" s="343"/>
      <c r="AK221" s="343"/>
    </row>
    <row r="222" spans="1:37" x14ac:dyDescent="0.35">
      <c r="A222" s="343"/>
      <c r="B222" s="344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343"/>
      <c r="AB222" s="343"/>
      <c r="AC222" s="343"/>
      <c r="AD222" s="343"/>
      <c r="AE222" s="343"/>
      <c r="AF222" s="343"/>
      <c r="AG222" s="343"/>
      <c r="AH222" s="343"/>
      <c r="AI222" s="343"/>
      <c r="AJ222" s="343"/>
      <c r="AK222" s="343"/>
    </row>
    <row r="223" spans="1:37" x14ac:dyDescent="0.35">
      <c r="A223" s="343"/>
      <c r="B223" s="344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343"/>
      <c r="AB223" s="343"/>
      <c r="AC223" s="343"/>
      <c r="AD223" s="343"/>
      <c r="AE223" s="343"/>
      <c r="AF223" s="343"/>
      <c r="AG223" s="343"/>
      <c r="AH223" s="343"/>
      <c r="AI223" s="343"/>
      <c r="AJ223" s="343"/>
      <c r="AK223" s="343"/>
    </row>
    <row r="224" spans="1:37" x14ac:dyDescent="0.35">
      <c r="A224" s="343"/>
      <c r="B224" s="344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343"/>
      <c r="AB224" s="343"/>
      <c r="AC224" s="343"/>
      <c r="AD224" s="343"/>
      <c r="AE224" s="343"/>
      <c r="AF224" s="343"/>
      <c r="AG224" s="343"/>
      <c r="AH224" s="343"/>
      <c r="AI224" s="343"/>
      <c r="AJ224" s="343"/>
      <c r="AK224" s="343"/>
    </row>
    <row r="225" spans="1:37" x14ac:dyDescent="0.35">
      <c r="A225" s="343"/>
      <c r="B225" s="344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3"/>
      <c r="W225" s="343"/>
      <c r="X225" s="343"/>
      <c r="Y225" s="343"/>
      <c r="Z225" s="343"/>
      <c r="AA225" s="343"/>
      <c r="AB225" s="343"/>
      <c r="AC225" s="343"/>
      <c r="AD225" s="343"/>
      <c r="AE225" s="343"/>
      <c r="AF225" s="343"/>
      <c r="AG225" s="343"/>
      <c r="AH225" s="343"/>
      <c r="AI225" s="343"/>
      <c r="AJ225" s="343"/>
      <c r="AK225" s="343"/>
    </row>
    <row r="226" spans="1:37" x14ac:dyDescent="0.35">
      <c r="A226" s="343"/>
      <c r="B226" s="344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343"/>
      <c r="AB226" s="343"/>
      <c r="AC226" s="343"/>
      <c r="AD226" s="343"/>
      <c r="AE226" s="343"/>
      <c r="AF226" s="343"/>
      <c r="AG226" s="343"/>
      <c r="AH226" s="343"/>
      <c r="AI226" s="343"/>
      <c r="AJ226" s="343"/>
      <c r="AK226" s="343"/>
    </row>
    <row r="227" spans="1:37" x14ac:dyDescent="0.35">
      <c r="A227" s="343"/>
      <c r="B227" s="344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343"/>
      <c r="AG227" s="343"/>
      <c r="AH227" s="343"/>
      <c r="AI227" s="343"/>
      <c r="AJ227" s="343"/>
      <c r="AK227" s="343"/>
    </row>
    <row r="228" spans="1:37" x14ac:dyDescent="0.35">
      <c r="A228" s="343"/>
      <c r="B228" s="344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343"/>
      <c r="AG228" s="343"/>
      <c r="AH228" s="343"/>
      <c r="AI228" s="343"/>
      <c r="AJ228" s="343"/>
      <c r="AK228" s="343"/>
    </row>
    <row r="229" spans="1:37" x14ac:dyDescent="0.35">
      <c r="A229" s="343"/>
      <c r="B229" s="344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343"/>
      <c r="AG229" s="343"/>
      <c r="AH229" s="343"/>
      <c r="AI229" s="343"/>
      <c r="AJ229" s="343"/>
      <c r="AK229" s="343"/>
    </row>
    <row r="230" spans="1:37" x14ac:dyDescent="0.35">
      <c r="A230" s="343"/>
      <c r="B230" s="344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343"/>
      <c r="AG230" s="343"/>
      <c r="AH230" s="343"/>
      <c r="AI230" s="343"/>
      <c r="AJ230" s="343"/>
      <c r="AK230" s="343"/>
    </row>
    <row r="231" spans="1:37" x14ac:dyDescent="0.35">
      <c r="A231" s="343"/>
      <c r="B231" s="344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343"/>
      <c r="AB231" s="343"/>
      <c r="AC231" s="343"/>
      <c r="AD231" s="343"/>
      <c r="AE231" s="343"/>
      <c r="AF231" s="343"/>
      <c r="AG231" s="343"/>
      <c r="AH231" s="343"/>
      <c r="AI231" s="343"/>
      <c r="AJ231" s="343"/>
      <c r="AK231" s="343"/>
    </row>
    <row r="232" spans="1:37" x14ac:dyDescent="0.35">
      <c r="A232" s="343"/>
      <c r="B232" s="344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43"/>
      <c r="AC232" s="343"/>
      <c r="AD232" s="343"/>
      <c r="AE232" s="343"/>
      <c r="AF232" s="343"/>
      <c r="AG232" s="343"/>
      <c r="AH232" s="343"/>
      <c r="AI232" s="343"/>
      <c r="AJ232" s="343"/>
      <c r="AK232" s="343"/>
    </row>
    <row r="233" spans="1:37" x14ac:dyDescent="0.35">
      <c r="A233" s="343"/>
      <c r="B233" s="344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343"/>
      <c r="AB233" s="343"/>
      <c r="AC233" s="343"/>
      <c r="AD233" s="343"/>
      <c r="AE233" s="343"/>
      <c r="AF233" s="343"/>
      <c r="AG233" s="343"/>
      <c r="AH233" s="343"/>
      <c r="AI233" s="343"/>
      <c r="AJ233" s="343"/>
      <c r="AK233" s="343"/>
    </row>
    <row r="234" spans="1:37" x14ac:dyDescent="0.35">
      <c r="A234" s="343"/>
      <c r="B234" s="344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343"/>
      <c r="AB234" s="343"/>
      <c r="AC234" s="343"/>
      <c r="AD234" s="343"/>
      <c r="AE234" s="343"/>
      <c r="AF234" s="343"/>
      <c r="AG234" s="343"/>
      <c r="AH234" s="343"/>
      <c r="AI234" s="343"/>
      <c r="AJ234" s="343"/>
      <c r="AK234" s="343"/>
    </row>
    <row r="235" spans="1:37" x14ac:dyDescent="0.35">
      <c r="A235" s="343"/>
      <c r="B235" s="344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343"/>
      <c r="AG235" s="343"/>
      <c r="AH235" s="343"/>
      <c r="AI235" s="343"/>
      <c r="AJ235" s="343"/>
      <c r="AK235" s="343"/>
    </row>
    <row r="236" spans="1:37" x14ac:dyDescent="0.35">
      <c r="A236" s="343"/>
      <c r="B236" s="344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343"/>
      <c r="AG236" s="343"/>
      <c r="AH236" s="343"/>
      <c r="AI236" s="343"/>
      <c r="AJ236" s="343"/>
      <c r="AK236" s="343"/>
    </row>
    <row r="237" spans="1:37" x14ac:dyDescent="0.35">
      <c r="A237" s="343"/>
      <c r="B237" s="344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343"/>
      <c r="AG237" s="343"/>
      <c r="AH237" s="343"/>
      <c r="AI237" s="343"/>
      <c r="AJ237" s="343"/>
      <c r="AK237" s="343"/>
    </row>
    <row r="238" spans="1:37" x14ac:dyDescent="0.35">
      <c r="A238" s="343"/>
      <c r="B238" s="344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343"/>
      <c r="AG238" s="343"/>
      <c r="AH238" s="343"/>
      <c r="AI238" s="343"/>
      <c r="AJ238" s="343"/>
      <c r="AK238" s="343"/>
    </row>
    <row r="239" spans="1:37" x14ac:dyDescent="0.35">
      <c r="A239" s="343"/>
      <c r="B239" s="344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343"/>
      <c r="AB239" s="343"/>
      <c r="AC239" s="343"/>
      <c r="AD239" s="343"/>
      <c r="AE239" s="343"/>
      <c r="AF239" s="343"/>
      <c r="AG239" s="343"/>
      <c r="AH239" s="343"/>
      <c r="AI239" s="343"/>
      <c r="AJ239" s="343"/>
      <c r="AK239" s="343"/>
    </row>
    <row r="240" spans="1:37" x14ac:dyDescent="0.35">
      <c r="A240" s="343"/>
      <c r="B240" s="344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343"/>
      <c r="AB240" s="343"/>
      <c r="AC240" s="343"/>
      <c r="AD240" s="343"/>
      <c r="AE240" s="343"/>
      <c r="AF240" s="343"/>
      <c r="AG240" s="343"/>
      <c r="AH240" s="343"/>
      <c r="AI240" s="343"/>
      <c r="AJ240" s="343"/>
      <c r="AK240" s="343"/>
    </row>
    <row r="241" spans="1:37" x14ac:dyDescent="0.35">
      <c r="A241" s="343"/>
      <c r="B241" s="344"/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  <c r="O241" s="343"/>
      <c r="P241" s="343"/>
      <c r="Q241" s="343"/>
      <c r="R241" s="343"/>
      <c r="S241" s="343"/>
      <c r="T241" s="343"/>
      <c r="U241" s="343"/>
      <c r="V241" s="343"/>
      <c r="W241" s="343"/>
      <c r="X241" s="343"/>
      <c r="Y241" s="343"/>
      <c r="Z241" s="343"/>
      <c r="AA241" s="343"/>
      <c r="AB241" s="343"/>
      <c r="AC241" s="343"/>
      <c r="AD241" s="343"/>
      <c r="AE241" s="343"/>
      <c r="AF241" s="343"/>
      <c r="AG241" s="343"/>
      <c r="AH241" s="343"/>
      <c r="AI241" s="343"/>
      <c r="AJ241" s="343"/>
      <c r="AK241" s="343"/>
    </row>
    <row r="242" spans="1:37" x14ac:dyDescent="0.35">
      <c r="A242" s="343"/>
      <c r="B242" s="344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3"/>
      <c r="R242" s="343"/>
      <c r="S242" s="343"/>
      <c r="T242" s="343"/>
      <c r="U242" s="343"/>
      <c r="V242" s="343"/>
      <c r="W242" s="343"/>
      <c r="X242" s="343"/>
      <c r="Y242" s="343"/>
      <c r="Z242" s="343"/>
      <c r="AA242" s="343"/>
      <c r="AB242" s="343"/>
      <c r="AC242" s="343"/>
      <c r="AD242" s="343"/>
      <c r="AE242" s="343"/>
      <c r="AF242" s="343"/>
      <c r="AG242" s="343"/>
      <c r="AH242" s="343"/>
      <c r="AI242" s="343"/>
      <c r="AJ242" s="343"/>
      <c r="AK242" s="343"/>
    </row>
    <row r="243" spans="1:37" x14ac:dyDescent="0.35">
      <c r="A243" s="141"/>
      <c r="B243" s="289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  <c r="AE243" s="141"/>
      <c r="AF243" s="141"/>
      <c r="AG243" s="141"/>
      <c r="AH243" s="141"/>
      <c r="AI243" s="141"/>
      <c r="AJ243" s="141"/>
      <c r="AK243" s="141"/>
    </row>
    <row r="244" spans="1:37" x14ac:dyDescent="0.35">
      <c r="A244" s="141"/>
      <c r="B244" s="289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  <c r="AE244" s="141"/>
      <c r="AF244" s="141"/>
      <c r="AG244" s="141"/>
      <c r="AH244" s="141"/>
      <c r="AI244" s="141"/>
      <c r="AJ244" s="141"/>
      <c r="AK244" s="141"/>
    </row>
    <row r="245" spans="1:37" x14ac:dyDescent="0.35">
      <c r="A245" s="141"/>
      <c r="B245" s="289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  <c r="AE245" s="141"/>
      <c r="AF245" s="141"/>
      <c r="AG245" s="141"/>
      <c r="AH245" s="141"/>
      <c r="AI245" s="141"/>
      <c r="AJ245" s="141"/>
      <c r="AK245" s="141"/>
    </row>
    <row r="246" spans="1:37" x14ac:dyDescent="0.35">
      <c r="A246" s="141"/>
      <c r="B246" s="289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  <c r="AE246" s="141"/>
      <c r="AF246" s="141"/>
      <c r="AG246" s="141"/>
      <c r="AH246" s="141"/>
      <c r="AI246" s="141"/>
      <c r="AJ246" s="141"/>
      <c r="AK246" s="141"/>
    </row>
    <row r="247" spans="1:37" x14ac:dyDescent="0.35">
      <c r="A247" s="141"/>
      <c r="B247" s="289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  <c r="AE247" s="141"/>
      <c r="AF247" s="141"/>
      <c r="AG247" s="141"/>
      <c r="AH247" s="141"/>
      <c r="AI247" s="141"/>
      <c r="AJ247" s="141"/>
      <c r="AK247" s="141"/>
    </row>
    <row r="248" spans="1:37" x14ac:dyDescent="0.35">
      <c r="A248" s="141"/>
      <c r="B248" s="289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  <c r="AE248" s="141"/>
      <c r="AF248" s="141"/>
      <c r="AG248" s="141"/>
      <c r="AH248" s="141"/>
      <c r="AI248" s="141"/>
      <c r="AJ248" s="141"/>
      <c r="AK248" s="141"/>
    </row>
    <row r="249" spans="1:37" x14ac:dyDescent="0.35">
      <c r="A249" s="141"/>
      <c r="B249" s="289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</row>
    <row r="250" spans="1:37" x14ac:dyDescent="0.35">
      <c r="A250" s="141"/>
      <c r="B250" s="289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  <c r="AJ250" s="141"/>
      <c r="AK250" s="141"/>
    </row>
    <row r="251" spans="1:37" x14ac:dyDescent="0.35">
      <c r="A251" s="141"/>
      <c r="B251" s="289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</row>
    <row r="252" spans="1:37" x14ac:dyDescent="0.35">
      <c r="A252" s="141"/>
      <c r="B252" s="289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</row>
    <row r="253" spans="1:37" x14ac:dyDescent="0.35">
      <c r="A253" s="141"/>
      <c r="B253" s="289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</row>
    <row r="254" spans="1:37" x14ac:dyDescent="0.35">
      <c r="A254" s="141"/>
      <c r="B254" s="289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</row>
    <row r="255" spans="1:37" x14ac:dyDescent="0.35">
      <c r="A255" s="141"/>
      <c r="B255" s="289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</row>
    <row r="256" spans="1:37" x14ac:dyDescent="0.35">
      <c r="A256" s="141"/>
      <c r="B256" s="289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</row>
    <row r="257" spans="1:37" x14ac:dyDescent="0.35">
      <c r="A257" s="141"/>
      <c r="B257" s="289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</row>
    <row r="258" spans="1:37" x14ac:dyDescent="0.35">
      <c r="A258" s="141"/>
      <c r="B258" s="289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</row>
    <row r="259" spans="1:37" x14ac:dyDescent="0.35">
      <c r="A259" s="141"/>
      <c r="B259" s="289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  <c r="AJ259" s="141"/>
      <c r="AK259" s="141"/>
    </row>
    <row r="260" spans="1:37" x14ac:dyDescent="0.35">
      <c r="A260" s="141"/>
      <c r="B260" s="289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</row>
    <row r="261" spans="1:37" x14ac:dyDescent="0.35">
      <c r="A261" s="141"/>
      <c r="B261" s="289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</row>
    <row r="262" spans="1:37" x14ac:dyDescent="0.35">
      <c r="A262" s="141"/>
      <c r="B262" s="289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</row>
    <row r="263" spans="1:37" x14ac:dyDescent="0.35">
      <c r="A263" s="141"/>
      <c r="B263" s="289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</row>
    <row r="264" spans="1:37" x14ac:dyDescent="0.35">
      <c r="A264" s="141"/>
      <c r="B264" s="289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</row>
    <row r="265" spans="1:37" x14ac:dyDescent="0.35">
      <c r="A265" s="141"/>
      <c r="B265" s="289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</row>
    <row r="266" spans="1:37" x14ac:dyDescent="0.35">
      <c r="A266" s="141"/>
      <c r="B266" s="289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</row>
    <row r="267" spans="1:37" x14ac:dyDescent="0.35">
      <c r="A267" s="141"/>
      <c r="B267" s="289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</row>
    <row r="268" spans="1:37" x14ac:dyDescent="0.35">
      <c r="A268" s="141"/>
      <c r="B268" s="289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</row>
    <row r="269" spans="1:37" x14ac:dyDescent="0.35">
      <c r="A269" s="141"/>
      <c r="B269" s="289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</row>
    <row r="270" spans="1:37" x14ac:dyDescent="0.35">
      <c r="A270" s="141"/>
      <c r="B270" s="289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</row>
    <row r="271" spans="1:37" x14ac:dyDescent="0.35">
      <c r="A271" s="141"/>
      <c r="B271" s="289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</row>
    <row r="272" spans="1:37" x14ac:dyDescent="0.35">
      <c r="A272" s="141"/>
      <c r="B272" s="289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</row>
    <row r="273" spans="1:37" x14ac:dyDescent="0.35">
      <c r="A273" s="141"/>
      <c r="B273" s="289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</row>
    <row r="274" spans="1:37" x14ac:dyDescent="0.35">
      <c r="A274" s="141"/>
      <c r="B274" s="289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</row>
    <row r="275" spans="1:37" x14ac:dyDescent="0.35">
      <c r="A275" s="141"/>
      <c r="B275" s="289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</row>
    <row r="276" spans="1:37" x14ac:dyDescent="0.35">
      <c r="A276" s="141"/>
      <c r="B276" s="289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</row>
    <row r="277" spans="1:37" x14ac:dyDescent="0.35">
      <c r="A277" s="141"/>
      <c r="B277" s="289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</row>
    <row r="278" spans="1:37" x14ac:dyDescent="0.35">
      <c r="A278" s="141"/>
      <c r="B278" s="289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</row>
    <row r="279" spans="1:37" x14ac:dyDescent="0.35">
      <c r="A279" s="141"/>
      <c r="B279" s="289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</row>
    <row r="280" spans="1:37" x14ac:dyDescent="0.35">
      <c r="A280" s="141"/>
      <c r="B280" s="289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</row>
    <row r="281" spans="1:37" x14ac:dyDescent="0.35">
      <c r="A281" s="141"/>
      <c r="B281" s="289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</row>
    <row r="282" spans="1:37" x14ac:dyDescent="0.35">
      <c r="A282" s="141"/>
      <c r="B282" s="289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</row>
    <row r="283" spans="1:37" x14ac:dyDescent="0.35">
      <c r="A283" s="141"/>
      <c r="B283" s="289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</row>
    <row r="284" spans="1:37" x14ac:dyDescent="0.35">
      <c r="A284" s="141"/>
      <c r="B284" s="289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</row>
    <row r="285" spans="1:37" x14ac:dyDescent="0.35">
      <c r="A285" s="141"/>
      <c r="B285" s="289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</row>
    <row r="286" spans="1:37" x14ac:dyDescent="0.35">
      <c r="A286" s="141"/>
      <c r="B286" s="289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</row>
    <row r="287" spans="1:37" x14ac:dyDescent="0.35">
      <c r="A287" s="141"/>
      <c r="B287" s="289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</row>
    <row r="288" spans="1:37" x14ac:dyDescent="0.35">
      <c r="A288" s="141"/>
      <c r="B288" s="289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</row>
    <row r="289" spans="1:37" x14ac:dyDescent="0.35">
      <c r="A289" s="141"/>
      <c r="B289" s="289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</row>
    <row r="290" spans="1:37" x14ac:dyDescent="0.35">
      <c r="A290" s="141"/>
      <c r="B290" s="289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</row>
    <row r="291" spans="1:37" x14ac:dyDescent="0.35">
      <c r="A291" s="141"/>
      <c r="B291" s="289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</row>
    <row r="292" spans="1:37" x14ac:dyDescent="0.35">
      <c r="A292" s="141"/>
      <c r="B292" s="289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</row>
    <row r="293" spans="1:37" x14ac:dyDescent="0.35">
      <c r="A293" s="141"/>
      <c r="B293" s="289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</row>
    <row r="294" spans="1:37" x14ac:dyDescent="0.35">
      <c r="A294" s="141"/>
      <c r="B294" s="289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</row>
    <row r="295" spans="1:37" x14ac:dyDescent="0.35">
      <c r="A295" s="141"/>
      <c r="B295" s="289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</row>
    <row r="296" spans="1:37" x14ac:dyDescent="0.35">
      <c r="A296" s="141"/>
      <c r="B296" s="289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</row>
    <row r="297" spans="1:37" x14ac:dyDescent="0.35">
      <c r="A297" s="141"/>
      <c r="B297" s="289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</row>
    <row r="298" spans="1:37" x14ac:dyDescent="0.35">
      <c r="A298" s="141"/>
      <c r="B298" s="289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</row>
    <row r="299" spans="1:37" x14ac:dyDescent="0.35">
      <c r="A299" s="141"/>
      <c r="B299" s="289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</row>
    <row r="300" spans="1:37" x14ac:dyDescent="0.35">
      <c r="A300" s="141"/>
      <c r="B300" s="289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</row>
    <row r="301" spans="1:37" x14ac:dyDescent="0.35">
      <c r="A301" s="141"/>
      <c r="B301" s="289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</row>
    <row r="302" spans="1:37" x14ac:dyDescent="0.35">
      <c r="A302" s="141"/>
      <c r="B302" s="289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</row>
    <row r="303" spans="1:37" x14ac:dyDescent="0.35">
      <c r="A303" s="141"/>
      <c r="B303" s="289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</row>
    <row r="304" spans="1:37" x14ac:dyDescent="0.35">
      <c r="A304" s="141"/>
      <c r="B304" s="289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</row>
    <row r="305" spans="1:37" x14ac:dyDescent="0.35">
      <c r="A305" s="141"/>
      <c r="B305" s="289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</row>
    <row r="306" spans="1:37" x14ac:dyDescent="0.35">
      <c r="A306" s="141"/>
      <c r="B306" s="289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</row>
    <row r="307" spans="1:37" x14ac:dyDescent="0.35">
      <c r="A307" s="141"/>
      <c r="B307" s="289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</row>
    <row r="308" spans="1:37" x14ac:dyDescent="0.35">
      <c r="A308" s="141"/>
      <c r="B308" s="289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</row>
    <row r="309" spans="1:37" x14ac:dyDescent="0.35">
      <c r="A309" s="141"/>
      <c r="B309" s="289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</row>
    <row r="310" spans="1:37" x14ac:dyDescent="0.35">
      <c r="A310" s="141"/>
      <c r="B310" s="289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</row>
    <row r="311" spans="1:37" x14ac:dyDescent="0.35">
      <c r="A311" s="141"/>
      <c r="B311" s="289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  <c r="AJ311" s="141"/>
      <c r="AK311" s="141"/>
    </row>
    <row r="312" spans="1:37" x14ac:dyDescent="0.35">
      <c r="A312" s="141"/>
      <c r="B312" s="289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</row>
    <row r="313" spans="1:37" x14ac:dyDescent="0.35">
      <c r="A313" s="141"/>
      <c r="B313" s="289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/>
    </row>
    <row r="314" spans="1:37" x14ac:dyDescent="0.35">
      <c r="A314" s="141"/>
      <c r="B314" s="289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</row>
    <row r="315" spans="1:37" x14ac:dyDescent="0.35">
      <c r="A315" s="141"/>
      <c r="B315" s="289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/>
    </row>
    <row r="316" spans="1:37" x14ac:dyDescent="0.35">
      <c r="A316" s="141"/>
      <c r="B316" s="289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</row>
    <row r="317" spans="1:37" x14ac:dyDescent="0.35">
      <c r="A317" s="141"/>
      <c r="B317" s="289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  <c r="AJ317" s="141"/>
      <c r="AK317" s="141"/>
    </row>
    <row r="318" spans="1:37" x14ac:dyDescent="0.35">
      <c r="A318" s="141"/>
      <c r="B318" s="289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</row>
    <row r="319" spans="1:37" x14ac:dyDescent="0.35">
      <c r="A319" s="141"/>
      <c r="B319" s="289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</row>
    <row r="320" spans="1:37" x14ac:dyDescent="0.35">
      <c r="A320" s="141"/>
      <c r="B320" s="289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</row>
    <row r="321" spans="1:37" x14ac:dyDescent="0.35">
      <c r="A321" s="141"/>
      <c r="B321" s="289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</row>
    <row r="322" spans="1:37" x14ac:dyDescent="0.35">
      <c r="A322" s="141"/>
      <c r="B322" s="289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  <c r="AJ322" s="141"/>
      <c r="AK322" s="141"/>
    </row>
    <row r="323" spans="1:37" x14ac:dyDescent="0.35">
      <c r="A323" s="141"/>
      <c r="B323" s="289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  <c r="AJ323" s="141"/>
      <c r="AK323" s="141"/>
    </row>
    <row r="324" spans="1:37" x14ac:dyDescent="0.35">
      <c r="A324" s="141"/>
      <c r="B324" s="289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</row>
    <row r="325" spans="1:37" x14ac:dyDescent="0.35">
      <c r="A325" s="141"/>
      <c r="B325" s="289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</row>
    <row r="326" spans="1:37" x14ac:dyDescent="0.35">
      <c r="A326" s="141"/>
      <c r="B326" s="289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</row>
    <row r="327" spans="1:37" x14ac:dyDescent="0.35">
      <c r="A327" s="141"/>
      <c r="B327" s="289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</row>
    <row r="328" spans="1:37" x14ac:dyDescent="0.35">
      <c r="A328" s="141"/>
      <c r="B328" s="289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</row>
    <row r="329" spans="1:37" x14ac:dyDescent="0.35">
      <c r="A329" s="141"/>
      <c r="B329" s="289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</row>
    <row r="330" spans="1:37" x14ac:dyDescent="0.35">
      <c r="A330" s="141"/>
      <c r="B330" s="289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</row>
    <row r="331" spans="1:37" x14ac:dyDescent="0.35">
      <c r="A331" s="141"/>
      <c r="B331" s="289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</row>
    <row r="332" spans="1:37" x14ac:dyDescent="0.35">
      <c r="A332" s="141"/>
      <c r="B332" s="289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</row>
    <row r="333" spans="1:37" x14ac:dyDescent="0.35">
      <c r="A333" s="141"/>
      <c r="B333" s="289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</row>
    <row r="334" spans="1:37" x14ac:dyDescent="0.35">
      <c r="A334" s="141"/>
      <c r="B334" s="289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</row>
    <row r="335" spans="1:37" x14ac:dyDescent="0.35">
      <c r="A335" s="141"/>
      <c r="B335" s="289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</row>
    <row r="336" spans="1:37" x14ac:dyDescent="0.35">
      <c r="A336" s="141"/>
      <c r="B336" s="289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  <c r="AJ336" s="141"/>
      <c r="AK336" s="141"/>
    </row>
    <row r="337" spans="1:37" x14ac:dyDescent="0.35">
      <c r="A337" s="141"/>
      <c r="B337" s="289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</row>
    <row r="338" spans="1:37" x14ac:dyDescent="0.35">
      <c r="A338" s="141"/>
      <c r="B338" s="289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</row>
    <row r="339" spans="1:37" x14ac:dyDescent="0.35">
      <c r="A339" s="141"/>
      <c r="B339" s="289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</row>
    <row r="340" spans="1:37" x14ac:dyDescent="0.35">
      <c r="A340" s="141"/>
      <c r="B340" s="289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</row>
    <row r="341" spans="1:37" x14ac:dyDescent="0.35">
      <c r="A341" s="141"/>
      <c r="B341" s="289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</row>
    <row r="342" spans="1:37" x14ac:dyDescent="0.35">
      <c r="A342" s="141"/>
      <c r="B342" s="289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</row>
    <row r="343" spans="1:37" x14ac:dyDescent="0.35">
      <c r="A343" s="141"/>
      <c r="B343" s="289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</row>
    <row r="344" spans="1:37" x14ac:dyDescent="0.35">
      <c r="A344" s="141"/>
      <c r="B344" s="289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</row>
    <row r="345" spans="1:37" x14ac:dyDescent="0.35">
      <c r="A345" s="141"/>
      <c r="B345" s="289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</row>
    <row r="346" spans="1:37" x14ac:dyDescent="0.35">
      <c r="A346" s="141"/>
      <c r="B346" s="289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</row>
    <row r="347" spans="1:37" x14ac:dyDescent="0.35">
      <c r="A347" s="141"/>
      <c r="B347" s="289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</row>
    <row r="348" spans="1:37" x14ac:dyDescent="0.35">
      <c r="A348" s="141"/>
      <c r="B348" s="289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</row>
    <row r="349" spans="1:37" x14ac:dyDescent="0.35">
      <c r="A349" s="141"/>
      <c r="B349" s="289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</row>
    <row r="350" spans="1:37" x14ac:dyDescent="0.35">
      <c r="A350" s="141"/>
      <c r="B350" s="289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</row>
    <row r="351" spans="1:37" x14ac:dyDescent="0.35">
      <c r="A351" s="141"/>
      <c r="B351" s="289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</row>
    <row r="352" spans="1:37" x14ac:dyDescent="0.35">
      <c r="A352" s="141"/>
      <c r="B352" s="289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</row>
    <row r="353" spans="1:37" x14ac:dyDescent="0.35">
      <c r="A353" s="141"/>
      <c r="B353" s="289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  <c r="AJ353" s="141"/>
      <c r="AK353" s="141"/>
    </row>
    <row r="354" spans="1:37" x14ac:dyDescent="0.35">
      <c r="A354" s="141"/>
      <c r="B354" s="289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</row>
    <row r="355" spans="1:37" x14ac:dyDescent="0.35">
      <c r="A355" s="141"/>
      <c r="B355" s="289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</row>
    <row r="356" spans="1:37" x14ac:dyDescent="0.35">
      <c r="A356" s="141"/>
      <c r="B356" s="289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</row>
    <row r="357" spans="1:37" x14ac:dyDescent="0.35">
      <c r="A357" s="141"/>
      <c r="B357" s="289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</row>
    <row r="358" spans="1:37" x14ac:dyDescent="0.35">
      <c r="A358" s="141"/>
      <c r="B358" s="289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</row>
    <row r="359" spans="1:37" x14ac:dyDescent="0.35">
      <c r="A359" s="141"/>
      <c r="B359" s="289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</row>
    <row r="360" spans="1:37" x14ac:dyDescent="0.35">
      <c r="A360" s="141"/>
      <c r="B360" s="289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</row>
    <row r="361" spans="1:37" x14ac:dyDescent="0.35">
      <c r="A361" s="141"/>
      <c r="B361" s="289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</row>
    <row r="362" spans="1:37" x14ac:dyDescent="0.35">
      <c r="A362" s="141"/>
      <c r="B362" s="289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</row>
    <row r="363" spans="1:37" x14ac:dyDescent="0.35">
      <c r="A363" s="141"/>
      <c r="B363" s="289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</row>
    <row r="364" spans="1:37" x14ac:dyDescent="0.35">
      <c r="A364" s="141"/>
      <c r="B364" s="289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</row>
    <row r="365" spans="1:37" x14ac:dyDescent="0.35">
      <c r="A365" s="141"/>
      <c r="B365" s="289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</row>
    <row r="366" spans="1:37" x14ac:dyDescent="0.35">
      <c r="A366" s="141"/>
      <c r="B366" s="289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</row>
    <row r="367" spans="1:37" x14ac:dyDescent="0.35">
      <c r="A367" s="141"/>
      <c r="B367" s="289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</row>
    <row r="368" spans="1:37" x14ac:dyDescent="0.35">
      <c r="A368" s="141"/>
      <c r="B368" s="289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</row>
    <row r="369" spans="1:37" x14ac:dyDescent="0.35">
      <c r="A369" s="141"/>
      <c r="B369" s="289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</row>
    <row r="370" spans="1:37" x14ac:dyDescent="0.35">
      <c r="A370" s="141"/>
      <c r="B370" s="289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</row>
    <row r="371" spans="1:37" x14ac:dyDescent="0.35">
      <c r="A371" s="141"/>
      <c r="B371" s="289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</row>
    <row r="372" spans="1:37" x14ac:dyDescent="0.35">
      <c r="A372" s="141"/>
      <c r="B372" s="289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  <c r="AJ372" s="141"/>
      <c r="AK372" s="141"/>
    </row>
    <row r="373" spans="1:37" x14ac:dyDescent="0.35">
      <c r="A373" s="141"/>
      <c r="B373" s="289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  <c r="AJ373" s="141"/>
      <c r="AK373" s="141"/>
    </row>
    <row r="374" spans="1:37" x14ac:dyDescent="0.35">
      <c r="A374" s="141"/>
      <c r="B374" s="289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  <c r="AJ374" s="141"/>
      <c r="AK374" s="141"/>
    </row>
    <row r="375" spans="1:37" x14ac:dyDescent="0.35">
      <c r="A375" s="141"/>
      <c r="B375" s="289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</row>
    <row r="376" spans="1:37" x14ac:dyDescent="0.35">
      <c r="A376" s="141"/>
      <c r="B376" s="289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  <c r="AJ376" s="141"/>
      <c r="AK376" s="141"/>
    </row>
    <row r="377" spans="1:37" x14ac:dyDescent="0.35">
      <c r="A377" s="141"/>
      <c r="B377" s="289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</row>
    <row r="378" spans="1:37" x14ac:dyDescent="0.35">
      <c r="A378" s="141"/>
      <c r="B378" s="289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  <c r="AJ378" s="141"/>
      <c r="AK378" s="141"/>
    </row>
    <row r="379" spans="1:37" x14ac:dyDescent="0.35">
      <c r="A379" s="141"/>
      <c r="B379" s="289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</row>
    <row r="380" spans="1:37" x14ac:dyDescent="0.35">
      <c r="A380" s="141"/>
      <c r="B380" s="289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</row>
    <row r="381" spans="1:37" x14ac:dyDescent="0.35">
      <c r="A381" s="141"/>
      <c r="B381" s="289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/>
    </row>
    <row r="382" spans="1:37" x14ac:dyDescent="0.35">
      <c r="A382" s="141"/>
      <c r="B382" s="289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  <c r="AJ382" s="141"/>
      <c r="AK382" s="141"/>
    </row>
    <row r="383" spans="1:37" x14ac:dyDescent="0.35">
      <c r="A383" s="141"/>
      <c r="B383" s="289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  <c r="AJ383" s="141"/>
      <c r="AK383" s="141"/>
    </row>
    <row r="384" spans="1:37" x14ac:dyDescent="0.35">
      <c r="A384" s="141"/>
      <c r="B384" s="289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  <c r="AJ384" s="141"/>
      <c r="AK384" s="141"/>
    </row>
    <row r="385" spans="1:37" x14ac:dyDescent="0.35">
      <c r="A385" s="141"/>
      <c r="B385" s="289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/>
    </row>
    <row r="386" spans="1:37" x14ac:dyDescent="0.35">
      <c r="A386" s="141"/>
      <c r="B386" s="289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</row>
    <row r="387" spans="1:37" x14ac:dyDescent="0.35">
      <c r="A387" s="141"/>
      <c r="B387" s="289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</row>
    <row r="388" spans="1:37" x14ac:dyDescent="0.35">
      <c r="A388" s="141"/>
      <c r="B388" s="289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</row>
    <row r="389" spans="1:37" x14ac:dyDescent="0.35">
      <c r="A389" s="141"/>
      <c r="B389" s="289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/>
    </row>
    <row r="390" spans="1:37" x14ac:dyDescent="0.35">
      <c r="A390" s="141"/>
      <c r="B390" s="289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</row>
    <row r="391" spans="1:37" x14ac:dyDescent="0.35">
      <c r="A391" s="141"/>
      <c r="B391" s="289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</row>
    <row r="392" spans="1:37" x14ac:dyDescent="0.35">
      <c r="A392" s="141"/>
      <c r="B392" s="289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</row>
    <row r="393" spans="1:37" x14ac:dyDescent="0.35">
      <c r="A393" s="141"/>
      <c r="B393" s="289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</row>
    <row r="394" spans="1:37" x14ac:dyDescent="0.35">
      <c r="A394" s="141"/>
      <c r="B394" s="289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</row>
    <row r="395" spans="1:37" x14ac:dyDescent="0.35">
      <c r="A395" s="141"/>
      <c r="B395" s="289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</row>
    <row r="396" spans="1:37" x14ac:dyDescent="0.35">
      <c r="A396" s="141"/>
      <c r="B396" s="289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</row>
    <row r="397" spans="1:37" x14ac:dyDescent="0.35">
      <c r="A397" s="141"/>
      <c r="B397" s="289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</row>
    <row r="398" spans="1:37" x14ac:dyDescent="0.35">
      <c r="A398" s="141"/>
      <c r="B398" s="289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</row>
    <row r="399" spans="1:37" x14ac:dyDescent="0.35">
      <c r="A399" s="141"/>
      <c r="B399" s="289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</row>
    <row r="400" spans="1:37" x14ac:dyDescent="0.35">
      <c r="A400" s="141"/>
      <c r="B400" s="289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  <c r="AJ400" s="141"/>
      <c r="AK400" s="141"/>
    </row>
    <row r="401" spans="1:37" x14ac:dyDescent="0.35">
      <c r="A401" s="141"/>
      <c r="B401" s="289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  <c r="AJ401" s="141"/>
      <c r="AK401" s="141"/>
    </row>
    <row r="402" spans="1:37" x14ac:dyDescent="0.35">
      <c r="A402" s="141"/>
      <c r="B402" s="289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  <c r="AJ402" s="141"/>
      <c r="AK402" s="141"/>
    </row>
    <row r="403" spans="1:37" x14ac:dyDescent="0.35">
      <c r="A403" s="141"/>
      <c r="B403" s="289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</row>
    <row r="404" spans="1:37" x14ac:dyDescent="0.35">
      <c r="A404" s="141"/>
      <c r="B404" s="289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</row>
    <row r="405" spans="1:37" x14ac:dyDescent="0.35">
      <c r="A405" s="141"/>
      <c r="B405" s="289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</row>
    <row r="406" spans="1:37" x14ac:dyDescent="0.35">
      <c r="A406" s="141"/>
      <c r="B406" s="289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</row>
    <row r="407" spans="1:37" x14ac:dyDescent="0.35">
      <c r="A407" s="141"/>
      <c r="B407" s="289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  <c r="AJ407" s="141"/>
      <c r="AK407" s="141"/>
    </row>
    <row r="408" spans="1:37" x14ac:dyDescent="0.35">
      <c r="A408" s="141"/>
      <c r="B408" s="289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  <c r="AJ408" s="141"/>
      <c r="AK408" s="141"/>
    </row>
    <row r="409" spans="1:37" x14ac:dyDescent="0.35">
      <c r="A409" s="141"/>
      <c r="B409" s="289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</row>
    <row r="410" spans="1:37" x14ac:dyDescent="0.35">
      <c r="A410" s="141"/>
      <c r="B410" s="289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</row>
    <row r="411" spans="1:37" x14ac:dyDescent="0.35">
      <c r="A411" s="141"/>
      <c r="B411" s="289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</row>
    <row r="412" spans="1:37" x14ac:dyDescent="0.35">
      <c r="A412" s="141"/>
      <c r="B412" s="289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</row>
    <row r="413" spans="1:37" x14ac:dyDescent="0.35">
      <c r="A413" s="141"/>
      <c r="B413" s="289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</row>
    <row r="414" spans="1:37" x14ac:dyDescent="0.35">
      <c r="A414" s="141"/>
      <c r="B414" s="289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</row>
    <row r="415" spans="1:37" x14ac:dyDescent="0.35">
      <c r="A415" s="141"/>
      <c r="B415" s="289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  <c r="AJ415" s="141"/>
      <c r="AK415" s="141"/>
    </row>
    <row r="416" spans="1:37" x14ac:dyDescent="0.35">
      <c r="A416" s="141"/>
      <c r="B416" s="289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</row>
    <row r="417" spans="1:37" x14ac:dyDescent="0.35">
      <c r="A417" s="141"/>
      <c r="B417" s="289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  <c r="AJ417" s="141"/>
      <c r="AK417" s="141"/>
    </row>
    <row r="418" spans="1:37" x14ac:dyDescent="0.35">
      <c r="A418" s="141"/>
      <c r="B418" s="289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</row>
    <row r="419" spans="1:37" x14ac:dyDescent="0.35">
      <c r="A419" s="141"/>
      <c r="B419" s="289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  <c r="AJ419" s="141"/>
      <c r="AK419" s="141"/>
    </row>
    <row r="420" spans="1:37" x14ac:dyDescent="0.35">
      <c r="A420" s="141"/>
      <c r="B420" s="289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</row>
    <row r="421" spans="1:37" x14ac:dyDescent="0.35">
      <c r="A421" s="141"/>
      <c r="B421" s="289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</row>
    <row r="422" spans="1:37" x14ac:dyDescent="0.35">
      <c r="A422" s="141"/>
      <c r="B422" s="289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</row>
    <row r="423" spans="1:37" x14ac:dyDescent="0.35">
      <c r="A423" s="141"/>
      <c r="B423" s="289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</row>
    <row r="424" spans="1:37" x14ac:dyDescent="0.35">
      <c r="A424" s="141"/>
      <c r="B424" s="289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</row>
    <row r="425" spans="1:37" x14ac:dyDescent="0.35">
      <c r="A425" s="141"/>
      <c r="B425" s="289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</row>
    <row r="426" spans="1:37" x14ac:dyDescent="0.35">
      <c r="A426" s="141"/>
      <c r="B426" s="289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</row>
    <row r="427" spans="1:37" x14ac:dyDescent="0.35">
      <c r="A427" s="141"/>
      <c r="B427" s="289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</row>
    <row r="428" spans="1:37" x14ac:dyDescent="0.35">
      <c r="A428" s="141"/>
      <c r="B428" s="289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</row>
    <row r="429" spans="1:37" x14ac:dyDescent="0.35">
      <c r="A429" s="141"/>
      <c r="B429" s="289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</row>
    <row r="430" spans="1:37" x14ac:dyDescent="0.35">
      <c r="A430" s="141"/>
      <c r="B430" s="289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</row>
    <row r="431" spans="1:37" x14ac:dyDescent="0.35">
      <c r="A431" s="141"/>
      <c r="B431" s="289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</row>
    <row r="432" spans="1:37" x14ac:dyDescent="0.35">
      <c r="A432" s="141"/>
      <c r="B432" s="289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</row>
    <row r="433" spans="1:37" x14ac:dyDescent="0.35">
      <c r="A433" s="141"/>
      <c r="B433" s="289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</row>
    <row r="434" spans="1:37" x14ac:dyDescent="0.35">
      <c r="A434" s="141"/>
      <c r="B434" s="289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</row>
    <row r="435" spans="1:37" x14ac:dyDescent="0.35">
      <c r="A435" s="141"/>
      <c r="B435" s="289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</row>
    <row r="436" spans="1:37" x14ac:dyDescent="0.35">
      <c r="A436" s="141"/>
      <c r="B436" s="289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</row>
    <row r="437" spans="1:37" x14ac:dyDescent="0.35">
      <c r="A437" s="141"/>
      <c r="B437" s="289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</row>
    <row r="438" spans="1:37" x14ac:dyDescent="0.35">
      <c r="A438" s="141"/>
      <c r="B438" s="289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</row>
    <row r="439" spans="1:37" x14ac:dyDescent="0.35">
      <c r="A439" s="141"/>
      <c r="B439" s="289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</row>
    <row r="440" spans="1:37" x14ac:dyDescent="0.35">
      <c r="A440" s="141"/>
      <c r="B440" s="289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</row>
    <row r="441" spans="1:37" x14ac:dyDescent="0.35">
      <c r="A441" s="141"/>
      <c r="B441" s="289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</row>
    <row r="442" spans="1:37" x14ac:dyDescent="0.35">
      <c r="A442" s="141"/>
      <c r="B442" s="289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</row>
    <row r="443" spans="1:37" x14ac:dyDescent="0.35">
      <c r="A443" s="141"/>
      <c r="B443" s="289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</row>
    <row r="444" spans="1:37" x14ac:dyDescent="0.35">
      <c r="A444" s="141"/>
      <c r="B444" s="289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</row>
    <row r="445" spans="1:37" x14ac:dyDescent="0.35">
      <c r="A445" s="141"/>
      <c r="B445" s="289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</row>
    <row r="446" spans="1:37" x14ac:dyDescent="0.35">
      <c r="A446" s="141"/>
      <c r="B446" s="289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  <c r="AJ446" s="141"/>
      <c r="AK446" s="141"/>
    </row>
    <row r="447" spans="1:37" x14ac:dyDescent="0.35">
      <c r="A447" s="141"/>
      <c r="B447" s="289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/>
    </row>
    <row r="448" spans="1:37" x14ac:dyDescent="0.35">
      <c r="A448" s="141"/>
      <c r="B448" s="289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</row>
    <row r="449" spans="1:37" x14ac:dyDescent="0.35">
      <c r="A449" s="141"/>
      <c r="B449" s="289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</row>
    <row r="450" spans="1:37" x14ac:dyDescent="0.35">
      <c r="A450" s="141"/>
      <c r="B450" s="289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</row>
    <row r="451" spans="1:37" x14ac:dyDescent="0.35">
      <c r="A451" s="141"/>
      <c r="B451" s="289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</row>
    <row r="452" spans="1:37" x14ac:dyDescent="0.35">
      <c r="A452" s="141"/>
      <c r="B452" s="289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</row>
    <row r="453" spans="1:37" x14ac:dyDescent="0.35">
      <c r="A453" s="141"/>
      <c r="B453" s="289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</row>
    <row r="454" spans="1:37" x14ac:dyDescent="0.35">
      <c r="A454" s="141"/>
      <c r="B454" s="289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</row>
    <row r="455" spans="1:37" x14ac:dyDescent="0.35">
      <c r="A455" s="141"/>
      <c r="B455" s="289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</row>
    <row r="456" spans="1:37" x14ac:dyDescent="0.35">
      <c r="A456" s="141"/>
      <c r="B456" s="289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</row>
    <row r="457" spans="1:37" x14ac:dyDescent="0.35">
      <c r="A457" s="141"/>
      <c r="B457" s="289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</row>
    <row r="458" spans="1:37" x14ac:dyDescent="0.35">
      <c r="A458" s="141"/>
      <c r="B458" s="289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</row>
    <row r="459" spans="1:37" x14ac:dyDescent="0.35">
      <c r="A459" s="141"/>
      <c r="B459" s="289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</row>
    <row r="460" spans="1:37" x14ac:dyDescent="0.35">
      <c r="A460" s="141"/>
      <c r="B460" s="289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</row>
    <row r="461" spans="1:37" x14ac:dyDescent="0.35">
      <c r="A461" s="141"/>
      <c r="B461" s="289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</row>
    <row r="462" spans="1:37" x14ac:dyDescent="0.35">
      <c r="A462" s="141"/>
      <c r="B462" s="289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</row>
    <row r="463" spans="1:37" x14ac:dyDescent="0.35">
      <c r="A463" s="141"/>
      <c r="B463" s="289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</row>
    <row r="464" spans="1:37" x14ac:dyDescent="0.35">
      <c r="A464" s="141"/>
      <c r="B464" s="289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</row>
    <row r="465" spans="1:37" x14ac:dyDescent="0.35">
      <c r="A465" s="141"/>
      <c r="B465" s="289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</row>
    <row r="466" spans="1:37" x14ac:dyDescent="0.35">
      <c r="A466" s="141"/>
      <c r="B466" s="289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</row>
    <row r="467" spans="1:37" x14ac:dyDescent="0.35">
      <c r="A467" s="141"/>
      <c r="B467" s="289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</row>
    <row r="468" spans="1:37" x14ac:dyDescent="0.35">
      <c r="A468" s="141"/>
      <c r="B468" s="289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</row>
    <row r="469" spans="1:37" x14ac:dyDescent="0.35">
      <c r="A469" s="141"/>
      <c r="B469" s="289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</row>
    <row r="470" spans="1:37" x14ac:dyDescent="0.35">
      <c r="A470" s="141"/>
      <c r="B470" s="289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</row>
    <row r="471" spans="1:37" x14ac:dyDescent="0.35">
      <c r="A471" s="141"/>
      <c r="B471" s="289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</row>
    <row r="472" spans="1:37" x14ac:dyDescent="0.35">
      <c r="A472" s="141"/>
      <c r="B472" s="289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</row>
    <row r="473" spans="1:37" x14ac:dyDescent="0.35">
      <c r="A473" s="141"/>
      <c r="B473" s="289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</row>
    <row r="474" spans="1:37" x14ac:dyDescent="0.35">
      <c r="A474" s="141"/>
      <c r="B474" s="289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</row>
    <row r="475" spans="1:37" x14ac:dyDescent="0.35">
      <c r="A475" s="141"/>
      <c r="B475" s="289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</row>
    <row r="476" spans="1:37" x14ac:dyDescent="0.35">
      <c r="A476" s="141"/>
      <c r="B476" s="289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</row>
    <row r="477" spans="1:37" x14ac:dyDescent="0.35">
      <c r="A477" s="141"/>
      <c r="B477" s="289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</row>
    <row r="478" spans="1:37" x14ac:dyDescent="0.35">
      <c r="A478" s="141"/>
      <c r="B478" s="289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</row>
    <row r="479" spans="1:37" x14ac:dyDescent="0.35">
      <c r="A479" s="141"/>
      <c r="B479" s="289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</row>
    <row r="480" spans="1:37" x14ac:dyDescent="0.35">
      <c r="A480" s="141"/>
      <c r="B480" s="289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</row>
    <row r="481" spans="1:37" x14ac:dyDescent="0.35">
      <c r="A481" s="141"/>
      <c r="B481" s="289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</row>
    <row r="482" spans="1:37" x14ac:dyDescent="0.35">
      <c r="A482" s="141"/>
      <c r="B482" s="289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</row>
    <row r="483" spans="1:37" x14ac:dyDescent="0.35">
      <c r="A483" s="141"/>
      <c r="B483" s="289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</row>
    <row r="484" spans="1:37" x14ac:dyDescent="0.35">
      <c r="A484" s="141"/>
      <c r="B484" s="289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</row>
    <row r="485" spans="1:37" x14ac:dyDescent="0.35">
      <c r="A485" s="141"/>
      <c r="B485" s="289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</row>
    <row r="486" spans="1:37" x14ac:dyDescent="0.35">
      <c r="A486" s="141"/>
      <c r="B486" s="289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</row>
    <row r="487" spans="1:37" x14ac:dyDescent="0.35">
      <c r="A487" s="141"/>
      <c r="B487" s="289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</row>
    <row r="488" spans="1:37" x14ac:dyDescent="0.35">
      <c r="A488" s="141"/>
      <c r="B488" s="289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</row>
    <row r="489" spans="1:37" x14ac:dyDescent="0.35">
      <c r="A489" s="141"/>
      <c r="B489" s="289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</row>
    <row r="490" spans="1:37" x14ac:dyDescent="0.35">
      <c r="A490" s="141"/>
      <c r="B490" s="289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</row>
    <row r="491" spans="1:37" x14ac:dyDescent="0.35">
      <c r="A491" s="141"/>
      <c r="B491" s="289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</row>
    <row r="492" spans="1:37" x14ac:dyDescent="0.35">
      <c r="A492" s="141"/>
      <c r="B492" s="289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</row>
    <row r="493" spans="1:37" x14ac:dyDescent="0.35">
      <c r="A493" s="141"/>
      <c r="B493" s="289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</row>
    <row r="494" spans="1:37" x14ac:dyDescent="0.35">
      <c r="A494" s="141"/>
      <c r="B494" s="289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</row>
    <row r="495" spans="1:37" x14ac:dyDescent="0.35">
      <c r="A495" s="141"/>
      <c r="B495" s="289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</row>
    <row r="496" spans="1:37" x14ac:dyDescent="0.35">
      <c r="A496" s="141"/>
      <c r="B496" s="289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</row>
    <row r="497" spans="1:37" x14ac:dyDescent="0.35">
      <c r="A497" s="141"/>
      <c r="B497" s="289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</row>
    <row r="498" spans="1:37" x14ac:dyDescent="0.35">
      <c r="A498" s="141"/>
      <c r="B498" s="289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</row>
    <row r="499" spans="1:37" x14ac:dyDescent="0.35">
      <c r="A499" s="141"/>
      <c r="B499" s="289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</row>
    <row r="500" spans="1:37" x14ac:dyDescent="0.35">
      <c r="A500" s="141"/>
      <c r="B500" s="289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</row>
    <row r="501" spans="1:37" x14ac:dyDescent="0.35">
      <c r="A501" s="141"/>
      <c r="B501" s="289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</row>
    <row r="502" spans="1:37" x14ac:dyDescent="0.35">
      <c r="A502" s="141"/>
      <c r="B502" s="289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</row>
    <row r="503" spans="1:37" x14ac:dyDescent="0.35">
      <c r="A503" s="141"/>
      <c r="B503" s="289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</row>
    <row r="504" spans="1:37" x14ac:dyDescent="0.35">
      <c r="A504" s="141"/>
      <c r="B504" s="289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</row>
    <row r="505" spans="1:37" x14ac:dyDescent="0.35">
      <c r="A505" s="141"/>
      <c r="B505" s="289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</row>
    <row r="506" spans="1:37" x14ac:dyDescent="0.35">
      <c r="A506" s="141"/>
      <c r="B506" s="289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</row>
    <row r="507" spans="1:37" x14ac:dyDescent="0.35">
      <c r="A507" s="141"/>
      <c r="B507" s="289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</row>
    <row r="508" spans="1:37" x14ac:dyDescent="0.35">
      <c r="A508" s="141"/>
      <c r="B508" s="289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</row>
    <row r="509" spans="1:37" x14ac:dyDescent="0.35">
      <c r="A509" s="141"/>
      <c r="B509" s="289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</row>
    <row r="510" spans="1:37" x14ac:dyDescent="0.35">
      <c r="A510" s="141"/>
      <c r="B510" s="289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</row>
    <row r="511" spans="1:37" x14ac:dyDescent="0.35">
      <c r="A511" s="141"/>
      <c r="B511" s="289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</row>
    <row r="512" spans="1:37" x14ac:dyDescent="0.35">
      <c r="A512" s="141"/>
      <c r="B512" s="289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</row>
    <row r="513" spans="1:37" x14ac:dyDescent="0.35">
      <c r="A513" s="141"/>
      <c r="B513" s="289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</row>
    <row r="514" spans="1:37" x14ac:dyDescent="0.35">
      <c r="A514" s="141"/>
      <c r="B514" s="289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</row>
    <row r="515" spans="1:37" x14ac:dyDescent="0.35">
      <c r="A515" s="141"/>
      <c r="B515" s="289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</row>
    <row r="516" spans="1:37" x14ac:dyDescent="0.35">
      <c r="A516" s="141"/>
      <c r="B516" s="289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</row>
    <row r="517" spans="1:37" x14ac:dyDescent="0.35">
      <c r="A517" s="141"/>
      <c r="B517" s="289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</row>
    <row r="518" spans="1:37" x14ac:dyDescent="0.35">
      <c r="A518" s="141"/>
      <c r="B518" s="289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</row>
    <row r="519" spans="1:37" x14ac:dyDescent="0.35">
      <c r="A519" s="141"/>
      <c r="B519" s="289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</row>
    <row r="520" spans="1:37" x14ac:dyDescent="0.35">
      <c r="A520" s="141"/>
      <c r="B520" s="289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</row>
    <row r="521" spans="1:37" x14ac:dyDescent="0.35">
      <c r="A521" s="141"/>
      <c r="B521" s="289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</row>
    <row r="522" spans="1:37" x14ac:dyDescent="0.35">
      <c r="A522" s="141"/>
      <c r="B522" s="289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</row>
    <row r="523" spans="1:37" x14ac:dyDescent="0.35">
      <c r="A523" s="141"/>
      <c r="B523" s="289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</row>
    <row r="524" spans="1:37" x14ac:dyDescent="0.35">
      <c r="A524" s="141"/>
      <c r="B524" s="289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</row>
    <row r="525" spans="1:37" x14ac:dyDescent="0.35">
      <c r="A525" s="141"/>
      <c r="B525" s="289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</row>
    <row r="526" spans="1:37" x14ac:dyDescent="0.35">
      <c r="A526" s="141"/>
      <c r="B526" s="289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</row>
    <row r="527" spans="1:37" x14ac:dyDescent="0.35">
      <c r="A527" s="141"/>
      <c r="B527" s="289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</row>
    <row r="528" spans="1:37" x14ac:dyDescent="0.35">
      <c r="A528" s="141"/>
      <c r="B528" s="289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</row>
    <row r="529" spans="1:37" x14ac:dyDescent="0.35">
      <c r="A529" s="141"/>
      <c r="B529" s="289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</row>
    <row r="530" spans="1:37" x14ac:dyDescent="0.35">
      <c r="A530" s="141"/>
      <c r="B530" s="289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</row>
    <row r="531" spans="1:37" x14ac:dyDescent="0.35">
      <c r="A531" s="141"/>
      <c r="B531" s="289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</row>
    <row r="532" spans="1:37" x14ac:dyDescent="0.35">
      <c r="A532" s="141"/>
      <c r="B532" s="289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</row>
    <row r="533" spans="1:37" x14ac:dyDescent="0.35">
      <c r="A533" s="141"/>
      <c r="B533" s="289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</row>
    <row r="534" spans="1:37" x14ac:dyDescent="0.35">
      <c r="A534" s="141"/>
      <c r="B534" s="289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</row>
    <row r="535" spans="1:37" x14ac:dyDescent="0.35">
      <c r="A535" s="141"/>
      <c r="B535" s="289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</row>
    <row r="536" spans="1:37" x14ac:dyDescent="0.35">
      <c r="A536" s="141"/>
      <c r="B536" s="289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</row>
    <row r="537" spans="1:37" x14ac:dyDescent="0.35">
      <c r="A537" s="141"/>
      <c r="B537" s="289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</row>
    <row r="538" spans="1:37" x14ac:dyDescent="0.35">
      <c r="A538" s="141"/>
      <c r="B538" s="289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</row>
    <row r="539" spans="1:37" x14ac:dyDescent="0.35">
      <c r="A539" s="141"/>
      <c r="B539" s="289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</row>
    <row r="540" spans="1:37" x14ac:dyDescent="0.35">
      <c r="A540" s="141"/>
      <c r="B540" s="289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</row>
    <row r="541" spans="1:37" x14ac:dyDescent="0.35">
      <c r="A541" s="141"/>
      <c r="B541" s="289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</row>
    <row r="542" spans="1:37" x14ac:dyDescent="0.35">
      <c r="A542" s="141"/>
      <c r="B542" s="289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</row>
    <row r="543" spans="1:37" x14ac:dyDescent="0.35">
      <c r="A543" s="141"/>
      <c r="B543" s="289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</row>
    <row r="544" spans="1:37" x14ac:dyDescent="0.35">
      <c r="A544" s="141"/>
      <c r="B544" s="289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</row>
    <row r="545" spans="1:37" x14ac:dyDescent="0.35">
      <c r="A545" s="141"/>
      <c r="B545" s="289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</row>
    <row r="546" spans="1:37" x14ac:dyDescent="0.35">
      <c r="A546" s="141"/>
      <c r="B546" s="289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</row>
    <row r="547" spans="1:37" x14ac:dyDescent="0.35">
      <c r="A547" s="141"/>
      <c r="B547" s="289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</row>
    <row r="548" spans="1:37" x14ac:dyDescent="0.35">
      <c r="A548" s="141"/>
      <c r="B548" s="289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</row>
    <row r="549" spans="1:37" x14ac:dyDescent="0.35">
      <c r="A549" s="141"/>
      <c r="B549" s="289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</row>
    <row r="550" spans="1:37" x14ac:dyDescent="0.35">
      <c r="A550" s="141"/>
      <c r="B550" s="289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</row>
    <row r="551" spans="1:37" x14ac:dyDescent="0.35">
      <c r="A551" s="141"/>
      <c r="B551" s="289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</row>
    <row r="552" spans="1:37" x14ac:dyDescent="0.35">
      <c r="A552" s="141"/>
      <c r="B552" s="289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</row>
    <row r="553" spans="1:37" x14ac:dyDescent="0.35">
      <c r="A553" s="141"/>
      <c r="B553" s="289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</row>
    <row r="554" spans="1:37" x14ac:dyDescent="0.35">
      <c r="A554" s="141"/>
      <c r="B554" s="289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</row>
    <row r="555" spans="1:37" x14ac:dyDescent="0.35">
      <c r="A555" s="141"/>
      <c r="B555" s="289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</row>
    <row r="556" spans="1:37" x14ac:dyDescent="0.35">
      <c r="A556" s="141"/>
      <c r="B556" s="289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</row>
    <row r="557" spans="1:37" x14ac:dyDescent="0.35">
      <c r="A557" s="141"/>
      <c r="B557" s="289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</row>
    <row r="558" spans="1:37" x14ac:dyDescent="0.35">
      <c r="A558" s="141"/>
      <c r="B558" s="289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</row>
    <row r="559" spans="1:37" x14ac:dyDescent="0.35">
      <c r="A559" s="141"/>
      <c r="B559" s="289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</row>
    <row r="560" spans="1:37" x14ac:dyDescent="0.35">
      <c r="A560" s="141"/>
      <c r="B560" s="289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</row>
    <row r="561" spans="1:37" x14ac:dyDescent="0.35">
      <c r="A561" s="141"/>
      <c r="B561" s="289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</row>
    <row r="562" spans="1:37" x14ac:dyDescent="0.35">
      <c r="A562" s="141"/>
      <c r="B562" s="289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</row>
    <row r="563" spans="1:37" x14ac:dyDescent="0.35">
      <c r="A563" s="141"/>
      <c r="B563" s="289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</row>
    <row r="564" spans="1:37" x14ac:dyDescent="0.35">
      <c r="A564" s="141"/>
      <c r="B564" s="289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</row>
    <row r="565" spans="1:37" x14ac:dyDescent="0.35">
      <c r="A565" s="141"/>
      <c r="B565" s="289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</row>
    <row r="566" spans="1:37" x14ac:dyDescent="0.35">
      <c r="A566" s="141"/>
      <c r="B566" s="289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</row>
    <row r="567" spans="1:37" x14ac:dyDescent="0.35">
      <c r="A567" s="141"/>
      <c r="B567" s="289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</row>
    <row r="568" spans="1:37" x14ac:dyDescent="0.35">
      <c r="A568" s="141"/>
      <c r="B568" s="289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</row>
    <row r="569" spans="1:37" x14ac:dyDescent="0.35">
      <c r="A569" s="141"/>
      <c r="B569" s="289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</row>
    <row r="570" spans="1:37" x14ac:dyDescent="0.35">
      <c r="A570" s="141"/>
      <c r="B570" s="289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</row>
    <row r="571" spans="1:37" x14ac:dyDescent="0.35">
      <c r="A571" s="141"/>
      <c r="B571" s="289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</row>
    <row r="572" spans="1:37" x14ac:dyDescent="0.35">
      <c r="A572" s="141"/>
      <c r="B572" s="289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</row>
    <row r="573" spans="1:37" x14ac:dyDescent="0.35">
      <c r="A573" s="141"/>
      <c r="B573" s="289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</row>
    <row r="574" spans="1:37" x14ac:dyDescent="0.35">
      <c r="A574" s="141"/>
      <c r="B574" s="289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</row>
    <row r="575" spans="1:37" x14ac:dyDescent="0.35">
      <c r="A575" s="141"/>
      <c r="B575" s="289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</row>
    <row r="576" spans="1:37" x14ac:dyDescent="0.35">
      <c r="A576" s="141"/>
      <c r="B576" s="289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</row>
    <row r="577" spans="1:37" x14ac:dyDescent="0.35">
      <c r="A577" s="141"/>
      <c r="B577" s="289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</row>
    <row r="578" spans="1:37" x14ac:dyDescent="0.35">
      <c r="A578" s="141"/>
      <c r="B578" s="289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</row>
    <row r="579" spans="1:37" x14ac:dyDescent="0.35">
      <c r="A579" s="141"/>
      <c r="B579" s="289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</row>
    <row r="580" spans="1:37" x14ac:dyDescent="0.35">
      <c r="A580" s="141"/>
      <c r="B580" s="289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</row>
    <row r="581" spans="1:37" x14ac:dyDescent="0.35">
      <c r="A581" s="141"/>
      <c r="B581" s="289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</row>
    <row r="582" spans="1:37" x14ac:dyDescent="0.35">
      <c r="A582" s="141"/>
      <c r="B582" s="289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</row>
    <row r="583" spans="1:37" x14ac:dyDescent="0.35">
      <c r="A583" s="141"/>
      <c r="B583" s="289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</row>
    <row r="584" spans="1:37" x14ac:dyDescent="0.35">
      <c r="A584" s="141"/>
      <c r="B584" s="289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</row>
    <row r="585" spans="1:37" x14ac:dyDescent="0.35">
      <c r="A585" s="141"/>
      <c r="B585" s="289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</row>
    <row r="586" spans="1:37" x14ac:dyDescent="0.35">
      <c r="A586" s="141"/>
      <c r="B586" s="289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</row>
    <row r="587" spans="1:37" x14ac:dyDescent="0.35">
      <c r="A587" s="141"/>
      <c r="B587" s="289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</row>
    <row r="588" spans="1:37" x14ac:dyDescent="0.35">
      <c r="A588" s="141"/>
      <c r="B588" s="289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</row>
    <row r="589" spans="1:37" x14ac:dyDescent="0.35">
      <c r="A589" s="141"/>
      <c r="B589" s="289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</row>
    <row r="590" spans="1:37" x14ac:dyDescent="0.35">
      <c r="A590" s="141"/>
      <c r="B590" s="289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</row>
    <row r="591" spans="1:37" x14ac:dyDescent="0.35">
      <c r="A591" s="141"/>
      <c r="B591" s="289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</row>
    <row r="592" spans="1:37" x14ac:dyDescent="0.35">
      <c r="A592" s="141"/>
      <c r="B592" s="289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</row>
    <row r="593" spans="1:37" x14ac:dyDescent="0.35">
      <c r="A593" s="141"/>
      <c r="B593" s="289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</row>
    <row r="594" spans="1:37" x14ac:dyDescent="0.35">
      <c r="A594" s="141"/>
      <c r="B594" s="289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</row>
    <row r="595" spans="1:37" x14ac:dyDescent="0.35">
      <c r="A595" s="141"/>
      <c r="B595" s="289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</row>
    <row r="596" spans="1:37" x14ac:dyDescent="0.35">
      <c r="A596" s="141"/>
      <c r="B596" s="289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</row>
    <row r="597" spans="1:37" x14ac:dyDescent="0.35">
      <c r="A597" s="141"/>
      <c r="B597" s="289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</row>
    <row r="598" spans="1:37" x14ac:dyDescent="0.35">
      <c r="A598" s="141"/>
      <c r="B598" s="289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</row>
    <row r="599" spans="1:37" x14ac:dyDescent="0.35">
      <c r="A599" s="141"/>
      <c r="B599" s="289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</row>
    <row r="600" spans="1:37" x14ac:dyDescent="0.35">
      <c r="A600" s="141"/>
      <c r="B600" s="289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</row>
    <row r="601" spans="1:37" x14ac:dyDescent="0.35">
      <c r="A601" s="141"/>
      <c r="B601" s="289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</row>
    <row r="602" spans="1:37" x14ac:dyDescent="0.35">
      <c r="A602" s="141"/>
      <c r="B602" s="289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</row>
    <row r="603" spans="1:37" x14ac:dyDescent="0.35">
      <c r="A603" s="141"/>
      <c r="B603" s="289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</row>
    <row r="604" spans="1:37" x14ac:dyDescent="0.35">
      <c r="A604" s="141"/>
      <c r="B604" s="289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</row>
    <row r="605" spans="1:37" x14ac:dyDescent="0.35">
      <c r="A605" s="141"/>
      <c r="B605" s="289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</row>
    <row r="606" spans="1:37" x14ac:dyDescent="0.35">
      <c r="A606" s="141"/>
      <c r="B606" s="289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</row>
    <row r="607" spans="1:37" x14ac:dyDescent="0.35">
      <c r="A607" s="141"/>
      <c r="B607" s="289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</row>
    <row r="608" spans="1:37" x14ac:dyDescent="0.35">
      <c r="A608" s="141"/>
      <c r="B608" s="289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</row>
    <row r="609" spans="1:37" x14ac:dyDescent="0.35">
      <c r="A609" s="141"/>
      <c r="B609" s="289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</row>
    <row r="610" spans="1:37" x14ac:dyDescent="0.35">
      <c r="A610" s="141"/>
      <c r="B610" s="289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</row>
    <row r="611" spans="1:37" x14ac:dyDescent="0.35">
      <c r="A611" s="141"/>
      <c r="B611" s="289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</row>
    <row r="612" spans="1:37" x14ac:dyDescent="0.35">
      <c r="A612" s="141"/>
      <c r="B612" s="289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</row>
    <row r="613" spans="1:37" x14ac:dyDescent="0.35">
      <c r="A613" s="141"/>
      <c r="B613" s="289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</row>
    <row r="614" spans="1:37" x14ac:dyDescent="0.35">
      <c r="A614" s="141"/>
      <c r="B614" s="289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</row>
    <row r="615" spans="1:37" x14ac:dyDescent="0.35">
      <c r="A615" s="141"/>
      <c r="B615" s="289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</row>
    <row r="616" spans="1:37" x14ac:dyDescent="0.35">
      <c r="A616" s="141"/>
      <c r="B616" s="289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</row>
    <row r="617" spans="1:37" x14ac:dyDescent="0.35">
      <c r="A617" s="141"/>
      <c r="B617" s="289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</row>
    <row r="618" spans="1:37" x14ac:dyDescent="0.35">
      <c r="A618" s="141"/>
      <c r="B618" s="289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</row>
    <row r="619" spans="1:37" x14ac:dyDescent="0.35">
      <c r="A619" s="141"/>
      <c r="B619" s="289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</row>
    <row r="620" spans="1:37" x14ac:dyDescent="0.35">
      <c r="A620" s="141"/>
      <c r="B620" s="289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</row>
    <row r="621" spans="1:37" x14ac:dyDescent="0.35">
      <c r="A621" s="141"/>
      <c r="B621" s="289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</row>
    <row r="622" spans="1:37" x14ac:dyDescent="0.35">
      <c r="A622" s="141"/>
      <c r="B622" s="289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</row>
    <row r="623" spans="1:37" x14ac:dyDescent="0.35">
      <c r="A623" s="141"/>
      <c r="B623" s="289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</row>
    <row r="624" spans="1:37" x14ac:dyDescent="0.35">
      <c r="A624" s="141"/>
      <c r="B624" s="289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</row>
    <row r="625" spans="1:37" x14ac:dyDescent="0.35">
      <c r="A625" s="141"/>
      <c r="B625" s="289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</row>
    <row r="626" spans="1:37" x14ac:dyDescent="0.35">
      <c r="A626" s="141"/>
      <c r="B626" s="289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</row>
    <row r="627" spans="1:37" x14ac:dyDescent="0.35">
      <c r="A627" s="141"/>
      <c r="B627" s="289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</row>
    <row r="628" spans="1:37" x14ac:dyDescent="0.35">
      <c r="A628" s="141"/>
      <c r="B628" s="289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</row>
    <row r="629" spans="1:37" x14ac:dyDescent="0.35">
      <c r="A629" s="141"/>
      <c r="B629" s="289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</row>
    <row r="630" spans="1:37" x14ac:dyDescent="0.35">
      <c r="A630" s="141"/>
      <c r="B630" s="289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</row>
    <row r="631" spans="1:37" x14ac:dyDescent="0.35">
      <c r="A631" s="141"/>
      <c r="B631" s="289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</row>
    <row r="632" spans="1:37" x14ac:dyDescent="0.35">
      <c r="A632" s="141"/>
      <c r="B632" s="289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</row>
    <row r="633" spans="1:37" x14ac:dyDescent="0.35">
      <c r="A633" s="141"/>
      <c r="B633" s="289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</row>
    <row r="634" spans="1:37" x14ac:dyDescent="0.35">
      <c r="A634" s="141"/>
      <c r="B634" s="289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</row>
    <row r="635" spans="1:37" x14ac:dyDescent="0.35">
      <c r="A635" s="141"/>
      <c r="B635" s="289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</row>
    <row r="636" spans="1:37" x14ac:dyDescent="0.35">
      <c r="A636" s="141"/>
      <c r="B636" s="289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</row>
    <row r="637" spans="1:37" x14ac:dyDescent="0.35">
      <c r="A637" s="141"/>
      <c r="B637" s="289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</row>
    <row r="638" spans="1:37" x14ac:dyDescent="0.35">
      <c r="A638" s="141"/>
      <c r="B638" s="289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</row>
    <row r="639" spans="1:37" x14ac:dyDescent="0.35">
      <c r="A639" s="141"/>
      <c r="B639" s="289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</row>
    <row r="640" spans="1:37" x14ac:dyDescent="0.35">
      <c r="A640" s="141"/>
      <c r="B640" s="289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</row>
    <row r="641" spans="1:37" x14ac:dyDescent="0.35">
      <c r="A641" s="141"/>
      <c r="B641" s="289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</row>
    <row r="642" spans="1:37" x14ac:dyDescent="0.35">
      <c r="A642" s="141"/>
      <c r="B642" s="289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</row>
    <row r="643" spans="1:37" x14ac:dyDescent="0.35">
      <c r="A643" s="141"/>
      <c r="B643" s="289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</row>
    <row r="644" spans="1:37" x14ac:dyDescent="0.35">
      <c r="A644" s="141"/>
      <c r="B644" s="289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</row>
    <row r="645" spans="1:37" x14ac:dyDescent="0.35">
      <c r="A645" s="141"/>
      <c r="B645" s="289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</row>
    <row r="646" spans="1:37" x14ac:dyDescent="0.35">
      <c r="A646" s="141"/>
      <c r="B646" s="289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</row>
    <row r="647" spans="1:37" x14ac:dyDescent="0.35">
      <c r="A647" s="141"/>
      <c r="B647" s="289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</row>
    <row r="648" spans="1:37" x14ac:dyDescent="0.35">
      <c r="A648" s="141"/>
      <c r="B648" s="289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</row>
    <row r="649" spans="1:37" x14ac:dyDescent="0.35">
      <c r="A649" s="141"/>
      <c r="B649" s="289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</row>
    <row r="650" spans="1:37" x14ac:dyDescent="0.35">
      <c r="A650" s="141"/>
      <c r="B650" s="289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  <c r="AJ650" s="141"/>
      <c r="AK650" s="141"/>
    </row>
    <row r="651" spans="1:37" x14ac:dyDescent="0.35">
      <c r="A651" s="141"/>
      <c r="B651" s="289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  <c r="AJ651" s="141"/>
      <c r="AK651" s="141"/>
    </row>
    <row r="652" spans="1:37" x14ac:dyDescent="0.35">
      <c r="A652" s="141"/>
      <c r="B652" s="289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/>
    </row>
    <row r="653" spans="1:37" x14ac:dyDescent="0.35">
      <c r="A653" s="141"/>
      <c r="B653" s="289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  <c r="AJ653" s="141"/>
      <c r="AK653" s="141"/>
    </row>
    <row r="654" spans="1:37" x14ac:dyDescent="0.35">
      <c r="A654" s="141"/>
      <c r="B654" s="289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/>
    </row>
    <row r="655" spans="1:37" x14ac:dyDescent="0.35">
      <c r="A655" s="141"/>
      <c r="B655" s="289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  <c r="AJ655" s="141"/>
      <c r="AK655" s="141"/>
    </row>
    <row r="656" spans="1:37" x14ac:dyDescent="0.35">
      <c r="A656" s="141"/>
      <c r="B656" s="289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</row>
    <row r="657" spans="1:37" x14ac:dyDescent="0.35">
      <c r="A657" s="141"/>
      <c r="B657" s="289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  <c r="AJ657" s="141"/>
      <c r="AK657" s="141"/>
    </row>
    <row r="658" spans="1:37" x14ac:dyDescent="0.35">
      <c r="A658" s="141"/>
      <c r="B658" s="289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</row>
    <row r="659" spans="1:37" x14ac:dyDescent="0.35">
      <c r="A659" s="141"/>
      <c r="B659" s="289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  <c r="AJ659" s="141"/>
      <c r="AK659" s="141"/>
    </row>
    <row r="660" spans="1:37" x14ac:dyDescent="0.35">
      <c r="A660" s="141"/>
      <c r="B660" s="289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</row>
    <row r="661" spans="1:37" x14ac:dyDescent="0.35">
      <c r="A661" s="141"/>
      <c r="B661" s="289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  <c r="AJ661" s="141"/>
      <c r="AK661" s="141"/>
    </row>
    <row r="662" spans="1:37" x14ac:dyDescent="0.35">
      <c r="A662" s="141"/>
      <c r="B662" s="289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</row>
    <row r="663" spans="1:37" x14ac:dyDescent="0.35">
      <c r="A663" s="141"/>
      <c r="B663" s="289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  <c r="AJ663" s="141"/>
      <c r="AK663" s="141"/>
    </row>
    <row r="664" spans="1:37" x14ac:dyDescent="0.35">
      <c r="A664" s="141"/>
      <c r="B664" s="289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</row>
    <row r="665" spans="1:37" x14ac:dyDescent="0.35">
      <c r="A665" s="141"/>
      <c r="B665" s="289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  <c r="AJ665" s="141"/>
      <c r="AK665" s="141"/>
    </row>
    <row r="666" spans="1:37" x14ac:dyDescent="0.35">
      <c r="A666" s="141"/>
      <c r="B666" s="289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</row>
    <row r="667" spans="1:37" x14ac:dyDescent="0.35">
      <c r="A667" s="141"/>
      <c r="B667" s="289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  <c r="AJ667" s="141"/>
      <c r="AK667" s="141"/>
    </row>
    <row r="668" spans="1:37" x14ac:dyDescent="0.35">
      <c r="A668" s="141"/>
      <c r="B668" s="289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  <c r="AJ668" s="141"/>
      <c r="AK668" s="141"/>
    </row>
    <row r="669" spans="1:37" x14ac:dyDescent="0.35">
      <c r="A669" s="141"/>
      <c r="B669" s="289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  <c r="AJ669" s="141"/>
      <c r="AK669" s="141"/>
    </row>
    <row r="670" spans="1:37" x14ac:dyDescent="0.35">
      <c r="A670" s="141"/>
      <c r="B670" s="289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/>
    </row>
    <row r="671" spans="1:37" x14ac:dyDescent="0.35">
      <c r="A671" s="141"/>
      <c r="B671" s="289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  <c r="AJ671" s="141"/>
      <c r="AK671" s="141"/>
    </row>
    <row r="672" spans="1:37" x14ac:dyDescent="0.35">
      <c r="A672" s="141"/>
      <c r="B672" s="289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  <c r="AJ672" s="141"/>
      <c r="AK672" s="141"/>
    </row>
    <row r="673" spans="1:37" x14ac:dyDescent="0.35">
      <c r="A673" s="141"/>
      <c r="B673" s="289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  <c r="AJ673" s="141"/>
      <c r="AK673" s="141"/>
    </row>
    <row r="674" spans="1:37" x14ac:dyDescent="0.35">
      <c r="A674" s="141"/>
      <c r="B674" s="289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</row>
    <row r="675" spans="1:37" x14ac:dyDescent="0.35">
      <c r="A675" s="141"/>
      <c r="B675" s="289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  <c r="AJ675" s="141"/>
      <c r="AK675" s="141"/>
    </row>
    <row r="676" spans="1:37" x14ac:dyDescent="0.35">
      <c r="A676" s="141"/>
      <c r="B676" s="289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  <c r="AJ676" s="141"/>
      <c r="AK676" s="141"/>
    </row>
    <row r="677" spans="1:37" x14ac:dyDescent="0.35">
      <c r="A677" s="141"/>
      <c r="B677" s="289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  <c r="AJ677" s="141"/>
      <c r="AK677" s="141"/>
    </row>
    <row r="678" spans="1:37" x14ac:dyDescent="0.35">
      <c r="A678" s="141"/>
      <c r="B678" s="289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</row>
    <row r="679" spans="1:37" x14ac:dyDescent="0.35">
      <c r="A679" s="141"/>
      <c r="B679" s="289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  <c r="AJ679" s="141"/>
      <c r="AK679" s="141"/>
    </row>
    <row r="680" spans="1:37" x14ac:dyDescent="0.35">
      <c r="A680" s="141"/>
      <c r="B680" s="289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/>
    </row>
    <row r="681" spans="1:37" x14ac:dyDescent="0.35">
      <c r="A681" s="141"/>
      <c r="B681" s="289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  <c r="AJ681" s="141"/>
      <c r="AK681" s="141"/>
    </row>
    <row r="682" spans="1:37" x14ac:dyDescent="0.35">
      <c r="A682" s="141"/>
      <c r="B682" s="289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  <c r="AJ682" s="141"/>
      <c r="AK682" s="141"/>
    </row>
    <row r="683" spans="1:37" x14ac:dyDescent="0.35">
      <c r="A683" s="141"/>
      <c r="B683" s="289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/>
    </row>
    <row r="684" spans="1:37" x14ac:dyDescent="0.35">
      <c r="A684" s="141"/>
      <c r="B684" s="289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  <c r="AJ684" s="141"/>
      <c r="AK684" s="141"/>
    </row>
    <row r="685" spans="1:37" x14ac:dyDescent="0.35">
      <c r="A685" s="141"/>
      <c r="B685" s="289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/>
    </row>
    <row r="686" spans="1:37" x14ac:dyDescent="0.35">
      <c r="A686" s="141"/>
      <c r="B686" s="289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  <c r="AJ686" s="141"/>
      <c r="AK686" s="141"/>
    </row>
    <row r="687" spans="1:37" x14ac:dyDescent="0.35">
      <c r="A687" s="141"/>
      <c r="B687" s="289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</row>
    <row r="688" spans="1:37" x14ac:dyDescent="0.35">
      <c r="A688" s="141"/>
      <c r="B688" s="289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</row>
    <row r="689" spans="1:37" x14ac:dyDescent="0.35">
      <c r="A689" s="141"/>
      <c r="B689" s="289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</row>
    <row r="690" spans="1:37" x14ac:dyDescent="0.35">
      <c r="A690" s="141"/>
      <c r="B690" s="289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</row>
    <row r="691" spans="1:37" x14ac:dyDescent="0.35">
      <c r="A691" s="141"/>
      <c r="B691" s="289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</row>
    <row r="692" spans="1:37" x14ac:dyDescent="0.35">
      <c r="A692" s="141"/>
      <c r="B692" s="289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</row>
    <row r="693" spans="1:37" x14ac:dyDescent="0.35">
      <c r="A693" s="141"/>
      <c r="B693" s="289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</row>
    <row r="694" spans="1:37" x14ac:dyDescent="0.35">
      <c r="A694" s="141"/>
      <c r="B694" s="289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</row>
    <row r="695" spans="1:37" x14ac:dyDescent="0.35">
      <c r="A695" s="141"/>
      <c r="B695" s="289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</row>
    <row r="696" spans="1:37" x14ac:dyDescent="0.35">
      <c r="A696" s="141"/>
      <c r="B696" s="289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</row>
    <row r="697" spans="1:37" x14ac:dyDescent="0.35">
      <c r="A697" s="141"/>
      <c r="B697" s="289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</row>
    <row r="698" spans="1:37" x14ac:dyDescent="0.35">
      <c r="A698" s="141"/>
      <c r="B698" s="289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</row>
    <row r="699" spans="1:37" x14ac:dyDescent="0.35">
      <c r="A699" s="141"/>
      <c r="B699" s="289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</row>
    <row r="700" spans="1:37" x14ac:dyDescent="0.35">
      <c r="A700" s="141"/>
      <c r="B700" s="289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</row>
    <row r="701" spans="1:37" x14ac:dyDescent="0.35">
      <c r="A701" s="141"/>
      <c r="B701" s="289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</row>
    <row r="702" spans="1:37" x14ac:dyDescent="0.35">
      <c r="A702" s="141"/>
      <c r="B702" s="289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</row>
    <row r="703" spans="1:37" x14ac:dyDescent="0.35">
      <c r="A703" s="141"/>
      <c r="B703" s="289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</row>
    <row r="704" spans="1:37" x14ac:dyDescent="0.35">
      <c r="A704" s="141"/>
      <c r="B704" s="289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</row>
    <row r="705" spans="1:37" x14ac:dyDescent="0.35">
      <c r="A705" s="141"/>
      <c r="B705" s="289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</row>
    <row r="706" spans="1:37" x14ac:dyDescent="0.35">
      <c r="A706" s="141"/>
      <c r="B706" s="289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</row>
    <row r="707" spans="1:37" x14ac:dyDescent="0.35">
      <c r="A707" s="141"/>
      <c r="B707" s="289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</row>
    <row r="708" spans="1:37" x14ac:dyDescent="0.35">
      <c r="A708" s="141"/>
      <c r="B708" s="289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</row>
    <row r="709" spans="1:37" x14ac:dyDescent="0.35">
      <c r="A709" s="141"/>
      <c r="B709" s="289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</row>
    <row r="710" spans="1:37" x14ac:dyDescent="0.35">
      <c r="A710" s="141"/>
      <c r="B710" s="289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</row>
    <row r="711" spans="1:37" x14ac:dyDescent="0.35">
      <c r="A711" s="141"/>
      <c r="B711" s="289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</row>
    <row r="712" spans="1:37" x14ac:dyDescent="0.35">
      <c r="A712" s="141"/>
      <c r="B712" s="289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</row>
    <row r="713" spans="1:37" x14ac:dyDescent="0.35">
      <c r="A713" s="141"/>
      <c r="B713" s="289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</row>
    <row r="714" spans="1:37" x14ac:dyDescent="0.35">
      <c r="A714" s="141"/>
      <c r="B714" s="289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</row>
    <row r="715" spans="1:37" x14ac:dyDescent="0.35">
      <c r="A715" s="141"/>
      <c r="B715" s="289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</row>
    <row r="716" spans="1:37" x14ac:dyDescent="0.35">
      <c r="A716" s="141"/>
      <c r="B716" s="289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</row>
    <row r="717" spans="1:37" x14ac:dyDescent="0.35">
      <c r="A717" s="141"/>
      <c r="B717" s="289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</row>
    <row r="718" spans="1:37" x14ac:dyDescent="0.35">
      <c r="A718" s="141"/>
      <c r="B718" s="289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</row>
    <row r="719" spans="1:37" x14ac:dyDescent="0.35">
      <c r="A719" s="141"/>
      <c r="B719" s="289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</row>
    <row r="720" spans="1:37" x14ac:dyDescent="0.35">
      <c r="A720" s="141"/>
      <c r="B720" s="289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</row>
    <row r="721" spans="1:37" x14ac:dyDescent="0.35">
      <c r="A721" s="141"/>
      <c r="B721" s="289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</row>
    <row r="722" spans="1:37" x14ac:dyDescent="0.35">
      <c r="A722" s="141"/>
      <c r="B722" s="289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</row>
    <row r="723" spans="1:37" x14ac:dyDescent="0.35">
      <c r="A723" s="141"/>
      <c r="B723" s="289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</row>
    <row r="724" spans="1:37" x14ac:dyDescent="0.35">
      <c r="A724" s="141"/>
      <c r="B724" s="289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</row>
    <row r="725" spans="1:37" x14ac:dyDescent="0.35">
      <c r="A725" s="141"/>
      <c r="B725" s="289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</row>
    <row r="726" spans="1:37" x14ac:dyDescent="0.35">
      <c r="A726" s="141"/>
      <c r="B726" s="289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</row>
    <row r="727" spans="1:37" x14ac:dyDescent="0.35">
      <c r="A727" s="141"/>
      <c r="B727" s="289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</row>
    <row r="728" spans="1:37" x14ac:dyDescent="0.35">
      <c r="A728" s="141"/>
      <c r="B728" s="289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</row>
    <row r="729" spans="1:37" x14ac:dyDescent="0.35">
      <c r="A729" s="141"/>
      <c r="B729" s="289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  <c r="AJ729" s="141"/>
      <c r="AK729" s="141"/>
    </row>
    <row r="730" spans="1:37" x14ac:dyDescent="0.35">
      <c r="A730" s="141"/>
      <c r="B730" s="289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/>
    </row>
    <row r="731" spans="1:37" x14ac:dyDescent="0.35">
      <c r="A731" s="141"/>
      <c r="B731" s="289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  <c r="AJ731" s="141"/>
      <c r="AK731" s="141"/>
    </row>
    <row r="732" spans="1:37" x14ac:dyDescent="0.35">
      <c r="A732" s="141"/>
      <c r="B732" s="289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/>
    </row>
    <row r="733" spans="1:37" x14ac:dyDescent="0.35">
      <c r="A733" s="141"/>
      <c r="B733" s="289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  <c r="AJ733" s="141"/>
      <c r="AK733" s="141"/>
    </row>
    <row r="734" spans="1:37" x14ac:dyDescent="0.35">
      <c r="A734" s="141"/>
      <c r="B734" s="289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/>
    </row>
    <row r="735" spans="1:37" x14ac:dyDescent="0.35">
      <c r="A735" s="141"/>
      <c r="B735" s="289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  <c r="AJ735" s="141"/>
      <c r="AK735" s="141"/>
    </row>
    <row r="736" spans="1:37" x14ac:dyDescent="0.35">
      <c r="A736" s="141"/>
      <c r="B736" s="289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/>
    </row>
    <row r="737" spans="1:37" x14ac:dyDescent="0.35">
      <c r="A737" s="141"/>
      <c r="B737" s="289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  <c r="AJ737" s="141"/>
      <c r="AK737" s="141"/>
    </row>
    <row r="738" spans="1:37" x14ac:dyDescent="0.35">
      <c r="A738" s="141"/>
      <c r="B738" s="289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</row>
    <row r="739" spans="1:37" x14ac:dyDescent="0.35">
      <c r="A739" s="141"/>
      <c r="B739" s="289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  <c r="AJ739" s="141"/>
      <c r="AK739" s="141"/>
    </row>
    <row r="740" spans="1:37" x14ac:dyDescent="0.35">
      <c r="A740" s="141"/>
      <c r="B740" s="289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/>
    </row>
    <row r="741" spans="1:37" x14ac:dyDescent="0.35">
      <c r="A741" s="141"/>
      <c r="B741" s="289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  <c r="AJ741" s="141"/>
      <c r="AK741" s="141"/>
    </row>
    <row r="742" spans="1:37" x14ac:dyDescent="0.35">
      <c r="A742" s="141"/>
      <c r="B742" s="289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</row>
    <row r="743" spans="1:37" x14ac:dyDescent="0.35">
      <c r="A743" s="141"/>
      <c r="B743" s="289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/>
    </row>
    <row r="744" spans="1:37" x14ac:dyDescent="0.35">
      <c r="A744" s="141"/>
      <c r="B744" s="289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  <c r="AJ744" s="141"/>
      <c r="AK744" s="141"/>
    </row>
    <row r="745" spans="1:37" x14ac:dyDescent="0.35">
      <c r="A745" s="141"/>
      <c r="B745" s="289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/>
    </row>
    <row r="746" spans="1:37" x14ac:dyDescent="0.35">
      <c r="A746" s="141"/>
      <c r="B746" s="289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  <c r="AJ746" s="141"/>
      <c r="AK746" s="141"/>
    </row>
    <row r="747" spans="1:37" x14ac:dyDescent="0.35">
      <c r="A747" s="141"/>
      <c r="B747" s="289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</row>
    <row r="748" spans="1:37" x14ac:dyDescent="0.35">
      <c r="A748" s="141"/>
      <c r="B748" s="289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  <c r="AJ748" s="141"/>
      <c r="AK748" s="141"/>
    </row>
    <row r="749" spans="1:37" x14ac:dyDescent="0.35">
      <c r="A749" s="141"/>
      <c r="B749" s="289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  <c r="AJ749" s="141"/>
      <c r="AK749" s="141"/>
    </row>
    <row r="750" spans="1:37" x14ac:dyDescent="0.35">
      <c r="A750" s="141"/>
      <c r="B750" s="289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  <c r="AH750" s="141"/>
      <c r="AI750" s="141"/>
      <c r="AJ750" s="141"/>
      <c r="AK750" s="141"/>
    </row>
    <row r="751" spans="1:37" x14ac:dyDescent="0.35">
      <c r="A751" s="141"/>
      <c r="B751" s="289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  <c r="AJ751" s="141"/>
      <c r="AK751" s="141"/>
    </row>
    <row r="752" spans="1:37" x14ac:dyDescent="0.35">
      <c r="A752" s="141"/>
      <c r="B752" s="289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  <c r="AH752" s="141"/>
      <c r="AI752" s="141"/>
      <c r="AJ752" s="141"/>
      <c r="AK752" s="141"/>
    </row>
    <row r="753" spans="1:37" x14ac:dyDescent="0.35">
      <c r="A753" s="141"/>
      <c r="B753" s="289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  <c r="AH753" s="141"/>
      <c r="AI753" s="141"/>
      <c r="AJ753" s="141"/>
      <c r="AK753" s="141"/>
    </row>
    <row r="754" spans="1:37" x14ac:dyDescent="0.35">
      <c r="A754" s="141"/>
      <c r="B754" s="289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  <c r="AH754" s="141"/>
      <c r="AI754" s="141"/>
      <c r="AJ754" s="141"/>
      <c r="AK754" s="141"/>
    </row>
    <row r="755" spans="1:37" x14ac:dyDescent="0.35">
      <c r="A755" s="141"/>
      <c r="B755" s="289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  <c r="AJ755" s="141"/>
      <c r="AK755" s="141"/>
    </row>
    <row r="756" spans="1:37" x14ac:dyDescent="0.35">
      <c r="A756" s="141"/>
      <c r="B756" s="289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  <c r="AH756" s="141"/>
      <c r="AI756" s="141"/>
      <c r="AJ756" s="141"/>
      <c r="AK756" s="141"/>
    </row>
    <row r="757" spans="1:37" x14ac:dyDescent="0.35">
      <c r="A757" s="141"/>
      <c r="B757" s="289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  <c r="AH757" s="141"/>
      <c r="AI757" s="141"/>
      <c r="AJ757" s="141"/>
      <c r="AK757" s="141"/>
    </row>
    <row r="758" spans="1:37" x14ac:dyDescent="0.35">
      <c r="A758" s="141"/>
      <c r="B758" s="289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  <c r="AH758" s="141"/>
      <c r="AI758" s="141"/>
      <c r="AJ758" s="141"/>
      <c r="AK758" s="141"/>
    </row>
    <row r="759" spans="1:37" x14ac:dyDescent="0.35">
      <c r="A759" s="141"/>
      <c r="B759" s="289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  <c r="AH759" s="141"/>
      <c r="AI759" s="141"/>
      <c r="AJ759" s="141"/>
      <c r="AK759" s="141"/>
    </row>
    <row r="760" spans="1:37" x14ac:dyDescent="0.35">
      <c r="A760" s="141"/>
      <c r="B760" s="289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  <c r="AH760" s="141"/>
      <c r="AI760" s="141"/>
      <c r="AJ760" s="141"/>
      <c r="AK760" s="141"/>
    </row>
    <row r="761" spans="1:37" x14ac:dyDescent="0.35">
      <c r="A761" s="141"/>
      <c r="B761" s="289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  <c r="AJ761" s="141"/>
      <c r="AK761" s="141"/>
    </row>
    <row r="762" spans="1:37" x14ac:dyDescent="0.35">
      <c r="A762" s="141"/>
      <c r="B762" s="289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  <c r="AH762" s="141"/>
      <c r="AI762" s="141"/>
      <c r="AJ762" s="141"/>
      <c r="AK762" s="141"/>
    </row>
    <row r="763" spans="1:37" x14ac:dyDescent="0.35">
      <c r="A763" s="141"/>
      <c r="B763" s="289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  <c r="AJ763" s="141"/>
      <c r="AK763" s="141"/>
    </row>
    <row r="764" spans="1:37" x14ac:dyDescent="0.35">
      <c r="A764" s="141"/>
      <c r="B764" s="289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  <c r="AH764" s="141"/>
      <c r="AI764" s="141"/>
      <c r="AJ764" s="141"/>
      <c r="AK764" s="141"/>
    </row>
    <row r="765" spans="1:37" x14ac:dyDescent="0.35">
      <c r="A765" s="141"/>
      <c r="B765" s="289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  <c r="AJ765" s="141"/>
      <c r="AK765" s="141"/>
    </row>
    <row r="766" spans="1:37" x14ac:dyDescent="0.35">
      <c r="A766" s="141"/>
      <c r="B766" s="289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  <c r="AH766" s="141"/>
      <c r="AI766" s="141"/>
      <c r="AJ766" s="141"/>
      <c r="AK766" s="141"/>
    </row>
    <row r="767" spans="1:37" x14ac:dyDescent="0.35">
      <c r="A767" s="141"/>
      <c r="B767" s="289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  <c r="AJ767" s="141"/>
      <c r="AK767" s="141"/>
    </row>
    <row r="768" spans="1:37" x14ac:dyDescent="0.35">
      <c r="A768" s="141"/>
      <c r="B768" s="289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  <c r="AH768" s="141"/>
      <c r="AI768" s="141"/>
      <c r="AJ768" s="141"/>
      <c r="AK768" s="141"/>
    </row>
    <row r="769" spans="1:37" x14ac:dyDescent="0.35">
      <c r="A769" s="141"/>
      <c r="B769" s="289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  <c r="AJ769" s="141"/>
      <c r="AK769" s="141"/>
    </row>
    <row r="770" spans="1:37" x14ac:dyDescent="0.35">
      <c r="A770" s="141"/>
      <c r="B770" s="289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  <c r="AH770" s="141"/>
      <c r="AI770" s="141"/>
      <c r="AJ770" s="141"/>
      <c r="AK770" s="141"/>
    </row>
    <row r="771" spans="1:37" x14ac:dyDescent="0.35">
      <c r="A771" s="141"/>
      <c r="B771" s="289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  <c r="AJ771" s="141"/>
      <c r="AK771" s="141"/>
    </row>
    <row r="772" spans="1:37" x14ac:dyDescent="0.35">
      <c r="A772" s="141"/>
      <c r="B772" s="289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  <c r="AH772" s="141"/>
      <c r="AI772" s="141"/>
      <c r="AJ772" s="141"/>
      <c r="AK772" s="141"/>
    </row>
    <row r="773" spans="1:37" x14ac:dyDescent="0.35">
      <c r="A773" s="141"/>
      <c r="B773" s="289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  <c r="AJ773" s="141"/>
      <c r="AK773" s="141"/>
    </row>
    <row r="774" spans="1:37" x14ac:dyDescent="0.35">
      <c r="A774" s="141"/>
      <c r="B774" s="289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  <c r="AH774" s="141"/>
      <c r="AI774" s="141"/>
      <c r="AJ774" s="141"/>
      <c r="AK774" s="141"/>
    </row>
    <row r="775" spans="1:37" x14ac:dyDescent="0.35">
      <c r="A775" s="141"/>
      <c r="B775" s="289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  <c r="AJ775" s="141"/>
      <c r="AK775" s="141"/>
    </row>
    <row r="776" spans="1:37" x14ac:dyDescent="0.35">
      <c r="A776" s="141"/>
      <c r="B776" s="289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  <c r="AH776" s="141"/>
      <c r="AI776" s="141"/>
      <c r="AJ776" s="141"/>
      <c r="AK776" s="141"/>
    </row>
    <row r="777" spans="1:37" x14ac:dyDescent="0.35">
      <c r="A777" s="141"/>
      <c r="B777" s="289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  <c r="AJ777" s="141"/>
      <c r="AK777" s="141"/>
    </row>
    <row r="778" spans="1:37" x14ac:dyDescent="0.35">
      <c r="A778" s="141"/>
      <c r="B778" s="289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  <c r="AH778" s="141"/>
      <c r="AI778" s="141"/>
      <c r="AJ778" s="141"/>
      <c r="AK778" s="141"/>
    </row>
    <row r="779" spans="1:37" x14ac:dyDescent="0.35">
      <c r="A779" s="141"/>
      <c r="B779" s="289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  <c r="AH779" s="141"/>
      <c r="AI779" s="141"/>
      <c r="AJ779" s="141"/>
      <c r="AK779" s="141"/>
    </row>
    <row r="780" spans="1:37" x14ac:dyDescent="0.35">
      <c r="A780" s="141"/>
      <c r="B780" s="289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  <c r="AH780" s="141"/>
      <c r="AI780" s="141"/>
      <c r="AJ780" s="141"/>
      <c r="AK780" s="141"/>
    </row>
    <row r="781" spans="1:37" x14ac:dyDescent="0.35">
      <c r="A781" s="141"/>
      <c r="B781" s="289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  <c r="AJ781" s="141"/>
      <c r="AK781" s="141"/>
    </row>
    <row r="782" spans="1:37" x14ac:dyDescent="0.35">
      <c r="A782" s="141"/>
      <c r="B782" s="289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  <c r="AH782" s="141"/>
      <c r="AI782" s="141"/>
      <c r="AJ782" s="141"/>
      <c r="AK782" s="141"/>
    </row>
    <row r="783" spans="1:37" x14ac:dyDescent="0.35">
      <c r="A783" s="141"/>
      <c r="B783" s="289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  <c r="AJ783" s="141"/>
      <c r="AK783" s="141"/>
    </row>
    <row r="784" spans="1:37" x14ac:dyDescent="0.35">
      <c r="A784" s="141"/>
      <c r="B784" s="289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  <c r="AH784" s="141"/>
      <c r="AI784" s="141"/>
      <c r="AJ784" s="141"/>
      <c r="AK784" s="141"/>
    </row>
    <row r="785" spans="1:37" x14ac:dyDescent="0.35">
      <c r="A785" s="141"/>
      <c r="B785" s="289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  <c r="AH785" s="141"/>
      <c r="AI785" s="141"/>
      <c r="AJ785" s="141"/>
      <c r="AK785" s="141"/>
    </row>
    <row r="786" spans="1:37" x14ac:dyDescent="0.35">
      <c r="A786" s="141"/>
      <c r="B786" s="289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  <c r="AH786" s="141"/>
      <c r="AI786" s="141"/>
      <c r="AJ786" s="141"/>
      <c r="AK786" s="141"/>
    </row>
    <row r="787" spans="1:37" x14ac:dyDescent="0.35">
      <c r="A787" s="141"/>
      <c r="B787" s="289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</row>
    <row r="788" spans="1:37" x14ac:dyDescent="0.35">
      <c r="A788" s="141"/>
      <c r="B788" s="289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  <c r="AJ788" s="141"/>
      <c r="AK788" s="141"/>
    </row>
    <row r="789" spans="1:37" x14ac:dyDescent="0.35">
      <c r="A789" s="141"/>
      <c r="B789" s="289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/>
    </row>
    <row r="790" spans="1:37" x14ac:dyDescent="0.35">
      <c r="A790" s="141"/>
      <c r="B790" s="289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  <c r="AJ790" s="141"/>
      <c r="AK790" s="141"/>
    </row>
    <row r="791" spans="1:37" x14ac:dyDescent="0.35">
      <c r="A791" s="141"/>
      <c r="B791" s="289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/>
    </row>
    <row r="792" spans="1:37" x14ac:dyDescent="0.35">
      <c r="A792" s="141"/>
      <c r="B792" s="289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  <c r="AJ792" s="141"/>
      <c r="AK792" s="141"/>
    </row>
    <row r="793" spans="1:37" x14ac:dyDescent="0.35">
      <c r="A793" s="141"/>
      <c r="B793" s="289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  <c r="AJ793" s="141"/>
      <c r="AK793" s="141"/>
    </row>
    <row r="794" spans="1:37" x14ac:dyDescent="0.35">
      <c r="A794" s="141"/>
      <c r="B794" s="289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  <c r="AJ794" s="141"/>
      <c r="AK794" s="141"/>
    </row>
    <row r="795" spans="1:37" x14ac:dyDescent="0.35">
      <c r="A795" s="141"/>
      <c r="B795" s="289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/>
    </row>
    <row r="796" spans="1:37" x14ac:dyDescent="0.35">
      <c r="A796" s="141"/>
      <c r="B796" s="289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  <c r="AJ796" s="141"/>
      <c r="AK796" s="141"/>
    </row>
    <row r="797" spans="1:37" x14ac:dyDescent="0.35">
      <c r="A797" s="141"/>
      <c r="B797" s="289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  <c r="AJ797" s="141"/>
      <c r="AK797" s="141"/>
    </row>
    <row r="798" spans="1:37" x14ac:dyDescent="0.35">
      <c r="A798" s="141"/>
      <c r="B798" s="289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  <c r="AH798" s="141"/>
      <c r="AI798" s="141"/>
      <c r="AJ798" s="141"/>
      <c r="AK798" s="141"/>
    </row>
    <row r="799" spans="1:37" x14ac:dyDescent="0.35">
      <c r="A799" s="141"/>
      <c r="B799" s="289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  <c r="AJ799" s="141"/>
      <c r="AK799" s="141"/>
    </row>
    <row r="800" spans="1:37" x14ac:dyDescent="0.35">
      <c r="A800" s="141"/>
      <c r="B800" s="289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  <c r="AH800" s="141"/>
      <c r="AI800" s="141"/>
      <c r="AJ800" s="141"/>
      <c r="AK800" s="141"/>
    </row>
    <row r="801" spans="1:37" x14ac:dyDescent="0.35">
      <c r="A801" s="141"/>
      <c r="B801" s="289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  <c r="AJ801" s="141"/>
      <c r="AK801" s="141"/>
    </row>
    <row r="802" spans="1:37" x14ac:dyDescent="0.35">
      <c r="A802" s="141"/>
      <c r="B802" s="289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  <c r="AH802" s="141"/>
      <c r="AI802" s="141"/>
      <c r="AJ802" s="141"/>
      <c r="AK802" s="141"/>
    </row>
    <row r="803" spans="1:37" x14ac:dyDescent="0.35">
      <c r="A803" s="141"/>
      <c r="B803" s="289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  <c r="AJ803" s="141"/>
      <c r="AK803" s="141"/>
    </row>
    <row r="804" spans="1:37" x14ac:dyDescent="0.35">
      <c r="A804" s="141"/>
      <c r="B804" s="289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  <c r="AH804" s="141"/>
      <c r="AI804" s="141"/>
      <c r="AJ804" s="141"/>
      <c r="AK804" s="141"/>
    </row>
    <row r="805" spans="1:37" x14ac:dyDescent="0.35">
      <c r="A805" s="141"/>
      <c r="B805" s="289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  <c r="AJ805" s="141"/>
      <c r="AK805" s="141"/>
    </row>
    <row r="806" spans="1:37" x14ac:dyDescent="0.35">
      <c r="A806" s="141"/>
      <c r="B806" s="289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  <c r="AH806" s="141"/>
      <c r="AI806" s="141"/>
      <c r="AJ806" s="141"/>
      <c r="AK806" s="141"/>
    </row>
    <row r="807" spans="1:37" x14ac:dyDescent="0.35">
      <c r="A807" s="141"/>
      <c r="B807" s="289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  <c r="AJ807" s="141"/>
      <c r="AK807" s="141"/>
    </row>
    <row r="808" spans="1:37" x14ac:dyDescent="0.35">
      <c r="A808" s="141"/>
      <c r="B808" s="289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  <c r="AH808" s="141"/>
      <c r="AI808" s="141"/>
      <c r="AJ808" s="141"/>
      <c r="AK808" s="141"/>
    </row>
    <row r="809" spans="1:37" x14ac:dyDescent="0.35">
      <c r="A809" s="141"/>
      <c r="B809" s="289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  <c r="AH809" s="141"/>
      <c r="AI809" s="141"/>
      <c r="AJ809" s="141"/>
      <c r="AK809" s="141"/>
    </row>
    <row r="810" spans="1:37" x14ac:dyDescent="0.35">
      <c r="A810" s="141"/>
      <c r="B810" s="289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  <c r="AH810" s="141"/>
      <c r="AI810" s="141"/>
      <c r="AJ810" s="141"/>
      <c r="AK810" s="141"/>
    </row>
    <row r="811" spans="1:37" x14ac:dyDescent="0.35">
      <c r="A811" s="141"/>
      <c r="B811" s="289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  <c r="AJ811" s="141"/>
      <c r="AK811" s="141"/>
    </row>
    <row r="812" spans="1:37" x14ac:dyDescent="0.35">
      <c r="A812" s="141"/>
      <c r="B812" s="289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  <c r="AH812" s="141"/>
      <c r="AI812" s="141"/>
      <c r="AJ812" s="141"/>
      <c r="AK812" s="141"/>
    </row>
    <row r="813" spans="1:37" x14ac:dyDescent="0.35">
      <c r="A813" s="141"/>
      <c r="B813" s="289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  <c r="AH813" s="141"/>
      <c r="AI813" s="141"/>
      <c r="AJ813" s="141"/>
      <c r="AK813" s="141"/>
    </row>
    <row r="814" spans="1:37" x14ac:dyDescent="0.35">
      <c r="A814" s="141"/>
      <c r="B814" s="289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  <c r="AH814" s="141"/>
      <c r="AI814" s="141"/>
      <c r="AJ814" s="141"/>
      <c r="AK814" s="141"/>
    </row>
    <row r="815" spans="1:37" x14ac:dyDescent="0.35">
      <c r="A815" s="141"/>
      <c r="B815" s="289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  <c r="AH815" s="141"/>
      <c r="AI815" s="141"/>
      <c r="AJ815" s="141"/>
      <c r="AK815" s="141"/>
    </row>
    <row r="816" spans="1:37" x14ac:dyDescent="0.35">
      <c r="A816" s="141"/>
      <c r="B816" s="289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  <c r="AJ816" s="141"/>
      <c r="AK816" s="141"/>
    </row>
    <row r="817" spans="1:37" x14ac:dyDescent="0.35">
      <c r="A817" s="141"/>
      <c r="B817" s="289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  <c r="AH817" s="141"/>
      <c r="AI817" s="141"/>
      <c r="AJ817" s="141"/>
      <c r="AK817" s="141"/>
    </row>
    <row r="818" spans="1:37" x14ac:dyDescent="0.35">
      <c r="A818" s="141"/>
      <c r="B818" s="289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  <c r="AJ818" s="141"/>
      <c r="AK818" s="141"/>
    </row>
    <row r="819" spans="1:37" x14ac:dyDescent="0.35">
      <c r="A819" s="141"/>
      <c r="B819" s="289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  <c r="AH819" s="141"/>
      <c r="AI819" s="141"/>
      <c r="AJ819" s="141"/>
      <c r="AK819" s="141"/>
    </row>
    <row r="820" spans="1:37" x14ac:dyDescent="0.35">
      <c r="A820" s="141"/>
      <c r="B820" s="289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  <c r="AJ820" s="141"/>
      <c r="AK820" s="141"/>
    </row>
    <row r="821" spans="1:37" x14ac:dyDescent="0.35">
      <c r="A821" s="141"/>
      <c r="B821" s="289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  <c r="AH821" s="141"/>
      <c r="AI821" s="141"/>
      <c r="AJ821" s="141"/>
      <c r="AK821" s="141"/>
    </row>
    <row r="822" spans="1:37" x14ac:dyDescent="0.35">
      <c r="A822" s="141"/>
      <c r="B822" s="289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</row>
    <row r="823" spans="1:37" x14ac:dyDescent="0.35">
      <c r="A823" s="141"/>
      <c r="B823" s="289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  <c r="AH823" s="141"/>
      <c r="AI823" s="141"/>
      <c r="AJ823" s="141"/>
      <c r="AK823" s="141"/>
    </row>
    <row r="824" spans="1:37" x14ac:dyDescent="0.35">
      <c r="A824" s="141"/>
      <c r="B824" s="289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  <c r="AJ824" s="141"/>
      <c r="AK824" s="141"/>
    </row>
    <row r="825" spans="1:37" x14ac:dyDescent="0.35">
      <c r="A825" s="141"/>
      <c r="B825" s="289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  <c r="AH825" s="141"/>
      <c r="AI825" s="141"/>
      <c r="AJ825" s="141"/>
      <c r="AK825" s="141"/>
    </row>
    <row r="826" spans="1:37" x14ac:dyDescent="0.35">
      <c r="A826" s="141"/>
      <c r="B826" s="289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  <c r="AJ826" s="141"/>
      <c r="AK826" s="141"/>
    </row>
    <row r="827" spans="1:37" x14ac:dyDescent="0.35">
      <c r="A827" s="141"/>
      <c r="B827" s="289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  <c r="AH827" s="141"/>
      <c r="AI827" s="141"/>
      <c r="AJ827" s="141"/>
      <c r="AK827" s="141"/>
    </row>
    <row r="828" spans="1:37" x14ac:dyDescent="0.35">
      <c r="A828" s="141"/>
      <c r="B828" s="289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  <c r="AH828" s="141"/>
      <c r="AI828" s="141"/>
      <c r="AJ828" s="141"/>
      <c r="AK828" s="141"/>
    </row>
    <row r="829" spans="1:37" x14ac:dyDescent="0.35">
      <c r="A829" s="141"/>
      <c r="B829" s="289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  <c r="AH829" s="141"/>
      <c r="AI829" s="141"/>
      <c r="AJ829" s="141"/>
      <c r="AK829" s="141"/>
    </row>
    <row r="830" spans="1:37" x14ac:dyDescent="0.35">
      <c r="A830" s="141"/>
      <c r="B830" s="289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  <c r="AJ830" s="141"/>
      <c r="AK830" s="141"/>
    </row>
    <row r="831" spans="1:37" x14ac:dyDescent="0.35">
      <c r="A831" s="141"/>
      <c r="B831" s="289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  <c r="AH831" s="141"/>
      <c r="AI831" s="141"/>
      <c r="AJ831" s="141"/>
      <c r="AK831" s="141"/>
    </row>
    <row r="832" spans="1:37" x14ac:dyDescent="0.35">
      <c r="A832" s="141"/>
      <c r="B832" s="289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  <c r="AH832" s="141"/>
      <c r="AI832" s="141"/>
      <c r="AJ832" s="141"/>
      <c r="AK832" s="141"/>
    </row>
    <row r="833" spans="1:37" x14ac:dyDescent="0.35">
      <c r="A833" s="141"/>
      <c r="B833" s="289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  <c r="AJ833" s="141"/>
      <c r="AK833" s="141"/>
    </row>
    <row r="834" spans="1:37" x14ac:dyDescent="0.35">
      <c r="A834" s="141"/>
      <c r="B834" s="289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  <c r="AH834" s="141"/>
      <c r="AI834" s="141"/>
      <c r="AJ834" s="141"/>
      <c r="AK834" s="141"/>
    </row>
    <row r="835" spans="1:37" x14ac:dyDescent="0.35">
      <c r="A835" s="141"/>
      <c r="B835" s="289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  <c r="AJ835" s="141"/>
      <c r="AK835" s="141"/>
    </row>
    <row r="836" spans="1:37" x14ac:dyDescent="0.35">
      <c r="A836" s="141"/>
      <c r="B836" s="289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  <c r="AH836" s="141"/>
      <c r="AI836" s="141"/>
      <c r="AJ836" s="141"/>
      <c r="AK836" s="141"/>
    </row>
    <row r="837" spans="1:37" x14ac:dyDescent="0.35">
      <c r="A837" s="141"/>
      <c r="B837" s="289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  <c r="AJ837" s="141"/>
      <c r="AK837" s="141"/>
    </row>
    <row r="838" spans="1:37" x14ac:dyDescent="0.35">
      <c r="A838" s="141"/>
      <c r="B838" s="289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  <c r="AH838" s="141"/>
      <c r="AI838" s="141"/>
      <c r="AJ838" s="141"/>
      <c r="AK838" s="141"/>
    </row>
    <row r="839" spans="1:37" x14ac:dyDescent="0.35">
      <c r="A839" s="141"/>
      <c r="B839" s="289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  <c r="AH839" s="141"/>
      <c r="AI839" s="141"/>
      <c r="AJ839" s="141"/>
      <c r="AK839" s="141"/>
    </row>
    <row r="840" spans="1:37" x14ac:dyDescent="0.35">
      <c r="A840" s="141"/>
      <c r="B840" s="289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  <c r="AH840" s="141"/>
      <c r="AI840" s="141"/>
      <c r="AJ840" s="141"/>
      <c r="AK840" s="141"/>
    </row>
    <row r="841" spans="1:37" x14ac:dyDescent="0.35">
      <c r="A841" s="141"/>
      <c r="B841" s="289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  <c r="AH841" s="141"/>
      <c r="AI841" s="141"/>
      <c r="AJ841" s="141"/>
      <c r="AK841" s="141"/>
    </row>
    <row r="842" spans="1:37" x14ac:dyDescent="0.35">
      <c r="A842" s="141"/>
      <c r="B842" s="289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  <c r="AJ842" s="141"/>
      <c r="AK842" s="141"/>
    </row>
    <row r="843" spans="1:37" x14ac:dyDescent="0.35">
      <c r="A843" s="141"/>
      <c r="B843" s="289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  <c r="AH843" s="141"/>
      <c r="AI843" s="141"/>
      <c r="AJ843" s="141"/>
      <c r="AK843" s="141"/>
    </row>
    <row r="844" spans="1:37" x14ac:dyDescent="0.35">
      <c r="A844" s="141"/>
      <c r="B844" s="289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  <c r="AJ844" s="141"/>
      <c r="AK844" s="141"/>
    </row>
    <row r="845" spans="1:37" x14ac:dyDescent="0.35">
      <c r="A845" s="141"/>
      <c r="B845" s="289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  <c r="AH845" s="141"/>
      <c r="AI845" s="141"/>
      <c r="AJ845" s="141"/>
      <c r="AK845" s="141"/>
    </row>
    <row r="846" spans="1:37" x14ac:dyDescent="0.35">
      <c r="A846" s="141"/>
      <c r="B846" s="289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  <c r="AH846" s="141"/>
      <c r="AI846" s="141"/>
      <c r="AJ846" s="141"/>
      <c r="AK846" s="141"/>
    </row>
    <row r="847" spans="1:37" x14ac:dyDescent="0.35">
      <c r="A847" s="141"/>
      <c r="B847" s="289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  <c r="AH847" s="141"/>
      <c r="AI847" s="141"/>
      <c r="AJ847" s="141"/>
      <c r="AK847" s="141"/>
    </row>
    <row r="848" spans="1:37" x14ac:dyDescent="0.35">
      <c r="A848" s="141"/>
      <c r="B848" s="289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  <c r="AJ848" s="141"/>
      <c r="AK848" s="141"/>
    </row>
    <row r="849" spans="1:37" x14ac:dyDescent="0.35">
      <c r="A849" s="141"/>
      <c r="B849" s="289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  <c r="AH849" s="141"/>
      <c r="AI849" s="141"/>
      <c r="AJ849" s="141"/>
      <c r="AK849" s="141"/>
    </row>
    <row r="850" spans="1:37" x14ac:dyDescent="0.35">
      <c r="A850" s="141"/>
      <c r="B850" s="289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  <c r="AH850" s="141"/>
      <c r="AI850" s="141"/>
      <c r="AJ850" s="141"/>
      <c r="AK850" s="141"/>
    </row>
    <row r="851" spans="1:37" x14ac:dyDescent="0.35">
      <c r="A851" s="141"/>
      <c r="B851" s="289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  <c r="AJ851" s="141"/>
      <c r="AK851" s="141"/>
    </row>
    <row r="852" spans="1:37" x14ac:dyDescent="0.35">
      <c r="A852" s="141"/>
      <c r="B852" s="289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  <c r="AH852" s="141"/>
      <c r="AI852" s="141"/>
      <c r="AJ852" s="141"/>
      <c r="AK852" s="141"/>
    </row>
    <row r="853" spans="1:37" x14ac:dyDescent="0.35">
      <c r="A853" s="141"/>
      <c r="B853" s="289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  <c r="AJ853" s="141"/>
      <c r="AK853" s="141"/>
    </row>
    <row r="854" spans="1:37" x14ac:dyDescent="0.35">
      <c r="A854" s="141"/>
      <c r="B854" s="289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  <c r="AH854" s="141"/>
      <c r="AI854" s="141"/>
      <c r="AJ854" s="141"/>
      <c r="AK854" s="141"/>
    </row>
    <row r="855" spans="1:37" x14ac:dyDescent="0.35">
      <c r="A855" s="141"/>
      <c r="B855" s="289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  <c r="AH855" s="141"/>
      <c r="AI855" s="141"/>
      <c r="AJ855" s="141"/>
      <c r="AK855" s="141"/>
    </row>
    <row r="856" spans="1:37" x14ac:dyDescent="0.35">
      <c r="A856" s="141"/>
      <c r="B856" s="289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  <c r="AH856" s="141"/>
      <c r="AI856" s="141"/>
      <c r="AJ856" s="141"/>
      <c r="AK856" s="141"/>
    </row>
    <row r="857" spans="1:37" x14ac:dyDescent="0.35">
      <c r="A857" s="141"/>
      <c r="B857" s="289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  <c r="AJ857" s="141"/>
      <c r="AK857" s="141"/>
    </row>
    <row r="858" spans="1:37" x14ac:dyDescent="0.35">
      <c r="A858" s="141"/>
      <c r="B858" s="289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  <c r="AH858" s="141"/>
      <c r="AI858" s="141"/>
      <c r="AJ858" s="141"/>
      <c r="AK858" s="141"/>
    </row>
    <row r="859" spans="1:37" x14ac:dyDescent="0.35">
      <c r="A859" s="141"/>
      <c r="B859" s="289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  <c r="AJ859" s="141"/>
      <c r="AK859" s="141"/>
    </row>
    <row r="860" spans="1:37" x14ac:dyDescent="0.35">
      <c r="A860" s="141"/>
      <c r="B860" s="289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  <c r="AH860" s="141"/>
      <c r="AI860" s="141"/>
      <c r="AJ860" s="141"/>
      <c r="AK860" s="141"/>
    </row>
    <row r="861" spans="1:37" x14ac:dyDescent="0.35">
      <c r="A861" s="141"/>
      <c r="B861" s="289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  <c r="AJ861" s="141"/>
      <c r="AK861" s="141"/>
    </row>
    <row r="862" spans="1:37" x14ac:dyDescent="0.35">
      <c r="A862" s="141"/>
      <c r="B862" s="289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  <c r="AH862" s="141"/>
      <c r="AI862" s="141"/>
      <c r="AJ862" s="141"/>
      <c r="AK862" s="141"/>
    </row>
    <row r="863" spans="1:37" x14ac:dyDescent="0.35">
      <c r="A863" s="141"/>
      <c r="B863" s="289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  <c r="AH863" s="141"/>
      <c r="AI863" s="141"/>
      <c r="AJ863" s="141"/>
      <c r="AK863" s="141"/>
    </row>
    <row r="864" spans="1:37" x14ac:dyDescent="0.35">
      <c r="A864" s="141"/>
      <c r="B864" s="289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  <c r="AJ864" s="141"/>
      <c r="AK864" s="141"/>
    </row>
    <row r="865" spans="1:37" x14ac:dyDescent="0.35">
      <c r="A865" s="141"/>
      <c r="B865" s="289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  <c r="AH865" s="141"/>
      <c r="AI865" s="141"/>
      <c r="AJ865" s="141"/>
      <c r="AK865" s="141"/>
    </row>
    <row r="866" spans="1:37" x14ac:dyDescent="0.35">
      <c r="A866" s="141"/>
      <c r="B866" s="289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  <c r="AJ866" s="141"/>
      <c r="AK866" s="141"/>
    </row>
    <row r="867" spans="1:37" x14ac:dyDescent="0.35">
      <c r="A867" s="141"/>
      <c r="B867" s="289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  <c r="AH867" s="141"/>
      <c r="AI867" s="141"/>
      <c r="AJ867" s="141"/>
      <c r="AK867" s="141"/>
    </row>
    <row r="868" spans="1:37" x14ac:dyDescent="0.35">
      <c r="A868" s="141"/>
      <c r="B868" s="289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  <c r="AH868" s="141"/>
      <c r="AI868" s="141"/>
      <c r="AJ868" s="141"/>
      <c r="AK868" s="141"/>
    </row>
    <row r="869" spans="1:37" x14ac:dyDescent="0.35">
      <c r="A869" s="141"/>
      <c r="B869" s="289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  <c r="AH869" s="141"/>
      <c r="AI869" s="141"/>
      <c r="AJ869" s="141"/>
      <c r="AK869" s="141"/>
    </row>
    <row r="870" spans="1:37" x14ac:dyDescent="0.35">
      <c r="A870" s="141"/>
      <c r="B870" s="289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  <c r="AH870" s="141"/>
      <c r="AI870" s="141"/>
      <c r="AJ870" s="141"/>
      <c r="AK870" s="141"/>
    </row>
    <row r="871" spans="1:37" x14ac:dyDescent="0.35">
      <c r="A871" s="141"/>
      <c r="B871" s="289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  <c r="AJ871" s="141"/>
      <c r="AK871" s="141"/>
    </row>
    <row r="872" spans="1:37" x14ac:dyDescent="0.35">
      <c r="A872" s="141"/>
      <c r="B872" s="289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  <c r="AH872" s="141"/>
      <c r="AI872" s="141"/>
      <c r="AJ872" s="141"/>
      <c r="AK872" s="141"/>
    </row>
    <row r="873" spans="1:37" x14ac:dyDescent="0.35">
      <c r="A873" s="141"/>
      <c r="B873" s="289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  <c r="AH873" s="141"/>
      <c r="AI873" s="141"/>
      <c r="AJ873" s="141"/>
      <c r="AK873" s="141"/>
    </row>
    <row r="874" spans="1:37" x14ac:dyDescent="0.35">
      <c r="A874" s="141"/>
      <c r="B874" s="289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  <c r="AH874" s="141"/>
      <c r="AI874" s="141"/>
      <c r="AJ874" s="141"/>
      <c r="AK874" s="141"/>
    </row>
    <row r="875" spans="1:37" x14ac:dyDescent="0.35">
      <c r="A875" s="141"/>
      <c r="B875" s="289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  <c r="AJ875" s="141"/>
      <c r="AK875" s="141"/>
    </row>
    <row r="876" spans="1:37" x14ac:dyDescent="0.35">
      <c r="A876" s="141"/>
      <c r="B876" s="289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  <c r="AH876" s="141"/>
      <c r="AI876" s="141"/>
      <c r="AJ876" s="141"/>
      <c r="AK876" s="141"/>
    </row>
    <row r="877" spans="1:37" x14ac:dyDescent="0.35">
      <c r="A877" s="141"/>
      <c r="B877" s="289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  <c r="AJ877" s="141"/>
      <c r="AK877" s="141"/>
    </row>
    <row r="878" spans="1:37" x14ac:dyDescent="0.35">
      <c r="A878" s="141"/>
      <c r="B878" s="289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  <c r="AH878" s="141"/>
      <c r="AI878" s="141"/>
      <c r="AJ878" s="141"/>
      <c r="AK878" s="141"/>
    </row>
    <row r="879" spans="1:37" x14ac:dyDescent="0.35">
      <c r="A879" s="141"/>
      <c r="B879" s="289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  <c r="AJ879" s="141"/>
      <c r="AK879" s="141"/>
    </row>
    <row r="880" spans="1:37" x14ac:dyDescent="0.35">
      <c r="A880" s="141"/>
      <c r="B880" s="289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  <c r="AH880" s="141"/>
      <c r="AI880" s="141"/>
      <c r="AJ880" s="141"/>
      <c r="AK880" s="141"/>
    </row>
    <row r="881" spans="1:37" x14ac:dyDescent="0.35">
      <c r="A881" s="141"/>
      <c r="B881" s="289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  <c r="AH881" s="141"/>
      <c r="AI881" s="141"/>
      <c r="AJ881" s="141"/>
      <c r="AK881" s="141"/>
    </row>
    <row r="882" spans="1:37" x14ac:dyDescent="0.35">
      <c r="A882" s="141"/>
      <c r="B882" s="289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  <c r="AH882" s="141"/>
      <c r="AI882" s="141"/>
      <c r="AJ882" s="141"/>
      <c r="AK882" s="141"/>
    </row>
    <row r="883" spans="1:37" x14ac:dyDescent="0.35">
      <c r="A883" s="141"/>
      <c r="B883" s="289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  <c r="AJ883" s="141"/>
      <c r="AK883" s="141"/>
    </row>
    <row r="884" spans="1:37" x14ac:dyDescent="0.35">
      <c r="A884" s="141"/>
      <c r="B884" s="289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  <c r="AH884" s="141"/>
      <c r="AI884" s="141"/>
      <c r="AJ884" s="141"/>
      <c r="AK884" s="141"/>
    </row>
    <row r="885" spans="1:37" x14ac:dyDescent="0.35">
      <c r="A885" s="141"/>
      <c r="B885" s="289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  <c r="AJ885" s="141"/>
      <c r="AK885" s="141"/>
    </row>
    <row r="886" spans="1:37" x14ac:dyDescent="0.35">
      <c r="A886" s="141"/>
      <c r="B886" s="289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  <c r="AH886" s="141"/>
      <c r="AI886" s="141"/>
      <c r="AJ886" s="141"/>
      <c r="AK886" s="141"/>
    </row>
    <row r="887" spans="1:37" x14ac:dyDescent="0.35">
      <c r="A887" s="141"/>
      <c r="B887" s="289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  <c r="AJ887" s="141"/>
      <c r="AK887" s="141"/>
    </row>
    <row r="888" spans="1:37" x14ac:dyDescent="0.35">
      <c r="A888" s="141"/>
      <c r="B888" s="289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  <c r="AH888" s="141"/>
      <c r="AI888" s="141"/>
      <c r="AJ888" s="141"/>
      <c r="AK888" s="141"/>
    </row>
    <row r="889" spans="1:37" x14ac:dyDescent="0.35">
      <c r="A889" s="141"/>
      <c r="B889" s="289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  <c r="AJ889" s="141"/>
      <c r="AK889" s="141"/>
    </row>
    <row r="890" spans="1:37" x14ac:dyDescent="0.35">
      <c r="A890" s="141"/>
      <c r="B890" s="289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  <c r="AH890" s="141"/>
      <c r="AI890" s="141"/>
      <c r="AJ890" s="141"/>
      <c r="AK890" s="141"/>
    </row>
    <row r="891" spans="1:37" x14ac:dyDescent="0.35">
      <c r="A891" s="141"/>
      <c r="B891" s="289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  <c r="AJ891" s="141"/>
      <c r="AK891" s="141"/>
    </row>
    <row r="892" spans="1:37" x14ac:dyDescent="0.35">
      <c r="A892" s="141"/>
      <c r="B892" s="289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  <c r="AH892" s="141"/>
      <c r="AI892" s="141"/>
      <c r="AJ892" s="141"/>
      <c r="AK892" s="141"/>
    </row>
    <row r="893" spans="1:37" x14ac:dyDescent="0.35">
      <c r="A893" s="141"/>
      <c r="B893" s="289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  <c r="AJ893" s="141"/>
      <c r="AK893" s="141"/>
    </row>
    <row r="894" spans="1:37" x14ac:dyDescent="0.35">
      <c r="A894" s="141"/>
      <c r="B894" s="289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  <c r="AH894" s="141"/>
      <c r="AI894" s="141"/>
      <c r="AJ894" s="141"/>
      <c r="AK894" s="141"/>
    </row>
    <row r="895" spans="1:37" x14ac:dyDescent="0.35">
      <c r="A895" s="141"/>
      <c r="B895" s="289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  <c r="AH895" s="141"/>
      <c r="AI895" s="141"/>
      <c r="AJ895" s="141"/>
      <c r="AK895" s="141"/>
    </row>
    <row r="896" spans="1:37" x14ac:dyDescent="0.35">
      <c r="A896" s="141"/>
      <c r="B896" s="289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  <c r="AH896" s="141"/>
      <c r="AI896" s="141"/>
      <c r="AJ896" s="141"/>
      <c r="AK896" s="141"/>
    </row>
    <row r="897" spans="1:37" x14ac:dyDescent="0.35">
      <c r="A897" s="141"/>
      <c r="B897" s="289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  <c r="AJ897" s="141"/>
      <c r="AK897" s="141"/>
    </row>
    <row r="898" spans="1:37" x14ac:dyDescent="0.35">
      <c r="A898" s="141"/>
      <c r="B898" s="289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  <c r="AH898" s="141"/>
      <c r="AI898" s="141"/>
      <c r="AJ898" s="141"/>
      <c r="AK898" s="141"/>
    </row>
    <row r="899" spans="1:37" x14ac:dyDescent="0.35">
      <c r="A899" s="141"/>
      <c r="B899" s="289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  <c r="AJ899" s="141"/>
      <c r="AK899" s="141"/>
    </row>
    <row r="900" spans="1:37" x14ac:dyDescent="0.35">
      <c r="A900" s="141"/>
      <c r="B900" s="289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  <c r="AH900" s="141"/>
      <c r="AI900" s="141"/>
      <c r="AJ900" s="141"/>
      <c r="AK900" s="141"/>
    </row>
    <row r="901" spans="1:37" x14ac:dyDescent="0.35">
      <c r="A901" s="141"/>
      <c r="B901" s="289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  <c r="AJ901" s="141"/>
      <c r="AK901" s="141"/>
    </row>
    <row r="902" spans="1:37" x14ac:dyDescent="0.35">
      <c r="A902" s="141"/>
      <c r="B902" s="289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  <c r="AH902" s="141"/>
      <c r="AI902" s="141"/>
      <c r="AJ902" s="141"/>
      <c r="AK902" s="141"/>
    </row>
    <row r="903" spans="1:37" x14ac:dyDescent="0.35">
      <c r="A903" s="141"/>
      <c r="B903" s="289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  <c r="AH903" s="141"/>
      <c r="AI903" s="141"/>
      <c r="AJ903" s="141"/>
      <c r="AK903" s="141"/>
    </row>
    <row r="904" spans="1:37" x14ac:dyDescent="0.35">
      <c r="A904" s="141"/>
      <c r="B904" s="289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  <c r="AH904" s="141"/>
      <c r="AI904" s="141"/>
      <c r="AJ904" s="141"/>
      <c r="AK904" s="141"/>
    </row>
    <row r="905" spans="1:37" x14ac:dyDescent="0.35">
      <c r="A905" s="141"/>
      <c r="B905" s="289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  <c r="AH905" s="141"/>
      <c r="AI905" s="141"/>
      <c r="AJ905" s="141"/>
      <c r="AK905" s="141"/>
    </row>
    <row r="906" spans="1:37" x14ac:dyDescent="0.35">
      <c r="A906" s="141"/>
      <c r="B906" s="289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  <c r="AH906" s="141"/>
      <c r="AI906" s="141"/>
      <c r="AJ906" s="141"/>
      <c r="AK906" s="141"/>
    </row>
    <row r="907" spans="1:37" x14ac:dyDescent="0.35">
      <c r="A907" s="141"/>
      <c r="B907" s="289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  <c r="AJ907" s="141"/>
      <c r="AK907" s="141"/>
    </row>
    <row r="908" spans="1:37" x14ac:dyDescent="0.35">
      <c r="A908" s="141"/>
      <c r="B908" s="289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  <c r="AH908" s="141"/>
      <c r="AI908" s="141"/>
      <c r="AJ908" s="141"/>
      <c r="AK908" s="141"/>
    </row>
    <row r="909" spans="1:37" x14ac:dyDescent="0.35">
      <c r="A909" s="141"/>
      <c r="B909" s="289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  <c r="AJ909" s="141"/>
      <c r="AK909" s="141"/>
    </row>
    <row r="910" spans="1:37" x14ac:dyDescent="0.35">
      <c r="A910" s="141"/>
      <c r="B910" s="289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  <c r="AH910" s="141"/>
      <c r="AI910" s="141"/>
      <c r="AJ910" s="141"/>
      <c r="AK910" s="141"/>
    </row>
    <row r="911" spans="1:37" x14ac:dyDescent="0.35">
      <c r="A911" s="141"/>
      <c r="B911" s="289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  <c r="AH911" s="141"/>
      <c r="AI911" s="141"/>
      <c r="AJ911" s="141"/>
      <c r="AK911" s="141"/>
    </row>
    <row r="912" spans="1:37" x14ac:dyDescent="0.35">
      <c r="A912" s="141"/>
      <c r="B912" s="289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  <c r="AH912" s="141"/>
      <c r="AI912" s="141"/>
      <c r="AJ912" s="141"/>
      <c r="AK912" s="141"/>
    </row>
    <row r="913" spans="1:37" x14ac:dyDescent="0.35">
      <c r="A913" s="141"/>
      <c r="B913" s="289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  <c r="AH913" s="141"/>
      <c r="AI913" s="141"/>
      <c r="AJ913" s="141"/>
      <c r="AK913" s="141"/>
    </row>
    <row r="914" spans="1:37" x14ac:dyDescent="0.35">
      <c r="A914" s="141"/>
      <c r="B914" s="289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  <c r="AH914" s="141"/>
      <c r="AI914" s="141"/>
      <c r="AJ914" s="141"/>
      <c r="AK914" s="141"/>
    </row>
    <row r="915" spans="1:37" x14ac:dyDescent="0.35">
      <c r="A915" s="141"/>
      <c r="B915" s="289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  <c r="AJ915" s="141"/>
      <c r="AK915" s="141"/>
    </row>
    <row r="916" spans="1:37" x14ac:dyDescent="0.35">
      <c r="A916" s="141"/>
      <c r="B916" s="289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  <c r="AH916" s="141"/>
      <c r="AI916" s="141"/>
      <c r="AJ916" s="141"/>
      <c r="AK916" s="141"/>
    </row>
    <row r="917" spans="1:37" x14ac:dyDescent="0.35">
      <c r="A917" s="141"/>
      <c r="B917" s="289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  <c r="AH917" s="141"/>
      <c r="AI917" s="141"/>
      <c r="AJ917" s="141"/>
      <c r="AK917" s="141"/>
    </row>
    <row r="918" spans="1:37" x14ac:dyDescent="0.35">
      <c r="A918" s="141"/>
      <c r="B918" s="289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  <c r="AH918" s="141"/>
      <c r="AI918" s="141"/>
      <c r="AJ918" s="141"/>
      <c r="AK918" s="141"/>
    </row>
    <row r="919" spans="1:37" x14ac:dyDescent="0.35">
      <c r="A919" s="141"/>
      <c r="B919" s="289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  <c r="AH919" s="141"/>
      <c r="AI919" s="141"/>
      <c r="AJ919" s="141"/>
      <c r="AK919" s="141"/>
    </row>
    <row r="920" spans="1:37" x14ac:dyDescent="0.35">
      <c r="A920" s="141"/>
      <c r="B920" s="289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  <c r="AH920" s="141"/>
      <c r="AI920" s="141"/>
      <c r="AJ920" s="141"/>
      <c r="AK920" s="141"/>
    </row>
    <row r="921" spans="1:37" x14ac:dyDescent="0.35">
      <c r="A921" s="141"/>
      <c r="B921" s="289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  <c r="AJ921" s="141"/>
      <c r="AK921" s="141"/>
    </row>
    <row r="922" spans="1:37" x14ac:dyDescent="0.35">
      <c r="A922" s="141"/>
      <c r="B922" s="289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  <c r="AH922" s="141"/>
      <c r="AI922" s="141"/>
      <c r="AJ922" s="141"/>
      <c r="AK922" s="141"/>
    </row>
    <row r="923" spans="1:37" x14ac:dyDescent="0.35">
      <c r="A923" s="141"/>
      <c r="B923" s="289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  <c r="AJ923" s="141"/>
      <c r="AK923" s="141"/>
    </row>
    <row r="924" spans="1:37" x14ac:dyDescent="0.35">
      <c r="A924" s="141"/>
      <c r="B924" s="289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  <c r="AH924" s="141"/>
      <c r="AI924" s="141"/>
      <c r="AJ924" s="141"/>
      <c r="AK924" s="141"/>
    </row>
    <row r="925" spans="1:37" x14ac:dyDescent="0.35">
      <c r="A925" s="141"/>
      <c r="B925" s="289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  <c r="AH925" s="141"/>
      <c r="AI925" s="141"/>
      <c r="AJ925" s="141"/>
      <c r="AK925" s="141"/>
    </row>
    <row r="926" spans="1:37" x14ac:dyDescent="0.35">
      <c r="A926" s="141"/>
      <c r="B926" s="289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  <c r="AH926" s="141"/>
      <c r="AI926" s="141"/>
      <c r="AJ926" s="141"/>
      <c r="AK926" s="141"/>
    </row>
    <row r="927" spans="1:37" x14ac:dyDescent="0.35">
      <c r="A927" s="141"/>
      <c r="B927" s="289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  <c r="AH927" s="141"/>
      <c r="AI927" s="141"/>
      <c r="AJ927" s="141"/>
      <c r="AK927" s="141"/>
    </row>
    <row r="928" spans="1:37" x14ac:dyDescent="0.35">
      <c r="A928" s="141"/>
      <c r="B928" s="289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  <c r="AH928" s="141"/>
      <c r="AI928" s="141"/>
      <c r="AJ928" s="141"/>
      <c r="AK928" s="141"/>
    </row>
    <row r="929" spans="1:37" x14ac:dyDescent="0.35">
      <c r="A929" s="141"/>
      <c r="B929" s="289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  <c r="AJ929" s="141"/>
      <c r="AK929" s="141"/>
    </row>
    <row r="930" spans="1:37" x14ac:dyDescent="0.35">
      <c r="A930" s="141"/>
      <c r="B930" s="289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  <c r="AH930" s="141"/>
      <c r="AI930" s="141"/>
      <c r="AJ930" s="141"/>
      <c r="AK930" s="141"/>
    </row>
    <row r="931" spans="1:37" x14ac:dyDescent="0.35">
      <c r="A931" s="141"/>
      <c r="B931" s="289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  <c r="AJ931" s="141"/>
      <c r="AK931" s="141"/>
    </row>
    <row r="932" spans="1:37" x14ac:dyDescent="0.35">
      <c r="A932" s="141"/>
      <c r="B932" s="289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  <c r="AH932" s="141"/>
      <c r="AI932" s="141"/>
      <c r="AJ932" s="141"/>
      <c r="AK932" s="141"/>
    </row>
    <row r="933" spans="1:37" x14ac:dyDescent="0.35">
      <c r="A933" s="141"/>
      <c r="B933" s="289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  <c r="AJ933" s="141"/>
      <c r="AK933" s="141"/>
    </row>
    <row r="934" spans="1:37" x14ac:dyDescent="0.35">
      <c r="A934" s="141"/>
      <c r="B934" s="289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  <c r="AH934" s="141"/>
      <c r="AI934" s="141"/>
      <c r="AJ934" s="141"/>
      <c r="AK934" s="141"/>
    </row>
    <row r="935" spans="1:37" x14ac:dyDescent="0.35">
      <c r="A935" s="141"/>
      <c r="B935" s="289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  <c r="AJ935" s="141"/>
      <c r="AK935" s="141"/>
    </row>
    <row r="936" spans="1:37" x14ac:dyDescent="0.35">
      <c r="A936" s="141"/>
      <c r="B936" s="289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  <c r="AH936" s="141"/>
      <c r="AI936" s="141"/>
      <c r="AJ936" s="141"/>
      <c r="AK936" s="141"/>
    </row>
    <row r="937" spans="1:37" x14ac:dyDescent="0.35">
      <c r="A937" s="141"/>
      <c r="B937" s="289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  <c r="AH937" s="141"/>
      <c r="AI937" s="141"/>
      <c r="AJ937" s="141"/>
      <c r="AK937" s="141"/>
    </row>
    <row r="938" spans="1:37" x14ac:dyDescent="0.35">
      <c r="A938" s="141"/>
      <c r="B938" s="289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  <c r="AH938" s="141"/>
      <c r="AI938" s="141"/>
      <c r="AJ938" s="141"/>
      <c r="AK938" s="141"/>
    </row>
    <row r="939" spans="1:37" x14ac:dyDescent="0.35">
      <c r="A939" s="141"/>
      <c r="B939" s="289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  <c r="AH939" s="141"/>
      <c r="AI939" s="141"/>
      <c r="AJ939" s="141"/>
      <c r="AK939" s="141"/>
    </row>
    <row r="940" spans="1:37" x14ac:dyDescent="0.35">
      <c r="A940" s="141"/>
      <c r="B940" s="289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  <c r="AH940" s="141"/>
      <c r="AI940" s="141"/>
      <c r="AJ940" s="141"/>
      <c r="AK940" s="141"/>
    </row>
    <row r="941" spans="1:37" x14ac:dyDescent="0.35">
      <c r="A941" s="141"/>
      <c r="B941" s="289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  <c r="AH941" s="141"/>
      <c r="AI941" s="141"/>
      <c r="AJ941" s="141"/>
      <c r="AK941" s="141"/>
    </row>
    <row r="942" spans="1:37" x14ac:dyDescent="0.35">
      <c r="A942" s="141"/>
      <c r="B942" s="289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  <c r="AJ942" s="141"/>
      <c r="AK942" s="141"/>
    </row>
    <row r="943" spans="1:37" x14ac:dyDescent="0.35">
      <c r="A943" s="141"/>
      <c r="B943" s="289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  <c r="AH943" s="141"/>
      <c r="AI943" s="141"/>
      <c r="AJ943" s="141"/>
      <c r="AK943" s="141"/>
    </row>
    <row r="944" spans="1:37" x14ac:dyDescent="0.35">
      <c r="A944" s="141"/>
      <c r="B944" s="289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  <c r="AJ944" s="141"/>
      <c r="AK944" s="141"/>
    </row>
    <row r="945" spans="1:37" x14ac:dyDescent="0.35">
      <c r="A945" s="141"/>
      <c r="B945" s="289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  <c r="AH945" s="141"/>
      <c r="AI945" s="141"/>
      <c r="AJ945" s="141"/>
      <c r="AK945" s="141"/>
    </row>
    <row r="946" spans="1:37" x14ac:dyDescent="0.35">
      <c r="A946" s="141"/>
      <c r="B946" s="289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  <c r="AJ946" s="141"/>
      <c r="AK946" s="141"/>
    </row>
    <row r="947" spans="1:37" x14ac:dyDescent="0.35">
      <c r="A947" s="141"/>
      <c r="B947" s="289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  <c r="AH947" s="141"/>
      <c r="AI947" s="141"/>
      <c r="AJ947" s="141"/>
      <c r="AK947" s="141"/>
    </row>
    <row r="948" spans="1:37" x14ac:dyDescent="0.35">
      <c r="A948" s="141"/>
      <c r="B948" s="289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/>
      <c r="AI948" s="141"/>
      <c r="AJ948" s="141"/>
      <c r="AK948" s="141"/>
    </row>
    <row r="949" spans="1:37" x14ac:dyDescent="0.35">
      <c r="A949" s="141"/>
      <c r="B949" s="289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  <c r="AH949" s="141"/>
      <c r="AI949" s="141"/>
      <c r="AJ949" s="141"/>
      <c r="AK949" s="141"/>
    </row>
    <row r="950" spans="1:37" x14ac:dyDescent="0.35">
      <c r="A950" s="141"/>
      <c r="B950" s="289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  <c r="AJ950" s="141"/>
      <c r="AK950" s="141"/>
    </row>
    <row r="951" spans="1:37" x14ac:dyDescent="0.35">
      <c r="A951" s="141"/>
      <c r="B951" s="289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  <c r="AH951" s="141"/>
      <c r="AI951" s="141"/>
      <c r="AJ951" s="141"/>
      <c r="AK951" s="141"/>
    </row>
    <row r="952" spans="1:37" x14ac:dyDescent="0.35">
      <c r="A952" s="141"/>
      <c r="B952" s="289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  <c r="AJ952" s="141"/>
      <c r="AK952" s="141"/>
    </row>
    <row r="953" spans="1:37" x14ac:dyDescent="0.35">
      <c r="A953" s="141"/>
      <c r="B953" s="289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  <c r="AH953" s="141"/>
      <c r="AI953" s="141"/>
      <c r="AJ953" s="141"/>
      <c r="AK953" s="141"/>
    </row>
    <row r="954" spans="1:37" x14ac:dyDescent="0.35">
      <c r="A954" s="141"/>
      <c r="B954" s="289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  <c r="AJ954" s="141"/>
      <c r="AK954" s="141"/>
    </row>
    <row r="955" spans="1:37" x14ac:dyDescent="0.35">
      <c r="A955" s="141"/>
      <c r="B955" s="289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  <c r="AH955" s="141"/>
      <c r="AI955" s="141"/>
      <c r="AJ955" s="141"/>
      <c r="AK955" s="141"/>
    </row>
    <row r="956" spans="1:37" x14ac:dyDescent="0.35">
      <c r="A956" s="141"/>
      <c r="B956" s="289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  <c r="AJ956" s="141"/>
      <c r="AK956" s="141"/>
    </row>
    <row r="957" spans="1:37" x14ac:dyDescent="0.35">
      <c r="A957" s="141"/>
      <c r="B957" s="289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  <c r="AH957" s="141"/>
      <c r="AI957" s="141"/>
      <c r="AJ957" s="141"/>
      <c r="AK957" s="141"/>
    </row>
    <row r="958" spans="1:37" x14ac:dyDescent="0.35">
      <c r="A958" s="141"/>
      <c r="B958" s="289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  <c r="AJ958" s="141"/>
      <c r="AK958" s="141"/>
    </row>
    <row r="959" spans="1:37" x14ac:dyDescent="0.35">
      <c r="A959" s="141"/>
      <c r="B959" s="289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  <c r="AH959" s="141"/>
      <c r="AI959" s="141"/>
      <c r="AJ959" s="141"/>
      <c r="AK959" s="141"/>
    </row>
    <row r="960" spans="1:37" x14ac:dyDescent="0.35">
      <c r="A960" s="141"/>
      <c r="B960" s="289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/>
      <c r="AI960" s="141"/>
      <c r="AJ960" s="141"/>
      <c r="AK960" s="141"/>
    </row>
    <row r="961" spans="1:37" x14ac:dyDescent="0.35">
      <c r="A961" s="141"/>
      <c r="B961" s="289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  <c r="AH961" s="141"/>
      <c r="AI961" s="141"/>
      <c r="AJ961" s="141"/>
      <c r="AK961" s="141"/>
    </row>
    <row r="962" spans="1:37" x14ac:dyDescent="0.35">
      <c r="A962" s="141"/>
      <c r="B962" s="289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  <c r="AH962" s="141"/>
      <c r="AI962" s="141"/>
      <c r="AJ962" s="141"/>
      <c r="AK962" s="141"/>
    </row>
    <row r="963" spans="1:37" x14ac:dyDescent="0.35">
      <c r="A963" s="141"/>
      <c r="B963" s="289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  <c r="AH963" s="141"/>
      <c r="AI963" s="141"/>
      <c r="AJ963" s="141"/>
      <c r="AK963" s="141"/>
    </row>
    <row r="964" spans="1:37" x14ac:dyDescent="0.35">
      <c r="A964" s="141"/>
      <c r="B964" s="289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  <c r="AJ964" s="141"/>
      <c r="AK964" s="141"/>
    </row>
    <row r="965" spans="1:37" x14ac:dyDescent="0.35">
      <c r="A965" s="141"/>
      <c r="B965" s="289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  <c r="AH965" s="141"/>
      <c r="AI965" s="141"/>
      <c r="AJ965" s="141"/>
      <c r="AK965" s="141"/>
    </row>
    <row r="966" spans="1:37" x14ac:dyDescent="0.35">
      <c r="A966" s="141"/>
      <c r="B966" s="289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  <c r="AH966" s="141"/>
      <c r="AI966" s="141"/>
      <c r="AJ966" s="141"/>
      <c r="AK966" s="141"/>
    </row>
    <row r="967" spans="1:37" x14ac:dyDescent="0.35">
      <c r="A967" s="141"/>
      <c r="B967" s="289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  <c r="AH967" s="141"/>
      <c r="AI967" s="141"/>
      <c r="AJ967" s="141"/>
      <c r="AK967" s="141"/>
    </row>
    <row r="968" spans="1:37" x14ac:dyDescent="0.35">
      <c r="A968" s="141"/>
      <c r="B968" s="289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  <c r="AJ968" s="141"/>
      <c r="AK968" s="141"/>
    </row>
    <row r="969" spans="1:37" x14ac:dyDescent="0.35">
      <c r="A969" s="141"/>
      <c r="B969" s="289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  <c r="AH969" s="141"/>
      <c r="AI969" s="141"/>
      <c r="AJ969" s="141"/>
      <c r="AK969" s="141"/>
    </row>
    <row r="970" spans="1:37" x14ac:dyDescent="0.35">
      <c r="A970" s="141"/>
      <c r="B970" s="289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  <c r="AH970" s="141"/>
      <c r="AI970" s="141"/>
      <c r="AJ970" s="141"/>
      <c r="AK970" s="141"/>
    </row>
    <row r="971" spans="1:37" x14ac:dyDescent="0.35">
      <c r="A971" s="141"/>
      <c r="B971" s="289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  <c r="AH971" s="141"/>
      <c r="AI971" s="141"/>
      <c r="AJ971" s="141"/>
      <c r="AK971" s="141"/>
    </row>
    <row r="972" spans="1:37" x14ac:dyDescent="0.35">
      <c r="A972" s="141"/>
      <c r="B972" s="289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  <c r="AH972" s="141"/>
      <c r="AI972" s="141"/>
      <c r="AJ972" s="141"/>
      <c r="AK972" s="141"/>
    </row>
    <row r="973" spans="1:37" x14ac:dyDescent="0.35">
      <c r="A973" s="141"/>
      <c r="B973" s="289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  <c r="AH973" s="141"/>
      <c r="AI973" s="141"/>
      <c r="AJ973" s="141"/>
      <c r="AK973" s="141"/>
    </row>
    <row r="974" spans="1:37" x14ac:dyDescent="0.35">
      <c r="A974" s="141"/>
      <c r="B974" s="289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  <c r="AH974" s="141"/>
      <c r="AI974" s="141"/>
      <c r="AJ974" s="141"/>
      <c r="AK974" s="141"/>
    </row>
    <row r="975" spans="1:37" x14ac:dyDescent="0.35">
      <c r="A975" s="141"/>
      <c r="B975" s="289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  <c r="AH975" s="141"/>
      <c r="AI975" s="141"/>
      <c r="AJ975" s="141"/>
      <c r="AK975" s="141"/>
    </row>
    <row r="976" spans="1:37" x14ac:dyDescent="0.35">
      <c r="A976" s="141"/>
      <c r="B976" s="289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  <c r="AH976" s="141"/>
      <c r="AI976" s="141"/>
      <c r="AJ976" s="141"/>
      <c r="AK976" s="141"/>
    </row>
    <row r="977" spans="1:37" x14ac:dyDescent="0.35">
      <c r="A977" s="141"/>
      <c r="B977" s="289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  <c r="AF977" s="141"/>
      <c r="AG977" s="141"/>
      <c r="AH977" s="141"/>
      <c r="AI977" s="141"/>
      <c r="AJ977" s="141"/>
      <c r="AK977" s="141"/>
    </row>
    <row r="978" spans="1:37" x14ac:dyDescent="0.35">
      <c r="A978" s="141"/>
      <c r="B978" s="289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  <c r="AF978" s="141"/>
      <c r="AG978" s="141"/>
      <c r="AH978" s="141"/>
      <c r="AI978" s="141"/>
      <c r="AJ978" s="141"/>
      <c r="AK978" s="141"/>
    </row>
    <row r="979" spans="1:37" x14ac:dyDescent="0.35">
      <c r="A979" s="141"/>
      <c r="B979" s="289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  <c r="AF979" s="141"/>
      <c r="AG979" s="141"/>
      <c r="AH979" s="141"/>
      <c r="AI979" s="141"/>
      <c r="AJ979" s="141"/>
      <c r="AK979" s="141"/>
    </row>
    <row r="980" spans="1:37" x14ac:dyDescent="0.35">
      <c r="A980" s="141"/>
      <c r="B980" s="289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  <c r="AF980" s="141"/>
      <c r="AG980" s="141"/>
      <c r="AH980" s="141"/>
      <c r="AI980" s="141"/>
      <c r="AJ980" s="141"/>
      <c r="AK980" s="141"/>
    </row>
    <row r="981" spans="1:37" x14ac:dyDescent="0.35">
      <c r="A981" s="141"/>
      <c r="B981" s="289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  <c r="AF981" s="141"/>
      <c r="AG981" s="141"/>
      <c r="AH981" s="141"/>
      <c r="AI981" s="141"/>
      <c r="AJ981" s="141"/>
      <c r="AK981" s="141"/>
    </row>
    <row r="982" spans="1:37" x14ac:dyDescent="0.35">
      <c r="A982" s="141"/>
      <c r="B982" s="289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  <c r="AF982" s="141"/>
      <c r="AG982" s="141"/>
      <c r="AH982" s="141"/>
      <c r="AI982" s="141"/>
      <c r="AJ982" s="141"/>
      <c r="AK982" s="141"/>
    </row>
    <row r="983" spans="1:37" x14ac:dyDescent="0.35">
      <c r="A983" s="141"/>
      <c r="B983" s="289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  <c r="AF983" s="141"/>
      <c r="AG983" s="141"/>
      <c r="AH983" s="141"/>
      <c r="AI983" s="141"/>
      <c r="AJ983" s="141"/>
      <c r="AK983" s="141"/>
    </row>
    <row r="984" spans="1:37" x14ac:dyDescent="0.35">
      <c r="A984" s="141"/>
      <c r="B984" s="289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  <c r="AF984" s="141"/>
      <c r="AG984" s="141"/>
      <c r="AH984" s="141"/>
      <c r="AI984" s="141"/>
      <c r="AJ984" s="141"/>
      <c r="AK984" s="141"/>
    </row>
    <row r="985" spans="1:37" x14ac:dyDescent="0.35">
      <c r="A985" s="141"/>
      <c r="B985" s="289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  <c r="AE985" s="141"/>
      <c r="AF985" s="141"/>
      <c r="AG985" s="141"/>
      <c r="AH985" s="141"/>
      <c r="AI985" s="141"/>
      <c r="AJ985" s="141"/>
      <c r="AK985" s="141"/>
    </row>
    <row r="986" spans="1:37" x14ac:dyDescent="0.35">
      <c r="A986" s="141"/>
      <c r="B986" s="289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  <c r="AE986" s="141"/>
      <c r="AF986" s="141"/>
      <c r="AG986" s="141"/>
      <c r="AH986" s="141"/>
      <c r="AI986" s="141"/>
      <c r="AJ986" s="141"/>
      <c r="AK986" s="14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K99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53125" defaultRowHeight="15" customHeight="1" x14ac:dyDescent="0.35"/>
  <cols>
    <col min="1" max="1" width="28.7265625" customWidth="1"/>
  </cols>
  <sheetData>
    <row r="1" spans="1:37" ht="14.5" x14ac:dyDescent="0.35">
      <c r="A1" s="358"/>
      <c r="B1" s="291"/>
      <c r="C1" s="291"/>
      <c r="D1" s="291"/>
      <c r="E1" s="290" t="s">
        <v>343</v>
      </c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</row>
    <row r="2" spans="1:37" ht="14.5" x14ac:dyDescent="0.35">
      <c r="A2" s="359"/>
      <c r="B2" s="360" t="s">
        <v>344</v>
      </c>
      <c r="C2" s="360" t="s">
        <v>345</v>
      </c>
      <c r="D2" s="360" t="s">
        <v>346</v>
      </c>
      <c r="E2" s="360" t="s">
        <v>347</v>
      </c>
      <c r="F2" s="360" t="s">
        <v>348</v>
      </c>
      <c r="G2" s="360" t="s">
        <v>349</v>
      </c>
      <c r="H2" s="360" t="s">
        <v>350</v>
      </c>
      <c r="I2" s="360" t="s">
        <v>351</v>
      </c>
      <c r="J2" s="360" t="s">
        <v>352</v>
      </c>
      <c r="K2" s="360" t="s">
        <v>353</v>
      </c>
      <c r="L2" s="360" t="s">
        <v>354</v>
      </c>
      <c r="M2" s="360" t="s">
        <v>355</v>
      </c>
      <c r="N2" s="360" t="s">
        <v>356</v>
      </c>
      <c r="O2" s="360" t="s">
        <v>357</v>
      </c>
      <c r="P2" s="360" t="s">
        <v>358</v>
      </c>
      <c r="Q2" s="360" t="s">
        <v>359</v>
      </c>
      <c r="R2" s="360" t="s">
        <v>360</v>
      </c>
      <c r="S2" s="360" t="s">
        <v>361</v>
      </c>
      <c r="T2" s="360" t="s">
        <v>362</v>
      </c>
      <c r="U2" s="360" t="s">
        <v>363</v>
      </c>
      <c r="V2" s="360" t="s">
        <v>364</v>
      </c>
      <c r="W2" s="360" t="s">
        <v>365</v>
      </c>
      <c r="X2" s="360" t="s">
        <v>366</v>
      </c>
      <c r="Y2" s="360" t="s">
        <v>367</v>
      </c>
      <c r="Z2" s="360" t="s">
        <v>368</v>
      </c>
      <c r="AA2" s="360" t="s">
        <v>369</v>
      </c>
      <c r="AB2" s="360" t="s">
        <v>370</v>
      </c>
      <c r="AC2" s="360" t="s">
        <v>371</v>
      </c>
      <c r="AD2" s="360" t="s">
        <v>372</v>
      </c>
      <c r="AE2" s="360" t="s">
        <v>373</v>
      </c>
      <c r="AF2" s="360" t="s">
        <v>374</v>
      </c>
      <c r="AG2" s="360" t="s">
        <v>375</v>
      </c>
      <c r="AH2" s="360" t="s">
        <v>376</v>
      </c>
      <c r="AI2" s="360" t="s">
        <v>377</v>
      </c>
      <c r="AJ2" s="360" t="s">
        <v>378</v>
      </c>
      <c r="AK2" s="360"/>
    </row>
    <row r="3" spans="1:37" ht="14.5" x14ac:dyDescent="0.35">
      <c r="A3" s="361" t="s">
        <v>301</v>
      </c>
      <c r="B3" s="294" t="s">
        <v>302</v>
      </c>
      <c r="C3" s="294" t="s">
        <v>303</v>
      </c>
      <c r="D3" s="294" t="s">
        <v>97</v>
      </c>
      <c r="E3" s="294" t="s">
        <v>99</v>
      </c>
      <c r="F3" s="294" t="s">
        <v>304</v>
      </c>
      <c r="G3" s="294" t="s">
        <v>100</v>
      </c>
      <c r="H3" s="294" t="s">
        <v>94</v>
      </c>
      <c r="I3" s="294" t="s">
        <v>104</v>
      </c>
      <c r="J3" s="294" t="s">
        <v>15</v>
      </c>
      <c r="K3" s="294" t="s">
        <v>305</v>
      </c>
      <c r="L3" s="294" t="s">
        <v>306</v>
      </c>
      <c r="M3" s="294" t="s">
        <v>307</v>
      </c>
      <c r="N3" s="294" t="s">
        <v>308</v>
      </c>
      <c r="O3" s="294" t="s">
        <v>309</v>
      </c>
      <c r="P3" s="294" t="s">
        <v>310</v>
      </c>
      <c r="Q3" s="294" t="s">
        <v>101</v>
      </c>
      <c r="R3" s="294" t="s">
        <v>102</v>
      </c>
      <c r="S3" s="294" t="s">
        <v>20</v>
      </c>
      <c r="T3" s="294" t="s">
        <v>255</v>
      </c>
      <c r="U3" s="294" t="s">
        <v>39</v>
      </c>
      <c r="V3" s="294" t="s">
        <v>61</v>
      </c>
      <c r="W3" s="294" t="s">
        <v>9</v>
      </c>
      <c r="X3" s="294" t="s">
        <v>4</v>
      </c>
      <c r="Y3" s="294" t="s">
        <v>254</v>
      </c>
      <c r="Z3" s="294" t="s">
        <v>96</v>
      </c>
      <c r="AA3" s="294" t="s">
        <v>259</v>
      </c>
      <c r="AB3" s="294" t="s">
        <v>260</v>
      </c>
      <c r="AC3" s="294" t="s">
        <v>261</v>
      </c>
      <c r="AD3" s="294" t="s">
        <v>262</v>
      </c>
      <c r="AE3" s="294" t="s">
        <v>256</v>
      </c>
      <c r="AF3" s="294" t="s">
        <v>257</v>
      </c>
      <c r="AG3" s="294" t="s">
        <v>258</v>
      </c>
      <c r="AH3" s="294" t="s">
        <v>78</v>
      </c>
      <c r="AI3" s="294" t="s">
        <v>95</v>
      </c>
      <c r="AJ3" s="294" t="s">
        <v>311</v>
      </c>
      <c r="AK3" s="295" t="s">
        <v>312</v>
      </c>
    </row>
    <row r="4" spans="1:37" ht="14.5" x14ac:dyDescent="0.35">
      <c r="A4" s="362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</row>
    <row r="5" spans="1:37" ht="14.5" x14ac:dyDescent="0.35">
      <c r="A5" s="363" t="s">
        <v>313</v>
      </c>
      <c r="B5" s="297">
        <v>668798</v>
      </c>
      <c r="C5" s="297">
        <v>967219.5</v>
      </c>
      <c r="D5" s="298">
        <v>459714</v>
      </c>
      <c r="E5" s="297">
        <v>478890</v>
      </c>
      <c r="F5" s="297">
        <v>292650</v>
      </c>
      <c r="G5" s="297">
        <v>1523258.5</v>
      </c>
      <c r="H5" s="297">
        <v>857516</v>
      </c>
      <c r="I5" s="297">
        <v>1435576.5</v>
      </c>
      <c r="J5" s="297">
        <v>505422</v>
      </c>
      <c r="K5" s="297">
        <v>545964.5</v>
      </c>
      <c r="L5" s="297">
        <v>288500</v>
      </c>
      <c r="M5" s="297">
        <v>673856</v>
      </c>
      <c r="N5" s="299">
        <v>287898</v>
      </c>
      <c r="O5" s="299">
        <v>1370820.5</v>
      </c>
      <c r="P5" s="299">
        <v>236012</v>
      </c>
      <c r="Q5" s="300">
        <v>865277.5</v>
      </c>
      <c r="R5" s="300">
        <v>443728.5</v>
      </c>
      <c r="S5" s="299">
        <v>519687.5</v>
      </c>
      <c r="T5" s="299">
        <v>949112</v>
      </c>
      <c r="U5" s="297">
        <v>949506.5</v>
      </c>
      <c r="V5" s="347">
        <v>389125</v>
      </c>
      <c r="W5" s="299">
        <v>668379</v>
      </c>
      <c r="X5" s="299"/>
      <c r="Y5" s="299">
        <v>569147</v>
      </c>
      <c r="Z5" s="299">
        <v>441305</v>
      </c>
      <c r="AA5" s="299">
        <v>563654</v>
      </c>
      <c r="AB5" s="299">
        <v>677837.5</v>
      </c>
      <c r="AC5" s="299">
        <v>550572</v>
      </c>
      <c r="AD5" s="299">
        <v>568715</v>
      </c>
      <c r="AE5" s="299">
        <v>572889</v>
      </c>
      <c r="AF5" s="299">
        <v>1392269.5</v>
      </c>
      <c r="AG5" s="299">
        <v>368695.5</v>
      </c>
      <c r="AH5" s="299">
        <v>417047</v>
      </c>
      <c r="AI5" s="299">
        <v>518457</v>
      </c>
      <c r="AJ5" s="348">
        <v>252221</v>
      </c>
      <c r="AK5" s="303">
        <f t="shared" ref="AK5:AK6" si="0">SUM(B5:AJ5)</f>
        <v>22269721</v>
      </c>
    </row>
    <row r="6" spans="1:37" ht="14.5" x14ac:dyDescent="0.35">
      <c r="A6" s="364" t="s">
        <v>314</v>
      </c>
      <c r="B6" s="305">
        <v>441940.75</v>
      </c>
      <c r="C6" s="305">
        <v>651526.97</v>
      </c>
      <c r="D6" s="306">
        <v>313454.75</v>
      </c>
      <c r="E6" s="305">
        <v>318786.13</v>
      </c>
      <c r="F6" s="305">
        <v>193942.45</v>
      </c>
      <c r="G6" s="305">
        <v>1027295.66</v>
      </c>
      <c r="H6" s="305">
        <v>585143.92000000004</v>
      </c>
      <c r="I6" s="305">
        <v>974732.79</v>
      </c>
      <c r="J6" s="305">
        <v>338901.17</v>
      </c>
      <c r="K6" s="305">
        <v>368801.04</v>
      </c>
      <c r="L6" s="305">
        <v>193568.3</v>
      </c>
      <c r="M6" s="305">
        <v>452949.99</v>
      </c>
      <c r="N6" s="307">
        <v>190176.33</v>
      </c>
      <c r="O6" s="307">
        <v>938743.63</v>
      </c>
      <c r="P6" s="307">
        <v>159304.67000000001</v>
      </c>
      <c r="Q6" s="307">
        <v>576217.25</v>
      </c>
      <c r="R6" s="307">
        <v>297820.02</v>
      </c>
      <c r="S6" s="307">
        <v>349199.05</v>
      </c>
      <c r="T6" s="307">
        <v>651073.29</v>
      </c>
      <c r="U6" s="307">
        <v>643565.89</v>
      </c>
      <c r="V6" s="334">
        <v>263201.18</v>
      </c>
      <c r="W6" s="307">
        <v>448218.2</v>
      </c>
      <c r="X6" s="307"/>
      <c r="Y6" s="307">
        <v>380511.7</v>
      </c>
      <c r="Z6" s="307">
        <v>294338.75</v>
      </c>
      <c r="AA6" s="307">
        <v>376468.59</v>
      </c>
      <c r="AB6" s="307">
        <v>446638.85</v>
      </c>
      <c r="AC6" s="307">
        <v>370404.38</v>
      </c>
      <c r="AD6" s="307">
        <v>378633.21</v>
      </c>
      <c r="AE6" s="307">
        <v>382958.92</v>
      </c>
      <c r="AF6" s="307">
        <v>935146.07</v>
      </c>
      <c r="AG6" s="307">
        <v>245318.33</v>
      </c>
      <c r="AH6" s="307">
        <v>277927.56</v>
      </c>
      <c r="AI6" s="307">
        <v>348023.98</v>
      </c>
      <c r="AJ6" s="325">
        <v>167198.12</v>
      </c>
      <c r="AK6" s="303">
        <f t="shared" si="0"/>
        <v>14982131.890000001</v>
      </c>
    </row>
    <row r="7" spans="1:37" ht="14.5" x14ac:dyDescent="0.35">
      <c r="A7" s="364" t="s">
        <v>266</v>
      </c>
      <c r="B7" s="305">
        <f t="shared" ref="B7:AK7" si="1">B5-B6</f>
        <v>226857.25</v>
      </c>
      <c r="C7" s="305">
        <f t="shared" si="1"/>
        <v>315692.53000000003</v>
      </c>
      <c r="D7" s="305">
        <f t="shared" si="1"/>
        <v>146259.25</v>
      </c>
      <c r="E7" s="305">
        <f t="shared" si="1"/>
        <v>160103.87</v>
      </c>
      <c r="F7" s="305">
        <f t="shared" si="1"/>
        <v>98707.549999999988</v>
      </c>
      <c r="G7" s="305">
        <f t="shared" si="1"/>
        <v>495962.83999999997</v>
      </c>
      <c r="H7" s="305">
        <f t="shared" si="1"/>
        <v>272372.07999999996</v>
      </c>
      <c r="I7" s="305">
        <f t="shared" si="1"/>
        <v>460843.70999999996</v>
      </c>
      <c r="J7" s="305">
        <f t="shared" si="1"/>
        <v>166520.83000000002</v>
      </c>
      <c r="K7" s="305">
        <f t="shared" si="1"/>
        <v>177163.46000000002</v>
      </c>
      <c r="L7" s="305">
        <f t="shared" si="1"/>
        <v>94931.700000000012</v>
      </c>
      <c r="M7" s="305">
        <f t="shared" si="1"/>
        <v>220906.01</v>
      </c>
      <c r="N7" s="305">
        <f t="shared" si="1"/>
        <v>97721.670000000013</v>
      </c>
      <c r="O7" s="305">
        <f t="shared" si="1"/>
        <v>432076.87</v>
      </c>
      <c r="P7" s="305">
        <f t="shared" si="1"/>
        <v>76707.329999999987</v>
      </c>
      <c r="Q7" s="305">
        <f t="shared" si="1"/>
        <v>289060.25</v>
      </c>
      <c r="R7" s="305">
        <f t="shared" si="1"/>
        <v>145908.47999999998</v>
      </c>
      <c r="S7" s="305">
        <f t="shared" si="1"/>
        <v>170488.45</v>
      </c>
      <c r="T7" s="305">
        <f t="shared" si="1"/>
        <v>298038.70999999996</v>
      </c>
      <c r="U7" s="305">
        <f t="shared" si="1"/>
        <v>305940.61</v>
      </c>
      <c r="V7" s="305">
        <f t="shared" si="1"/>
        <v>125923.82</v>
      </c>
      <c r="W7" s="305">
        <f t="shared" si="1"/>
        <v>220160.8</v>
      </c>
      <c r="X7" s="305">
        <f t="shared" si="1"/>
        <v>0</v>
      </c>
      <c r="Y7" s="305">
        <f t="shared" si="1"/>
        <v>188635.3</v>
      </c>
      <c r="Z7" s="305">
        <f t="shared" si="1"/>
        <v>146966.25</v>
      </c>
      <c r="AA7" s="305">
        <f t="shared" si="1"/>
        <v>187185.40999999997</v>
      </c>
      <c r="AB7" s="305">
        <f t="shared" si="1"/>
        <v>231198.65000000002</v>
      </c>
      <c r="AC7" s="305">
        <f t="shared" si="1"/>
        <v>180167.62</v>
      </c>
      <c r="AD7" s="305">
        <f t="shared" si="1"/>
        <v>190081.78999999998</v>
      </c>
      <c r="AE7" s="305">
        <f t="shared" si="1"/>
        <v>189930.08000000002</v>
      </c>
      <c r="AF7" s="305">
        <f t="shared" si="1"/>
        <v>457123.43000000005</v>
      </c>
      <c r="AG7" s="305">
        <f t="shared" si="1"/>
        <v>123377.17000000001</v>
      </c>
      <c r="AH7" s="305">
        <f t="shared" si="1"/>
        <v>139119.44</v>
      </c>
      <c r="AI7" s="305">
        <f t="shared" si="1"/>
        <v>170433.02000000002</v>
      </c>
      <c r="AJ7" s="305">
        <f t="shared" si="1"/>
        <v>85022.88</v>
      </c>
      <c r="AK7" s="305">
        <f t="shared" si="1"/>
        <v>7287589.1099999994</v>
      </c>
    </row>
    <row r="8" spans="1:37" ht="14.5" x14ac:dyDescent="0.35">
      <c r="A8" s="365" t="s">
        <v>267</v>
      </c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50"/>
    </row>
    <row r="9" spans="1:37" ht="14.5" x14ac:dyDescent="0.35">
      <c r="A9" s="364" t="s">
        <v>90</v>
      </c>
      <c r="B9" s="305">
        <v>15126</v>
      </c>
      <c r="C9" s="305">
        <v>15126</v>
      </c>
      <c r="D9" s="305">
        <v>11344.5</v>
      </c>
      <c r="E9" s="305">
        <v>15051</v>
      </c>
      <c r="F9" s="305">
        <v>11269.5</v>
      </c>
      <c r="G9" s="305">
        <v>22689</v>
      </c>
      <c r="H9" s="305">
        <v>15051</v>
      </c>
      <c r="I9" s="305">
        <v>26395.5</v>
      </c>
      <c r="J9" s="305">
        <v>15051</v>
      </c>
      <c r="K9" s="305">
        <v>15126</v>
      </c>
      <c r="L9" s="307">
        <v>7563</v>
      </c>
      <c r="M9" s="307">
        <v>18832.5</v>
      </c>
      <c r="N9" s="307">
        <v>11268.5</v>
      </c>
      <c r="O9" s="307">
        <v>30102</v>
      </c>
      <c r="P9" s="307">
        <v>7563</v>
      </c>
      <c r="Q9" s="307">
        <v>22614</v>
      </c>
      <c r="R9" s="307">
        <v>11269.5</v>
      </c>
      <c r="S9" s="307">
        <v>15051</v>
      </c>
      <c r="T9" s="307">
        <v>15053</v>
      </c>
      <c r="U9" s="307">
        <v>15218</v>
      </c>
      <c r="V9" s="325">
        <v>11346</v>
      </c>
      <c r="W9" s="307">
        <v>18925</v>
      </c>
      <c r="X9" s="305"/>
      <c r="Y9" s="307">
        <v>15133</v>
      </c>
      <c r="Z9" s="307">
        <v>7564</v>
      </c>
      <c r="AA9" s="307">
        <v>15053</v>
      </c>
      <c r="AB9" s="307">
        <v>15128</v>
      </c>
      <c r="AC9" s="307">
        <v>15128</v>
      </c>
      <c r="AD9" s="307">
        <v>11346</v>
      </c>
      <c r="AE9" s="307">
        <v>11346</v>
      </c>
      <c r="AF9" s="307">
        <v>32157</v>
      </c>
      <c r="AG9" s="307">
        <v>10719</v>
      </c>
      <c r="AH9" s="307">
        <v>15049</v>
      </c>
      <c r="AI9" s="307">
        <v>11346</v>
      </c>
      <c r="AJ9" s="325">
        <v>3877</v>
      </c>
      <c r="AK9" s="303">
        <f t="shared" ref="AK9:AK44" si="2">SUM(B9:AJ9)</f>
        <v>510881</v>
      </c>
    </row>
    <row r="10" spans="1:37" ht="14.5" x14ac:dyDescent="0.35">
      <c r="A10" s="366" t="s">
        <v>91</v>
      </c>
      <c r="B10" s="314">
        <v>12728</v>
      </c>
      <c r="C10" s="314">
        <v>19092</v>
      </c>
      <c r="D10" s="314">
        <v>7955</v>
      </c>
      <c r="E10" s="314">
        <v>9546</v>
      </c>
      <c r="F10" s="314">
        <v>4773</v>
      </c>
      <c r="G10" s="314">
        <v>20683</v>
      </c>
      <c r="H10" s="314">
        <v>12728</v>
      </c>
      <c r="I10" s="314">
        <v>22274</v>
      </c>
      <c r="J10" s="314">
        <v>9546</v>
      </c>
      <c r="K10" s="314">
        <v>7955</v>
      </c>
      <c r="L10" s="314">
        <v>6364</v>
      </c>
      <c r="M10" s="314">
        <v>11137</v>
      </c>
      <c r="N10" s="314">
        <v>6364</v>
      </c>
      <c r="O10" s="314">
        <v>20683</v>
      </c>
      <c r="P10" s="314">
        <v>4773</v>
      </c>
      <c r="Q10" s="314">
        <v>14319</v>
      </c>
      <c r="R10" s="314">
        <v>9546</v>
      </c>
      <c r="S10" s="314">
        <v>9546</v>
      </c>
      <c r="T10" s="314">
        <v>14319</v>
      </c>
      <c r="U10" s="314">
        <v>15910</v>
      </c>
      <c r="V10" s="323">
        <v>7955</v>
      </c>
      <c r="W10" s="314">
        <v>12728</v>
      </c>
      <c r="X10" s="314"/>
      <c r="Y10" s="314">
        <v>11137</v>
      </c>
      <c r="Z10" s="314">
        <v>7955</v>
      </c>
      <c r="AA10" s="314">
        <v>12110</v>
      </c>
      <c r="AB10" s="314">
        <v>13840</v>
      </c>
      <c r="AC10" s="314">
        <v>10380</v>
      </c>
      <c r="AD10" s="314">
        <v>10380</v>
      </c>
      <c r="AE10" s="314">
        <v>10380</v>
      </c>
      <c r="AF10" s="314">
        <v>22490</v>
      </c>
      <c r="AG10" s="314">
        <v>6781</v>
      </c>
      <c r="AH10" s="314">
        <v>8650</v>
      </c>
      <c r="AI10" s="314">
        <v>8650</v>
      </c>
      <c r="AJ10" s="323">
        <v>4773</v>
      </c>
      <c r="AK10" s="303">
        <f t="shared" si="2"/>
        <v>388450</v>
      </c>
    </row>
    <row r="11" spans="1:37" ht="14.5" x14ac:dyDescent="0.35">
      <c r="A11" s="367" t="s">
        <v>92</v>
      </c>
      <c r="B11" s="307">
        <v>13141</v>
      </c>
      <c r="C11" s="307">
        <v>18120</v>
      </c>
      <c r="D11" s="307">
        <v>12040</v>
      </c>
      <c r="E11" s="307">
        <v>10968</v>
      </c>
      <c r="F11" s="307">
        <v>3936</v>
      </c>
      <c r="G11" s="307">
        <v>33992</v>
      </c>
      <c r="H11" s="307">
        <v>17048</v>
      </c>
      <c r="I11" s="307">
        <v>27896</v>
      </c>
      <c r="J11" s="307">
        <v>10376</v>
      </c>
      <c r="K11" s="307">
        <v>9656</v>
      </c>
      <c r="L11" s="307">
        <v>6080</v>
      </c>
      <c r="M11" s="307">
        <v>14544</v>
      </c>
      <c r="N11" s="307">
        <v>4768</v>
      </c>
      <c r="O11" s="307">
        <v>24200</v>
      </c>
      <c r="P11" s="307">
        <v>4888</v>
      </c>
      <c r="Q11" s="307">
        <v>18138</v>
      </c>
      <c r="R11" s="307">
        <v>9700</v>
      </c>
      <c r="S11" s="307">
        <v>13781</v>
      </c>
      <c r="T11" s="307">
        <v>21875</v>
      </c>
      <c r="U11" s="307">
        <v>19312</v>
      </c>
      <c r="V11" s="325">
        <v>8704</v>
      </c>
      <c r="W11" s="307">
        <v>10968</v>
      </c>
      <c r="X11" s="318"/>
      <c r="Y11" s="307">
        <v>10848</v>
      </c>
      <c r="Z11" s="307">
        <v>8464</v>
      </c>
      <c r="AA11" s="307">
        <v>8442</v>
      </c>
      <c r="AB11" s="307">
        <v>12583</v>
      </c>
      <c r="AC11" s="307">
        <v>9756</v>
      </c>
      <c r="AD11" s="307">
        <v>8442</v>
      </c>
      <c r="AE11" s="307">
        <v>8442</v>
      </c>
      <c r="AF11" s="307">
        <v>26304</v>
      </c>
      <c r="AG11" s="307">
        <v>6732</v>
      </c>
      <c r="AH11" s="307">
        <v>10240</v>
      </c>
      <c r="AI11" s="307">
        <v>8442</v>
      </c>
      <c r="AJ11" s="325">
        <v>4768</v>
      </c>
      <c r="AK11" s="303">
        <f t="shared" si="2"/>
        <v>437594</v>
      </c>
    </row>
    <row r="12" spans="1:37" ht="14.5" x14ac:dyDescent="0.35">
      <c r="A12" s="366" t="s">
        <v>268</v>
      </c>
      <c r="B12" s="314">
        <v>3240</v>
      </c>
      <c r="C12" s="314">
        <v>4320</v>
      </c>
      <c r="D12" s="314">
        <v>2970</v>
      </c>
      <c r="E12" s="314">
        <v>2970</v>
      </c>
      <c r="F12" s="314">
        <v>1620</v>
      </c>
      <c r="G12" s="314">
        <v>6750</v>
      </c>
      <c r="H12" s="314">
        <v>2970</v>
      </c>
      <c r="I12" s="314">
        <v>5670</v>
      </c>
      <c r="J12" s="314">
        <v>2727</v>
      </c>
      <c r="K12" s="314">
        <v>2700</v>
      </c>
      <c r="L12" s="314">
        <v>2160</v>
      </c>
      <c r="M12" s="314">
        <v>4860</v>
      </c>
      <c r="N12" s="314">
        <v>1350</v>
      </c>
      <c r="O12" s="314">
        <v>7290</v>
      </c>
      <c r="P12" s="314">
        <v>1350</v>
      </c>
      <c r="Q12" s="314">
        <v>7290</v>
      </c>
      <c r="R12" s="314">
        <v>2970</v>
      </c>
      <c r="S12" s="314">
        <v>4050</v>
      </c>
      <c r="T12" s="314">
        <v>5400</v>
      </c>
      <c r="U12" s="314">
        <v>4860</v>
      </c>
      <c r="V12" s="323">
        <v>3240</v>
      </c>
      <c r="W12" s="314">
        <v>4320</v>
      </c>
      <c r="X12" s="314"/>
      <c r="Y12" s="314">
        <v>4590</v>
      </c>
      <c r="Z12" s="314">
        <v>2970</v>
      </c>
      <c r="AA12" s="314">
        <v>6030</v>
      </c>
      <c r="AB12" s="314">
        <v>4800</v>
      </c>
      <c r="AC12" s="314">
        <v>4160</v>
      </c>
      <c r="AD12" s="314">
        <v>5760</v>
      </c>
      <c r="AE12" s="314">
        <v>5760</v>
      </c>
      <c r="AF12" s="314">
        <v>6400</v>
      </c>
      <c r="AG12" s="314">
        <v>2430</v>
      </c>
      <c r="AH12" s="314">
        <v>2560</v>
      </c>
      <c r="AI12" s="314">
        <v>3840</v>
      </c>
      <c r="AJ12" s="323">
        <v>1080</v>
      </c>
      <c r="AK12" s="303">
        <f t="shared" si="2"/>
        <v>135457</v>
      </c>
    </row>
    <row r="13" spans="1:37" ht="14.5" x14ac:dyDescent="0.35">
      <c r="A13" s="367" t="s">
        <v>55</v>
      </c>
      <c r="B13" s="307">
        <v>52050</v>
      </c>
      <c r="C13" s="307">
        <v>68975</v>
      </c>
      <c r="D13" s="307">
        <v>41287.5</v>
      </c>
      <c r="E13" s="307">
        <v>40800</v>
      </c>
      <c r="F13" s="307">
        <v>29412.5</v>
      </c>
      <c r="G13" s="307">
        <v>109437.5</v>
      </c>
      <c r="H13" s="307">
        <v>68950</v>
      </c>
      <c r="I13" s="307">
        <v>101300</v>
      </c>
      <c r="J13" s="307">
        <v>45100</v>
      </c>
      <c r="K13" s="307">
        <v>54675</v>
      </c>
      <c r="L13" s="307">
        <v>30293.75</v>
      </c>
      <c r="M13" s="307">
        <v>46076</v>
      </c>
      <c r="N13" s="307">
        <v>24450</v>
      </c>
      <c r="O13" s="307">
        <v>103074.5</v>
      </c>
      <c r="P13" s="307">
        <v>24456.5</v>
      </c>
      <c r="Q13" s="307">
        <v>66400.5</v>
      </c>
      <c r="R13" s="307">
        <v>46550</v>
      </c>
      <c r="S13" s="307">
        <v>45100</v>
      </c>
      <c r="T13" s="307">
        <v>65087.5</v>
      </c>
      <c r="U13" s="307">
        <v>71350</v>
      </c>
      <c r="V13" s="325">
        <v>35725</v>
      </c>
      <c r="W13" s="307">
        <v>55600</v>
      </c>
      <c r="X13" s="305"/>
      <c r="Y13" s="307">
        <v>39460.480000000003</v>
      </c>
      <c r="Z13" s="307">
        <v>43625</v>
      </c>
      <c r="AA13" s="307">
        <v>55451.48</v>
      </c>
      <c r="AB13" s="307">
        <v>73521</v>
      </c>
      <c r="AC13" s="307">
        <v>50048</v>
      </c>
      <c r="AD13" s="351">
        <v>41929.410000000003</v>
      </c>
      <c r="AE13" s="307">
        <v>47785</v>
      </c>
      <c r="AF13" s="307">
        <v>74198</v>
      </c>
      <c r="AG13" s="307">
        <v>31771</v>
      </c>
      <c r="AH13" s="307">
        <v>47468</v>
      </c>
      <c r="AI13" s="307">
        <v>44248</v>
      </c>
      <c r="AJ13" s="325">
        <v>23300</v>
      </c>
      <c r="AK13" s="303">
        <f t="shared" si="2"/>
        <v>1798956.6199999999</v>
      </c>
    </row>
    <row r="14" spans="1:37" ht="14.5" x14ac:dyDescent="0.35">
      <c r="A14" s="368" t="s">
        <v>269</v>
      </c>
      <c r="B14" s="307">
        <v>450</v>
      </c>
      <c r="C14" s="307">
        <v>750</v>
      </c>
      <c r="D14" s="307">
        <v>450</v>
      </c>
      <c r="E14" s="307">
        <v>450</v>
      </c>
      <c r="F14" s="307">
        <v>300</v>
      </c>
      <c r="G14" s="307">
        <v>1050</v>
      </c>
      <c r="H14" s="307">
        <v>750</v>
      </c>
      <c r="I14" s="307">
        <v>1140</v>
      </c>
      <c r="J14" s="307">
        <v>450</v>
      </c>
      <c r="K14" s="307">
        <v>600</v>
      </c>
      <c r="L14" s="307">
        <v>300</v>
      </c>
      <c r="M14" s="307">
        <v>450</v>
      </c>
      <c r="N14" s="307">
        <v>0</v>
      </c>
      <c r="O14" s="307">
        <v>1200</v>
      </c>
      <c r="P14" s="307">
        <v>0</v>
      </c>
      <c r="Q14" s="307">
        <v>750</v>
      </c>
      <c r="R14" s="307">
        <v>600</v>
      </c>
      <c r="S14" s="307">
        <v>450</v>
      </c>
      <c r="T14" s="307">
        <v>900</v>
      </c>
      <c r="U14" s="307">
        <v>750</v>
      </c>
      <c r="V14" s="325">
        <v>450</v>
      </c>
      <c r="W14" s="307">
        <v>750</v>
      </c>
      <c r="X14" s="325"/>
      <c r="Y14" s="307">
        <v>600</v>
      </c>
      <c r="Z14" s="325">
        <v>450</v>
      </c>
      <c r="AA14" s="325">
        <v>765</v>
      </c>
      <c r="AB14" s="307">
        <v>612</v>
      </c>
      <c r="AC14" s="307">
        <v>765</v>
      </c>
      <c r="AD14" s="307">
        <v>0</v>
      </c>
      <c r="AE14" s="307">
        <v>459</v>
      </c>
      <c r="AF14" s="307">
        <v>765</v>
      </c>
      <c r="AG14" s="307">
        <v>306</v>
      </c>
      <c r="AH14" s="307">
        <v>612</v>
      </c>
      <c r="AI14" s="307">
        <v>690</v>
      </c>
      <c r="AJ14" s="325">
        <v>300</v>
      </c>
      <c r="AK14" s="317">
        <f t="shared" si="2"/>
        <v>19314</v>
      </c>
    </row>
    <row r="15" spans="1:37" ht="14.5" x14ac:dyDescent="0.35">
      <c r="A15" s="369" t="s">
        <v>57</v>
      </c>
      <c r="B15" s="314">
        <v>3000</v>
      </c>
      <c r="C15" s="314">
        <v>0</v>
      </c>
      <c r="D15" s="314"/>
      <c r="E15" s="314"/>
      <c r="F15" s="314">
        <v>1250</v>
      </c>
      <c r="G15" s="314">
        <v>0</v>
      </c>
      <c r="H15" s="314">
        <v>625</v>
      </c>
      <c r="I15" s="323">
        <v>62.5</v>
      </c>
      <c r="J15" s="314">
        <v>125</v>
      </c>
      <c r="K15" s="314">
        <v>0</v>
      </c>
      <c r="L15" s="314">
        <v>125</v>
      </c>
      <c r="M15" s="314">
        <v>437</v>
      </c>
      <c r="N15" s="314">
        <v>0</v>
      </c>
      <c r="O15" s="314"/>
      <c r="P15" s="314">
        <v>0</v>
      </c>
      <c r="Q15" s="314">
        <v>375</v>
      </c>
      <c r="R15" s="314">
        <v>437.5</v>
      </c>
      <c r="S15" s="314">
        <v>687.5</v>
      </c>
      <c r="T15" s="314">
        <v>0</v>
      </c>
      <c r="U15" s="314">
        <v>312.5</v>
      </c>
      <c r="V15" s="323">
        <v>312.5</v>
      </c>
      <c r="W15" s="314">
        <v>0</v>
      </c>
      <c r="X15" s="314"/>
      <c r="Y15" s="314">
        <v>1560.48</v>
      </c>
      <c r="Z15" s="323">
        <v>0</v>
      </c>
      <c r="AA15" s="323">
        <v>512.96</v>
      </c>
      <c r="AB15" s="314">
        <v>0</v>
      </c>
      <c r="AC15" s="314">
        <v>0</v>
      </c>
      <c r="AD15" s="314">
        <v>0</v>
      </c>
      <c r="AE15" s="314">
        <v>256</v>
      </c>
      <c r="AF15" s="314">
        <v>1602.12</v>
      </c>
      <c r="AG15" s="314">
        <v>1920</v>
      </c>
      <c r="AH15" s="314">
        <v>0</v>
      </c>
      <c r="AI15" s="314">
        <v>0</v>
      </c>
      <c r="AJ15" s="323">
        <v>5061</v>
      </c>
      <c r="AK15" s="303">
        <f t="shared" si="2"/>
        <v>18662.059999999998</v>
      </c>
    </row>
    <row r="16" spans="1:37" ht="14.5" x14ac:dyDescent="0.35">
      <c r="A16" s="370" t="s">
        <v>270</v>
      </c>
      <c r="B16" s="305">
        <v>1250</v>
      </c>
      <c r="C16" s="305">
        <v>1200</v>
      </c>
      <c r="D16" s="305">
        <v>1250</v>
      </c>
      <c r="E16" s="305">
        <v>1200</v>
      </c>
      <c r="F16" s="305">
        <v>1300</v>
      </c>
      <c r="G16" s="305">
        <v>1250</v>
      </c>
      <c r="H16" s="305">
        <v>1200</v>
      </c>
      <c r="I16" s="305">
        <v>1150</v>
      </c>
      <c r="J16" s="305">
        <v>1150</v>
      </c>
      <c r="K16" s="305">
        <v>1300</v>
      </c>
      <c r="L16" s="305">
        <v>1250</v>
      </c>
      <c r="M16" s="305">
        <v>900</v>
      </c>
      <c r="N16" s="305">
        <v>300</v>
      </c>
      <c r="O16" s="305">
        <v>1150</v>
      </c>
      <c r="P16" s="305">
        <v>0</v>
      </c>
      <c r="Q16" s="305">
        <v>1300</v>
      </c>
      <c r="R16" s="334">
        <v>1200</v>
      </c>
      <c r="S16" s="305">
        <v>2400</v>
      </c>
      <c r="T16" s="305">
        <v>1050</v>
      </c>
      <c r="U16" s="305">
        <v>1100</v>
      </c>
      <c r="V16" s="334">
        <v>1200</v>
      </c>
      <c r="W16" s="305">
        <v>1100</v>
      </c>
      <c r="X16" s="334"/>
      <c r="Y16" s="305">
        <v>1100</v>
      </c>
      <c r="Z16" s="334">
        <v>1250</v>
      </c>
      <c r="AA16" s="334">
        <v>2300</v>
      </c>
      <c r="AB16" s="305">
        <v>1650</v>
      </c>
      <c r="AC16" s="305">
        <v>0</v>
      </c>
      <c r="AD16" s="305">
        <v>0</v>
      </c>
      <c r="AE16" s="305">
        <v>1200</v>
      </c>
      <c r="AF16" s="305">
        <v>1200</v>
      </c>
      <c r="AG16" s="305">
        <v>1200</v>
      </c>
      <c r="AH16" s="305">
        <v>1150</v>
      </c>
      <c r="AI16" s="305">
        <v>1200</v>
      </c>
      <c r="AJ16" s="334">
        <v>900</v>
      </c>
      <c r="AK16" s="303">
        <f t="shared" si="2"/>
        <v>38350</v>
      </c>
    </row>
    <row r="17" spans="1:37" ht="14.5" x14ac:dyDescent="0.35">
      <c r="A17" s="366" t="s">
        <v>315</v>
      </c>
      <c r="B17" s="314"/>
      <c r="C17" s="314">
        <v>325</v>
      </c>
      <c r="D17" s="314">
        <v>220</v>
      </c>
      <c r="E17" s="314">
        <v>423.5</v>
      </c>
      <c r="F17" s="314">
        <v>786.5</v>
      </c>
      <c r="G17" s="314">
        <v>721</v>
      </c>
      <c r="H17" s="314">
        <v>293</v>
      </c>
      <c r="I17" s="314">
        <v>485</v>
      </c>
      <c r="J17" s="314">
        <v>3137.9</v>
      </c>
      <c r="K17" s="314">
        <v>214</v>
      </c>
      <c r="L17" s="314">
        <v>70</v>
      </c>
      <c r="M17" s="323">
        <v>0</v>
      </c>
      <c r="N17" s="314">
        <v>150</v>
      </c>
      <c r="O17" s="314">
        <v>635</v>
      </c>
      <c r="P17" s="314">
        <v>9760</v>
      </c>
      <c r="Q17" s="314">
        <v>393</v>
      </c>
      <c r="R17" s="314">
        <v>180</v>
      </c>
      <c r="S17" s="314">
        <v>390.8</v>
      </c>
      <c r="T17" s="314">
        <v>270</v>
      </c>
      <c r="U17" s="314">
        <v>159</v>
      </c>
      <c r="V17" s="323">
        <v>343</v>
      </c>
      <c r="W17" s="314">
        <v>152</v>
      </c>
      <c r="X17" s="314"/>
      <c r="Y17" s="314">
        <v>152</v>
      </c>
      <c r="Z17" s="314">
        <v>3861</v>
      </c>
      <c r="AA17" s="314">
        <v>0</v>
      </c>
      <c r="AB17" s="323">
        <v>96</v>
      </c>
      <c r="AC17" s="314">
        <v>6485</v>
      </c>
      <c r="AD17" s="314">
        <v>808</v>
      </c>
      <c r="AE17" s="314">
        <v>0</v>
      </c>
      <c r="AF17" s="314">
        <v>2094</v>
      </c>
      <c r="AG17" s="314">
        <v>100</v>
      </c>
      <c r="AH17" s="314">
        <v>420</v>
      </c>
      <c r="AI17" s="314">
        <v>435</v>
      </c>
      <c r="AJ17" s="323">
        <v>545.5</v>
      </c>
      <c r="AK17" s="303">
        <f t="shared" si="2"/>
        <v>34105.199999999997</v>
      </c>
    </row>
    <row r="18" spans="1:37" ht="14.5" x14ac:dyDescent="0.35">
      <c r="A18" s="370" t="s">
        <v>272</v>
      </c>
      <c r="B18" s="305">
        <v>5804.75</v>
      </c>
      <c r="C18" s="305">
        <v>6888.1</v>
      </c>
      <c r="D18" s="305">
        <v>4721.43</v>
      </c>
      <c r="E18" s="305">
        <v>9442.86</v>
      </c>
      <c r="F18" s="305">
        <v>3638.1</v>
      </c>
      <c r="G18" s="305">
        <v>10138.1</v>
      </c>
      <c r="H18" s="305">
        <v>6888.1</v>
      </c>
      <c r="I18" s="305">
        <v>10138.1</v>
      </c>
      <c r="J18" s="305">
        <v>4721.43</v>
      </c>
      <c r="K18" s="305">
        <v>4721.43</v>
      </c>
      <c r="L18" s="305">
        <v>3639</v>
      </c>
      <c r="M18" s="305">
        <v>5804.76</v>
      </c>
      <c r="N18" s="305">
        <v>2554.75</v>
      </c>
      <c r="O18" s="305">
        <v>10138.1</v>
      </c>
      <c r="P18" s="305">
        <v>2554.7600000000002</v>
      </c>
      <c r="Q18" s="305">
        <v>6888.1</v>
      </c>
      <c r="R18" s="305">
        <v>4721.43</v>
      </c>
      <c r="S18" s="305">
        <v>4721.43</v>
      </c>
      <c r="T18" s="305">
        <v>7971.43</v>
      </c>
      <c r="U18" s="305">
        <v>7971</v>
      </c>
      <c r="V18" s="334">
        <v>3638.1</v>
      </c>
      <c r="W18" s="305">
        <v>10526.19</v>
      </c>
      <c r="X18" s="334"/>
      <c r="Y18" s="305">
        <v>0</v>
      </c>
      <c r="Z18" s="305">
        <v>4721.43</v>
      </c>
      <c r="AA18" s="305">
        <v>7057.1</v>
      </c>
      <c r="AB18" s="305">
        <v>7057.1</v>
      </c>
      <c r="AC18" s="305">
        <v>5945.6</v>
      </c>
      <c r="AD18" s="305">
        <v>4834.1000000000004</v>
      </c>
      <c r="AE18" s="305">
        <v>4834.1000000000004</v>
      </c>
      <c r="AF18" s="305">
        <v>9280.1</v>
      </c>
      <c r="AG18" s="305">
        <v>3722.6</v>
      </c>
      <c r="AH18" s="305">
        <v>4834.1000000000004</v>
      </c>
      <c r="AI18" s="305">
        <v>4722</v>
      </c>
      <c r="AJ18" s="334">
        <v>2555</v>
      </c>
      <c r="AK18" s="303">
        <f t="shared" si="2"/>
        <v>197794.68000000002</v>
      </c>
    </row>
    <row r="19" spans="1:37" ht="14.5" x14ac:dyDescent="0.35">
      <c r="A19" s="369" t="s">
        <v>273</v>
      </c>
      <c r="B19" s="314">
        <v>271.43</v>
      </c>
      <c r="C19" s="314">
        <v>671.43</v>
      </c>
      <c r="D19" s="314">
        <v>271.75</v>
      </c>
      <c r="E19" s="314">
        <v>71.430000000000007</v>
      </c>
      <c r="F19" s="314">
        <v>271.43</v>
      </c>
      <c r="G19" s="314">
        <v>471.43</v>
      </c>
      <c r="H19" s="314">
        <v>471.43</v>
      </c>
      <c r="I19" s="314">
        <v>871.43</v>
      </c>
      <c r="J19" s="314">
        <v>471.43</v>
      </c>
      <c r="K19" s="314">
        <v>271.43</v>
      </c>
      <c r="L19" s="314">
        <v>471.43</v>
      </c>
      <c r="M19" s="314">
        <v>271.43</v>
      </c>
      <c r="N19" s="314">
        <v>0</v>
      </c>
      <c r="O19" s="314">
        <v>671.43</v>
      </c>
      <c r="P19" s="314">
        <v>271.43</v>
      </c>
      <c r="Q19" s="314">
        <v>671.43</v>
      </c>
      <c r="R19" s="314">
        <v>271.43</v>
      </c>
      <c r="S19" s="314">
        <v>471.43</v>
      </c>
      <c r="T19" s="314">
        <v>671.43</v>
      </c>
      <c r="U19" s="314">
        <v>471.43</v>
      </c>
      <c r="V19" s="323">
        <v>271.43</v>
      </c>
      <c r="W19" s="314">
        <v>471.53</v>
      </c>
      <c r="X19" s="323"/>
      <c r="Y19" s="314">
        <v>271.43</v>
      </c>
      <c r="Z19" s="323">
        <v>0</v>
      </c>
      <c r="AA19" s="323">
        <v>871.43</v>
      </c>
      <c r="AB19" s="314">
        <v>471.43</v>
      </c>
      <c r="AC19" s="314">
        <v>271.43</v>
      </c>
      <c r="AD19" s="314">
        <v>271.43</v>
      </c>
      <c r="AE19" s="314">
        <v>271.43</v>
      </c>
      <c r="AF19" s="314">
        <v>271.43</v>
      </c>
      <c r="AG19" s="314">
        <v>0</v>
      </c>
      <c r="AH19" s="314">
        <v>471.43</v>
      </c>
      <c r="AI19" s="314">
        <v>271</v>
      </c>
      <c r="AJ19" s="323">
        <v>0</v>
      </c>
      <c r="AK19" s="303">
        <f t="shared" si="2"/>
        <v>12542.890000000005</v>
      </c>
    </row>
    <row r="20" spans="1:37" ht="14.5" x14ac:dyDescent="0.35">
      <c r="A20" s="368" t="s">
        <v>274</v>
      </c>
      <c r="B20" s="307">
        <v>1425.36</v>
      </c>
      <c r="C20" s="307">
        <v>4455.3599999999997</v>
      </c>
      <c r="D20" s="307">
        <v>1425.36</v>
      </c>
      <c r="E20" s="307">
        <v>415.36</v>
      </c>
      <c r="F20" s="307">
        <v>2435.36</v>
      </c>
      <c r="G20" s="307">
        <v>2435.36</v>
      </c>
      <c r="H20" s="307">
        <v>2435.36</v>
      </c>
      <c r="I20" s="307">
        <v>7485.36</v>
      </c>
      <c r="J20" s="307">
        <v>2435.36</v>
      </c>
      <c r="K20" s="307">
        <v>1425.36</v>
      </c>
      <c r="L20" s="307">
        <v>2435.36</v>
      </c>
      <c r="M20" s="307">
        <v>1425.36</v>
      </c>
      <c r="N20" s="307">
        <v>0</v>
      </c>
      <c r="O20" s="307">
        <v>3445.36</v>
      </c>
      <c r="P20" s="307">
        <v>1425.36</v>
      </c>
      <c r="Q20" s="307">
        <v>5465.36</v>
      </c>
      <c r="R20" s="307">
        <v>1425.36</v>
      </c>
      <c r="S20" s="307">
        <v>2435.36</v>
      </c>
      <c r="T20" s="307">
        <v>5465.36</v>
      </c>
      <c r="U20" s="307">
        <v>3445.36</v>
      </c>
      <c r="V20" s="325">
        <v>1425.36</v>
      </c>
      <c r="W20" s="307">
        <v>2435.36</v>
      </c>
      <c r="X20" s="334"/>
      <c r="Y20" s="307">
        <v>1425.36</v>
      </c>
      <c r="Z20" s="307">
        <v>0</v>
      </c>
      <c r="AA20" s="307">
        <v>4455.3599999999997</v>
      </c>
      <c r="AB20" s="307">
        <v>2435.36</v>
      </c>
      <c r="AC20" s="307">
        <v>1425.36</v>
      </c>
      <c r="AD20" s="307">
        <v>1425.36</v>
      </c>
      <c r="AE20" s="307">
        <v>1425.36</v>
      </c>
      <c r="AF20" s="307">
        <v>1425.36</v>
      </c>
      <c r="AG20" s="307">
        <v>0</v>
      </c>
      <c r="AH20" s="307">
        <v>2435.36</v>
      </c>
      <c r="AI20" s="307">
        <v>1425</v>
      </c>
      <c r="AJ20" s="325">
        <v>0</v>
      </c>
      <c r="AK20" s="303">
        <f t="shared" si="2"/>
        <v>75080.44</v>
      </c>
    </row>
    <row r="21" spans="1:37" ht="14.5" x14ac:dyDescent="0.35">
      <c r="A21" s="366" t="s">
        <v>275</v>
      </c>
      <c r="B21" s="314">
        <v>343.75</v>
      </c>
      <c r="C21" s="314">
        <v>843.75</v>
      </c>
      <c r="D21" s="314">
        <v>343.75</v>
      </c>
      <c r="E21" s="314">
        <v>343.75</v>
      </c>
      <c r="F21" s="314">
        <v>593.75</v>
      </c>
      <c r="G21" s="314">
        <v>593.75</v>
      </c>
      <c r="H21" s="314">
        <v>593.75</v>
      </c>
      <c r="I21" s="314">
        <v>1343.75</v>
      </c>
      <c r="J21" s="314">
        <v>593.75</v>
      </c>
      <c r="K21" s="314">
        <v>343.75</v>
      </c>
      <c r="L21" s="314">
        <v>343.75</v>
      </c>
      <c r="M21" s="314">
        <v>343.75</v>
      </c>
      <c r="N21" s="314">
        <v>0</v>
      </c>
      <c r="O21" s="314">
        <v>843.75</v>
      </c>
      <c r="P21" s="314">
        <v>343.75</v>
      </c>
      <c r="Q21" s="314">
        <v>1343.75</v>
      </c>
      <c r="R21" s="314">
        <v>343.75</v>
      </c>
      <c r="S21" s="314">
        <v>593.75</v>
      </c>
      <c r="T21" s="314">
        <v>1343.75</v>
      </c>
      <c r="U21" s="314">
        <v>843.75</v>
      </c>
      <c r="V21" s="323">
        <v>343.75</v>
      </c>
      <c r="W21" s="314">
        <v>593.75</v>
      </c>
      <c r="X21" s="323"/>
      <c r="Y21" s="314">
        <v>343.75</v>
      </c>
      <c r="Z21" s="314">
        <v>0</v>
      </c>
      <c r="AA21" s="314">
        <v>1093.75</v>
      </c>
      <c r="AB21" s="314">
        <v>593.75</v>
      </c>
      <c r="AC21" s="314">
        <v>343.43</v>
      </c>
      <c r="AD21" s="314">
        <v>343.75</v>
      </c>
      <c r="AE21" s="314">
        <v>343.75</v>
      </c>
      <c r="AF21" s="314">
        <v>343.75</v>
      </c>
      <c r="AG21" s="314">
        <v>0</v>
      </c>
      <c r="AH21" s="314">
        <v>343.75</v>
      </c>
      <c r="AI21" s="314">
        <v>343</v>
      </c>
      <c r="AJ21" s="323">
        <v>0</v>
      </c>
      <c r="AK21" s="303">
        <f t="shared" si="2"/>
        <v>17311.43</v>
      </c>
    </row>
    <row r="22" spans="1:37" ht="14.5" x14ac:dyDescent="0.35">
      <c r="A22" s="364" t="s">
        <v>316</v>
      </c>
      <c r="B22" s="334"/>
      <c r="C22" s="334">
        <v>0</v>
      </c>
      <c r="D22" s="334">
        <v>0</v>
      </c>
      <c r="E22" s="334"/>
      <c r="F22" s="334">
        <v>0</v>
      </c>
      <c r="G22" s="334">
        <v>0</v>
      </c>
      <c r="H22" s="334">
        <v>0</v>
      </c>
      <c r="I22" s="334">
        <v>0</v>
      </c>
      <c r="J22" s="334">
        <v>0</v>
      </c>
      <c r="K22" s="334">
        <v>0</v>
      </c>
      <c r="L22" s="334">
        <v>0</v>
      </c>
      <c r="M22" s="334">
        <v>0</v>
      </c>
      <c r="N22" s="334">
        <v>0</v>
      </c>
      <c r="O22" s="334">
        <v>0</v>
      </c>
      <c r="P22" s="334">
        <v>0</v>
      </c>
      <c r="Q22" s="334">
        <v>0</v>
      </c>
      <c r="R22" s="334">
        <v>0</v>
      </c>
      <c r="S22" s="334">
        <v>0</v>
      </c>
      <c r="T22" s="334">
        <v>0</v>
      </c>
      <c r="U22" s="334">
        <v>0</v>
      </c>
      <c r="V22" s="334">
        <v>0</v>
      </c>
      <c r="W22" s="334">
        <v>0</v>
      </c>
      <c r="X22" s="334"/>
      <c r="Y22" s="334">
        <v>0</v>
      </c>
      <c r="Z22" s="334">
        <v>0</v>
      </c>
      <c r="AA22" s="334">
        <v>0</v>
      </c>
      <c r="AB22" s="334">
        <v>0</v>
      </c>
      <c r="AC22" s="334">
        <v>0</v>
      </c>
      <c r="AD22" s="334">
        <v>0</v>
      </c>
      <c r="AE22" s="334">
        <v>0</v>
      </c>
      <c r="AF22" s="334">
        <v>0</v>
      </c>
      <c r="AG22" s="334">
        <v>0</v>
      </c>
      <c r="AH22" s="334">
        <v>0</v>
      </c>
      <c r="AI22" s="334">
        <v>0</v>
      </c>
      <c r="AJ22" s="334">
        <v>0</v>
      </c>
      <c r="AK22" s="303">
        <f t="shared" si="2"/>
        <v>0</v>
      </c>
    </row>
    <row r="23" spans="1:37" ht="14.5" x14ac:dyDescent="0.35">
      <c r="A23" s="366" t="s">
        <v>277</v>
      </c>
      <c r="B23" s="314">
        <v>100</v>
      </c>
      <c r="C23" s="314">
        <v>0</v>
      </c>
      <c r="D23" s="314">
        <v>200</v>
      </c>
      <c r="E23" s="314">
        <v>50</v>
      </c>
      <c r="F23" s="314">
        <v>235</v>
      </c>
      <c r="G23" s="314">
        <v>200</v>
      </c>
      <c r="H23" s="314">
        <v>160</v>
      </c>
      <c r="I23" s="314">
        <v>200</v>
      </c>
      <c r="J23" s="314">
        <v>250</v>
      </c>
      <c r="K23" s="314">
        <v>220</v>
      </c>
      <c r="L23" s="314">
        <v>280</v>
      </c>
      <c r="M23" s="314">
        <v>450</v>
      </c>
      <c r="N23" s="314">
        <v>350</v>
      </c>
      <c r="O23" s="314">
        <v>400</v>
      </c>
      <c r="P23" s="314">
        <v>150</v>
      </c>
      <c r="Q23" s="314">
        <v>870</v>
      </c>
      <c r="R23" s="314">
        <v>980</v>
      </c>
      <c r="S23" s="314">
        <v>950</v>
      </c>
      <c r="T23" s="314">
        <v>100</v>
      </c>
      <c r="U23" s="314">
        <v>400</v>
      </c>
      <c r="V23" s="323">
        <v>0</v>
      </c>
      <c r="W23" s="314">
        <v>830</v>
      </c>
      <c r="X23" s="314"/>
      <c r="Y23" s="314">
        <v>60</v>
      </c>
      <c r="Z23" s="314">
        <v>200</v>
      </c>
      <c r="AA23" s="314">
        <v>305</v>
      </c>
      <c r="AB23" s="314">
        <v>360</v>
      </c>
      <c r="AC23" s="314">
        <v>540</v>
      </c>
      <c r="AD23" s="314">
        <v>930</v>
      </c>
      <c r="AE23" s="314">
        <v>2850</v>
      </c>
      <c r="AF23" s="314">
        <v>800</v>
      </c>
      <c r="AG23" s="314">
        <v>910</v>
      </c>
      <c r="AH23" s="314">
        <v>660</v>
      </c>
      <c r="AI23" s="314">
        <v>1040</v>
      </c>
      <c r="AJ23" s="323">
        <v>0</v>
      </c>
      <c r="AK23" s="303">
        <f t="shared" si="2"/>
        <v>16030</v>
      </c>
    </row>
    <row r="24" spans="1:37" ht="15.5" x14ac:dyDescent="0.35">
      <c r="A24" s="367" t="s">
        <v>278</v>
      </c>
      <c r="B24" s="325"/>
      <c r="C24" s="307">
        <v>500</v>
      </c>
      <c r="D24" s="325">
        <v>0</v>
      </c>
      <c r="E24" s="325"/>
      <c r="F24" s="325">
        <v>0</v>
      </c>
      <c r="G24" s="325">
        <v>0</v>
      </c>
      <c r="H24" s="325">
        <v>0</v>
      </c>
      <c r="I24" s="325">
        <v>0</v>
      </c>
      <c r="J24" s="325">
        <v>0</v>
      </c>
      <c r="K24" s="325">
        <v>100</v>
      </c>
      <c r="L24" s="325">
        <v>150</v>
      </c>
      <c r="M24" s="307">
        <v>2200</v>
      </c>
      <c r="N24" s="307">
        <v>0</v>
      </c>
      <c r="O24" s="326">
        <v>2205</v>
      </c>
      <c r="P24" s="325">
        <v>90</v>
      </c>
      <c r="Q24" s="307">
        <v>700</v>
      </c>
      <c r="R24" s="291">
        <v>300</v>
      </c>
      <c r="S24" s="307">
        <v>80</v>
      </c>
      <c r="T24" s="307">
        <v>1730</v>
      </c>
      <c r="U24" s="307">
        <v>730</v>
      </c>
      <c r="V24" s="325">
        <v>200</v>
      </c>
      <c r="W24" s="307">
        <v>410</v>
      </c>
      <c r="X24" s="307"/>
      <c r="Y24" s="307">
        <v>450</v>
      </c>
      <c r="Z24" s="307">
        <v>0</v>
      </c>
      <c r="AA24" s="307">
        <v>180</v>
      </c>
      <c r="AB24" s="307">
        <v>270</v>
      </c>
      <c r="AC24" s="307">
        <v>145</v>
      </c>
      <c r="AD24" s="307">
        <v>225</v>
      </c>
      <c r="AE24" s="307">
        <v>1960</v>
      </c>
      <c r="AF24" s="307">
        <v>2710</v>
      </c>
      <c r="AG24" s="307">
        <v>540</v>
      </c>
      <c r="AH24" s="307">
        <v>548</v>
      </c>
      <c r="AI24" s="307">
        <v>125</v>
      </c>
      <c r="AJ24" s="325">
        <v>0</v>
      </c>
      <c r="AK24" s="303">
        <f t="shared" si="2"/>
        <v>16548</v>
      </c>
    </row>
    <row r="25" spans="1:37" ht="14.5" x14ac:dyDescent="0.35">
      <c r="A25" s="366" t="s">
        <v>279</v>
      </c>
      <c r="B25" s="314">
        <v>44000</v>
      </c>
      <c r="C25" s="314">
        <v>10000</v>
      </c>
      <c r="D25" s="314">
        <v>26750</v>
      </c>
      <c r="E25" s="314">
        <v>35000</v>
      </c>
      <c r="F25" s="314">
        <v>20000</v>
      </c>
      <c r="G25" s="314">
        <v>66150</v>
      </c>
      <c r="H25" s="314">
        <v>22050</v>
      </c>
      <c r="I25" s="314">
        <v>35280</v>
      </c>
      <c r="J25" s="314">
        <v>28000</v>
      </c>
      <c r="K25" s="314">
        <v>15000</v>
      </c>
      <c r="L25" s="314">
        <v>8269</v>
      </c>
      <c r="M25" s="314">
        <v>16000</v>
      </c>
      <c r="N25" s="314">
        <v>10000</v>
      </c>
      <c r="O25" s="314">
        <v>30500</v>
      </c>
      <c r="P25" s="314">
        <v>0</v>
      </c>
      <c r="Q25" s="314">
        <v>26250</v>
      </c>
      <c r="R25" s="314">
        <v>10000</v>
      </c>
      <c r="S25" s="314">
        <v>13000</v>
      </c>
      <c r="T25" s="314">
        <v>25000</v>
      </c>
      <c r="U25" s="314">
        <v>14500</v>
      </c>
      <c r="V25" s="323">
        <v>15000</v>
      </c>
      <c r="W25" s="314">
        <v>31500</v>
      </c>
      <c r="X25" s="323"/>
      <c r="Y25" s="314">
        <v>16500</v>
      </c>
      <c r="Z25" s="314">
        <v>15000</v>
      </c>
      <c r="AA25" s="314">
        <v>0</v>
      </c>
      <c r="AB25" s="314">
        <v>8398</v>
      </c>
      <c r="AC25" s="314">
        <v>20000</v>
      </c>
      <c r="AD25" s="314">
        <v>20000</v>
      </c>
      <c r="AE25" s="314">
        <v>12000</v>
      </c>
      <c r="AF25" s="314">
        <v>20000</v>
      </c>
      <c r="AG25" s="314">
        <v>14000</v>
      </c>
      <c r="AH25" s="314">
        <v>18000</v>
      </c>
      <c r="AI25" s="314">
        <v>36650</v>
      </c>
      <c r="AJ25" s="323">
        <v>12000</v>
      </c>
      <c r="AK25" s="303">
        <f t="shared" si="2"/>
        <v>694797</v>
      </c>
    </row>
    <row r="26" spans="1:37" ht="14.5" x14ac:dyDescent="0.35">
      <c r="A26" s="367" t="s">
        <v>280</v>
      </c>
      <c r="B26" s="307">
        <v>6664.77</v>
      </c>
      <c r="C26" s="307">
        <v>4988.0600000000004</v>
      </c>
      <c r="D26" s="307">
        <v>5336.04</v>
      </c>
      <c r="E26" s="307">
        <v>8414</v>
      </c>
      <c r="F26" s="307">
        <v>452.39</v>
      </c>
      <c r="G26" s="307">
        <v>11331.06</v>
      </c>
      <c r="H26" s="307">
        <v>6382.37</v>
      </c>
      <c r="I26" s="307">
        <v>8940</v>
      </c>
      <c r="J26" s="307">
        <v>9137.6200000000008</v>
      </c>
      <c r="K26" s="325">
        <v>9184</v>
      </c>
      <c r="L26" s="307">
        <v>5840.83</v>
      </c>
      <c r="M26" s="307">
        <v>6465.87</v>
      </c>
      <c r="N26" s="307">
        <v>2455</v>
      </c>
      <c r="O26" s="325">
        <v>7487.27</v>
      </c>
      <c r="P26" s="307">
        <v>4649.87</v>
      </c>
      <c r="Q26" s="307">
        <v>7203.6</v>
      </c>
      <c r="R26" s="325">
        <v>4736.8999999999996</v>
      </c>
      <c r="S26" s="325">
        <v>6891</v>
      </c>
      <c r="T26" s="307">
        <v>4316</v>
      </c>
      <c r="U26" s="325">
        <v>5302.79</v>
      </c>
      <c r="V26" s="325">
        <v>4029</v>
      </c>
      <c r="W26" s="327">
        <v>6558.49</v>
      </c>
      <c r="X26" s="325"/>
      <c r="Y26" s="325">
        <v>3331</v>
      </c>
      <c r="Z26" s="307">
        <v>6973</v>
      </c>
      <c r="AA26" s="307">
        <v>9010</v>
      </c>
      <c r="AB26" s="307">
        <v>7595</v>
      </c>
      <c r="AC26" s="307">
        <v>6876</v>
      </c>
      <c r="AD26" s="307">
        <v>6192.3</v>
      </c>
      <c r="AE26" s="307">
        <v>5296.25</v>
      </c>
      <c r="AF26" s="307">
        <v>8415.94</v>
      </c>
      <c r="AG26" s="307">
        <v>7967.57</v>
      </c>
      <c r="AH26" s="325">
        <v>6053</v>
      </c>
      <c r="AI26" s="325">
        <v>7472</v>
      </c>
      <c r="AJ26" s="325">
        <v>7718</v>
      </c>
      <c r="AK26" s="303">
        <f t="shared" si="2"/>
        <v>219666.99</v>
      </c>
    </row>
    <row r="27" spans="1:37" ht="14.5" x14ac:dyDescent="0.35">
      <c r="A27" s="366" t="s">
        <v>281</v>
      </c>
      <c r="B27" s="314">
        <v>1653.73</v>
      </c>
      <c r="C27" s="323">
        <v>770</v>
      </c>
      <c r="D27" s="314">
        <v>1111.42</v>
      </c>
      <c r="E27" s="314">
        <v>1446.65</v>
      </c>
      <c r="F27" s="314">
        <v>673.28</v>
      </c>
      <c r="G27" s="314">
        <v>5549.06</v>
      </c>
      <c r="H27" s="314">
        <v>1500</v>
      </c>
      <c r="I27" s="314">
        <v>4899.24</v>
      </c>
      <c r="J27" s="314">
        <v>1980</v>
      </c>
      <c r="K27" s="314">
        <v>500</v>
      </c>
      <c r="L27" s="314">
        <v>209</v>
      </c>
      <c r="M27" s="314">
        <v>482</v>
      </c>
      <c r="N27" s="314">
        <v>120</v>
      </c>
      <c r="O27" s="314">
        <v>1127.2</v>
      </c>
      <c r="P27" s="314">
        <v>748.21</v>
      </c>
      <c r="Q27" s="314">
        <v>1525</v>
      </c>
      <c r="R27" s="314">
        <v>505</v>
      </c>
      <c r="S27" s="314">
        <v>2244.6</v>
      </c>
      <c r="T27" s="323">
        <v>0</v>
      </c>
      <c r="U27" s="314">
        <v>332</v>
      </c>
      <c r="V27" s="323">
        <v>0</v>
      </c>
      <c r="W27" s="314">
        <v>1167.5999999999999</v>
      </c>
      <c r="X27" s="323"/>
      <c r="Y27" s="314">
        <v>209.1</v>
      </c>
      <c r="Z27" s="323">
        <v>2172</v>
      </c>
      <c r="AA27" s="314">
        <v>1300</v>
      </c>
      <c r="AB27" s="314">
        <v>633.6</v>
      </c>
      <c r="AC27" s="314">
        <v>339.6</v>
      </c>
      <c r="AD27" s="314">
        <v>0</v>
      </c>
      <c r="AE27" s="314">
        <v>202.8</v>
      </c>
      <c r="AF27" s="314">
        <v>1990</v>
      </c>
      <c r="AG27" s="314">
        <v>0</v>
      </c>
      <c r="AH27" s="314">
        <v>1418</v>
      </c>
      <c r="AI27" s="314">
        <v>0</v>
      </c>
      <c r="AJ27" s="323">
        <v>300</v>
      </c>
      <c r="AK27" s="303">
        <f t="shared" si="2"/>
        <v>37109.089999999997</v>
      </c>
    </row>
    <row r="28" spans="1:37" ht="14.5" x14ac:dyDescent="0.35">
      <c r="A28" s="367" t="s">
        <v>282</v>
      </c>
      <c r="B28" s="307">
        <v>5895.29</v>
      </c>
      <c r="C28" s="307">
        <v>5080.46</v>
      </c>
      <c r="D28" s="307">
        <v>10059.06</v>
      </c>
      <c r="E28" s="307">
        <v>2510.31</v>
      </c>
      <c r="F28" s="325">
        <v>1724.36</v>
      </c>
      <c r="G28" s="325">
        <v>6113.24</v>
      </c>
      <c r="H28" s="325">
        <v>4455.42</v>
      </c>
      <c r="I28" s="307">
        <v>6351.13</v>
      </c>
      <c r="J28" s="307">
        <v>700</v>
      </c>
      <c r="K28" s="325">
        <v>19624.73</v>
      </c>
      <c r="L28" s="325">
        <v>15537.66</v>
      </c>
      <c r="M28" s="325">
        <v>3029.63</v>
      </c>
      <c r="N28" s="325">
        <v>1600.85</v>
      </c>
      <c r="O28" s="325">
        <v>41323.61</v>
      </c>
      <c r="P28" s="307">
        <v>16752.830000000002</v>
      </c>
      <c r="Q28" s="307">
        <v>4442.7</v>
      </c>
      <c r="R28" s="325">
        <v>2224.7600000000002</v>
      </c>
      <c r="S28" s="307">
        <v>2018.73</v>
      </c>
      <c r="T28" s="307">
        <v>4878.8999999999996</v>
      </c>
      <c r="U28" s="307">
        <v>21744</v>
      </c>
      <c r="V28" s="325">
        <v>15386.54</v>
      </c>
      <c r="W28" s="307">
        <v>25464</v>
      </c>
      <c r="X28" s="325"/>
      <c r="Y28" s="307">
        <v>17138.97</v>
      </c>
      <c r="Z28" s="307">
        <v>3314.54</v>
      </c>
      <c r="AA28" s="307">
        <v>2931.97</v>
      </c>
      <c r="AB28" s="325">
        <v>520</v>
      </c>
      <c r="AC28" s="307">
        <v>1061</v>
      </c>
      <c r="AD28" s="307">
        <v>2674.74</v>
      </c>
      <c r="AE28" s="307">
        <v>0</v>
      </c>
      <c r="AF28" s="307">
        <v>3680.04</v>
      </c>
      <c r="AG28" s="307">
        <v>2342.12</v>
      </c>
      <c r="AH28" s="327">
        <v>4030.2</v>
      </c>
      <c r="AI28" s="327">
        <v>0</v>
      </c>
      <c r="AJ28" s="325">
        <v>0</v>
      </c>
      <c r="AK28" s="303">
        <f t="shared" si="2"/>
        <v>254611.79000000007</v>
      </c>
    </row>
    <row r="29" spans="1:37" ht="14.5" x14ac:dyDescent="0.35">
      <c r="A29" s="366" t="s">
        <v>317</v>
      </c>
      <c r="B29" s="314">
        <v>1898.5</v>
      </c>
      <c r="C29" s="314">
        <v>4527</v>
      </c>
      <c r="D29" s="314">
        <v>1899</v>
      </c>
      <c r="E29" s="314">
        <v>4106</v>
      </c>
      <c r="F29" s="314">
        <v>1458</v>
      </c>
      <c r="G29" s="314">
        <v>4500</v>
      </c>
      <c r="H29" s="314">
        <v>2595</v>
      </c>
      <c r="I29" s="323">
        <v>4835</v>
      </c>
      <c r="J29" s="314">
        <v>2225.75</v>
      </c>
      <c r="K29" s="314">
        <v>1716</v>
      </c>
      <c r="L29" s="323">
        <v>1271</v>
      </c>
      <c r="M29" s="314">
        <v>3887</v>
      </c>
      <c r="N29" s="314">
        <v>1244</v>
      </c>
      <c r="O29" s="314">
        <v>6472</v>
      </c>
      <c r="P29" s="314">
        <v>2555</v>
      </c>
      <c r="Q29" s="323">
        <v>7644</v>
      </c>
      <c r="R29" s="323">
        <v>3162</v>
      </c>
      <c r="S29" s="323">
        <v>3308.9</v>
      </c>
      <c r="T29" s="323">
        <v>2217</v>
      </c>
      <c r="U29" s="323">
        <v>4430</v>
      </c>
      <c r="V29" s="323">
        <v>2477</v>
      </c>
      <c r="W29" s="323">
        <v>2363</v>
      </c>
      <c r="X29" s="323"/>
      <c r="Y29" s="323">
        <v>2578</v>
      </c>
      <c r="Z29" s="323">
        <v>4802</v>
      </c>
      <c r="AA29" s="323">
        <v>8749.9</v>
      </c>
      <c r="AB29" s="323">
        <v>8749.75</v>
      </c>
      <c r="AC29" s="323">
        <v>9633.15</v>
      </c>
      <c r="AD29" s="323">
        <v>5967.7</v>
      </c>
      <c r="AE29" s="323">
        <v>3486.25</v>
      </c>
      <c r="AF29" s="323">
        <v>15046</v>
      </c>
      <c r="AG29" s="323">
        <v>5852</v>
      </c>
      <c r="AH29" s="314">
        <v>3840</v>
      </c>
      <c r="AI29" s="314">
        <v>2331</v>
      </c>
      <c r="AJ29" s="323">
        <v>1485.4</v>
      </c>
      <c r="AK29" s="303">
        <f t="shared" si="2"/>
        <v>143312.29999999996</v>
      </c>
    </row>
    <row r="30" spans="1:37" ht="14.5" x14ac:dyDescent="0.35">
      <c r="A30" s="367" t="s">
        <v>284</v>
      </c>
      <c r="B30" s="325">
        <v>550</v>
      </c>
      <c r="C30" s="325">
        <v>550</v>
      </c>
      <c r="D30" s="307">
        <v>200</v>
      </c>
      <c r="E30" s="325">
        <v>550</v>
      </c>
      <c r="F30" s="325">
        <v>550</v>
      </c>
      <c r="G30" s="325">
        <v>550</v>
      </c>
      <c r="H30" s="307">
        <v>550</v>
      </c>
      <c r="I30" s="307">
        <v>550</v>
      </c>
      <c r="J30" s="307">
        <v>200</v>
      </c>
      <c r="K30" s="307">
        <v>550</v>
      </c>
      <c r="L30" s="307">
        <v>550</v>
      </c>
      <c r="M30" s="307">
        <v>640</v>
      </c>
      <c r="N30" s="325">
        <v>550</v>
      </c>
      <c r="O30" s="325">
        <v>849</v>
      </c>
      <c r="P30" s="307">
        <v>200</v>
      </c>
      <c r="Q30" s="325">
        <v>250</v>
      </c>
      <c r="R30" s="325">
        <v>350</v>
      </c>
      <c r="S30" s="325">
        <v>1000</v>
      </c>
      <c r="T30" s="307">
        <v>1008</v>
      </c>
      <c r="U30" s="325">
        <v>550</v>
      </c>
      <c r="V30" s="325">
        <v>0</v>
      </c>
      <c r="W30" s="325">
        <v>550</v>
      </c>
      <c r="X30" s="325"/>
      <c r="Y30" s="325">
        <v>550</v>
      </c>
      <c r="Z30" s="307">
        <v>7872</v>
      </c>
      <c r="AA30" s="325">
        <v>700</v>
      </c>
      <c r="AB30" s="307">
        <v>0</v>
      </c>
      <c r="AC30" s="307">
        <v>212.8</v>
      </c>
      <c r="AD30" s="325">
        <v>1000</v>
      </c>
      <c r="AE30" s="325">
        <v>200</v>
      </c>
      <c r="AF30" s="307">
        <v>1000</v>
      </c>
      <c r="AG30" s="307">
        <v>550</v>
      </c>
      <c r="AH30" s="307">
        <v>550</v>
      </c>
      <c r="AI30" s="307">
        <v>200</v>
      </c>
      <c r="AJ30" s="325">
        <v>200</v>
      </c>
      <c r="AK30" s="303">
        <f t="shared" si="2"/>
        <v>24331.8</v>
      </c>
    </row>
    <row r="31" spans="1:37" ht="14.5" x14ac:dyDescent="0.35">
      <c r="A31" s="366" t="s">
        <v>318</v>
      </c>
      <c r="B31" s="323">
        <v>466.83</v>
      </c>
      <c r="C31" s="323">
        <v>16</v>
      </c>
      <c r="D31" s="323">
        <v>110.7</v>
      </c>
      <c r="E31" s="323">
        <v>241.6</v>
      </c>
      <c r="F31" s="323">
        <v>30</v>
      </c>
      <c r="G31" s="323">
        <v>1617.7</v>
      </c>
      <c r="H31" s="323">
        <v>1593.96</v>
      </c>
      <c r="I31" s="323">
        <v>418.29</v>
      </c>
      <c r="J31" s="323">
        <v>55.35</v>
      </c>
      <c r="K31" s="323">
        <v>199.26</v>
      </c>
      <c r="L31" s="323">
        <v>10</v>
      </c>
      <c r="M31" s="314">
        <v>11</v>
      </c>
      <c r="N31" s="323">
        <v>0</v>
      </c>
      <c r="O31" s="323">
        <v>632</v>
      </c>
      <c r="P31" s="323">
        <v>0</v>
      </c>
      <c r="Q31" s="323">
        <v>0</v>
      </c>
      <c r="R31" s="323">
        <v>0</v>
      </c>
      <c r="S31" s="323">
        <v>0</v>
      </c>
      <c r="T31" s="323">
        <v>77</v>
      </c>
      <c r="U31" s="323">
        <v>0</v>
      </c>
      <c r="V31" s="323">
        <v>0</v>
      </c>
      <c r="W31" s="323">
        <v>16</v>
      </c>
      <c r="X31" s="323"/>
      <c r="Y31" s="323">
        <v>0</v>
      </c>
      <c r="Z31" s="323">
        <v>44.28</v>
      </c>
      <c r="AA31" s="323">
        <v>30</v>
      </c>
      <c r="AB31" s="314">
        <v>51</v>
      </c>
      <c r="AC31" s="323">
        <v>0</v>
      </c>
      <c r="AD31" s="323">
        <v>0</v>
      </c>
      <c r="AE31" s="323">
        <v>0</v>
      </c>
      <c r="AF31" s="323">
        <v>121</v>
      </c>
      <c r="AG31" s="323">
        <v>0</v>
      </c>
      <c r="AH31" s="323">
        <v>18</v>
      </c>
      <c r="AI31" s="323">
        <v>0</v>
      </c>
      <c r="AJ31" s="323">
        <v>0</v>
      </c>
      <c r="AK31" s="303">
        <f t="shared" si="2"/>
        <v>5759.97</v>
      </c>
    </row>
    <row r="32" spans="1:37" ht="14.5" x14ac:dyDescent="0.35">
      <c r="A32" s="367" t="s">
        <v>286</v>
      </c>
      <c r="B32" s="307">
        <v>1276.5</v>
      </c>
      <c r="C32" s="307">
        <v>5277</v>
      </c>
      <c r="D32" s="307">
        <v>474.75</v>
      </c>
      <c r="E32" s="307">
        <v>1930</v>
      </c>
      <c r="F32" s="307">
        <v>873.25</v>
      </c>
      <c r="G32" s="307">
        <v>1968</v>
      </c>
      <c r="H32" s="307">
        <v>1473.49</v>
      </c>
      <c r="I32" s="307">
        <v>2453.5500000000002</v>
      </c>
      <c r="J32" s="307">
        <v>803.25</v>
      </c>
      <c r="K32" s="325">
        <v>1844</v>
      </c>
      <c r="L32" s="307">
        <v>1280</v>
      </c>
      <c r="M32" s="307">
        <v>1786</v>
      </c>
      <c r="N32" s="307">
        <v>1150</v>
      </c>
      <c r="O32" s="307">
        <v>2815</v>
      </c>
      <c r="P32" s="307">
        <v>730</v>
      </c>
      <c r="Q32" s="307">
        <v>7046.8</v>
      </c>
      <c r="R32" s="325">
        <v>2393</v>
      </c>
      <c r="S32" s="307">
        <v>2687.7</v>
      </c>
      <c r="T32" s="307">
        <v>650</v>
      </c>
      <c r="U32" s="307">
        <v>1232</v>
      </c>
      <c r="V32" s="325">
        <v>1435</v>
      </c>
      <c r="W32" s="307">
        <v>2650</v>
      </c>
      <c r="X32" s="325"/>
      <c r="Y32" s="307">
        <v>785</v>
      </c>
      <c r="Z32" s="307">
        <v>1753</v>
      </c>
      <c r="AA32" s="307">
        <v>846.55</v>
      </c>
      <c r="AB32" s="307">
        <v>1357.3</v>
      </c>
      <c r="AC32" s="307">
        <v>1421.65</v>
      </c>
      <c r="AD32" s="307">
        <v>1769.8</v>
      </c>
      <c r="AE32" s="307">
        <v>505</v>
      </c>
      <c r="AF32" s="307">
        <v>2312</v>
      </c>
      <c r="AG32" s="307">
        <v>1344.35</v>
      </c>
      <c r="AH32" s="307" t="s">
        <v>379</v>
      </c>
      <c r="AI32" s="307">
        <v>2053</v>
      </c>
      <c r="AJ32" s="325">
        <v>959.05</v>
      </c>
      <c r="AK32" s="303">
        <f t="shared" si="2"/>
        <v>59335.990000000013</v>
      </c>
    </row>
    <row r="33" spans="1:37" ht="14.5" x14ac:dyDescent="0.35">
      <c r="A33" s="366" t="s">
        <v>287</v>
      </c>
      <c r="B33" s="314">
        <v>925</v>
      </c>
      <c r="C33" s="323">
        <v>210</v>
      </c>
      <c r="D33" s="323"/>
      <c r="E33" s="323"/>
      <c r="F33" s="323">
        <v>0</v>
      </c>
      <c r="G33" s="323">
        <v>0</v>
      </c>
      <c r="H33" s="314">
        <v>0</v>
      </c>
      <c r="I33" s="314">
        <v>0</v>
      </c>
      <c r="J33" s="314">
        <v>0</v>
      </c>
      <c r="K33" s="314">
        <v>800</v>
      </c>
      <c r="L33" s="323">
        <v>0</v>
      </c>
      <c r="M33" s="323">
        <v>0</v>
      </c>
      <c r="N33" s="323">
        <v>250</v>
      </c>
      <c r="O33" s="323">
        <v>0</v>
      </c>
      <c r="P33" s="314">
        <v>180</v>
      </c>
      <c r="Q33" s="323">
        <v>0</v>
      </c>
      <c r="R33" s="323">
        <v>0</v>
      </c>
      <c r="S33" s="314">
        <v>0</v>
      </c>
      <c r="T33" s="323">
        <v>308</v>
      </c>
      <c r="U33" s="323">
        <v>0</v>
      </c>
      <c r="V33" s="323">
        <v>0</v>
      </c>
      <c r="W33" s="323">
        <v>0</v>
      </c>
      <c r="X33" s="323"/>
      <c r="Y33" s="314">
        <v>0</v>
      </c>
      <c r="Z33" s="314">
        <v>0</v>
      </c>
      <c r="AA33" s="314">
        <v>0</v>
      </c>
      <c r="AB33" s="314">
        <v>0</v>
      </c>
      <c r="AC33" s="314">
        <v>125</v>
      </c>
      <c r="AD33" s="323">
        <v>460</v>
      </c>
      <c r="AE33" s="323">
        <v>0</v>
      </c>
      <c r="AF33" s="323">
        <v>0</v>
      </c>
      <c r="AG33" s="323">
        <v>0</v>
      </c>
      <c r="AH33" s="323">
        <v>0</v>
      </c>
      <c r="AI33" s="323">
        <v>0</v>
      </c>
      <c r="AJ33" s="323">
        <v>240</v>
      </c>
      <c r="AK33" s="303">
        <f t="shared" si="2"/>
        <v>3498</v>
      </c>
    </row>
    <row r="34" spans="1:37" ht="14.5" x14ac:dyDescent="0.35">
      <c r="A34" s="367" t="s">
        <v>319</v>
      </c>
      <c r="B34" s="307"/>
      <c r="C34" s="307">
        <v>759</v>
      </c>
      <c r="D34" s="307"/>
      <c r="E34" s="307">
        <v>175</v>
      </c>
      <c r="F34" s="307">
        <v>147</v>
      </c>
      <c r="G34" s="307">
        <v>1304</v>
      </c>
      <c r="H34" s="325">
        <v>144</v>
      </c>
      <c r="I34" s="325">
        <v>0</v>
      </c>
      <c r="J34" s="307">
        <v>125</v>
      </c>
      <c r="K34" s="325">
        <v>149</v>
      </c>
      <c r="L34" s="325">
        <v>0</v>
      </c>
      <c r="M34" s="307">
        <v>1940</v>
      </c>
      <c r="N34" s="307">
        <v>0</v>
      </c>
      <c r="O34" s="325">
        <v>1216</v>
      </c>
      <c r="P34" s="325">
        <v>50</v>
      </c>
      <c r="Q34" s="307">
        <v>2974</v>
      </c>
      <c r="R34" s="307">
        <v>405</v>
      </c>
      <c r="S34" s="325">
        <v>0</v>
      </c>
      <c r="T34" s="307">
        <v>483</v>
      </c>
      <c r="U34" s="307">
        <v>794</v>
      </c>
      <c r="V34" s="325">
        <v>139</v>
      </c>
      <c r="W34" s="307">
        <v>816</v>
      </c>
      <c r="X34" s="307"/>
      <c r="Y34" s="325">
        <v>342</v>
      </c>
      <c r="Z34" s="325">
        <v>15</v>
      </c>
      <c r="AA34" s="307">
        <v>967.95</v>
      </c>
      <c r="AB34" s="327">
        <v>153</v>
      </c>
      <c r="AC34" s="307">
        <v>703</v>
      </c>
      <c r="AD34" s="307">
        <v>464.7</v>
      </c>
      <c r="AE34" s="307">
        <v>487</v>
      </c>
      <c r="AF34" s="307">
        <v>4772</v>
      </c>
      <c r="AG34" s="307">
        <v>1658.9</v>
      </c>
      <c r="AH34" s="325">
        <v>288</v>
      </c>
      <c r="AI34" s="325">
        <v>1042</v>
      </c>
      <c r="AJ34" s="325">
        <v>215</v>
      </c>
      <c r="AK34" s="303">
        <f t="shared" si="2"/>
        <v>22728.550000000003</v>
      </c>
    </row>
    <row r="35" spans="1:37" ht="14.5" x14ac:dyDescent="0.35">
      <c r="A35" s="366" t="s">
        <v>289</v>
      </c>
      <c r="B35" s="314">
        <v>467</v>
      </c>
      <c r="C35" s="314">
        <v>1980</v>
      </c>
      <c r="D35" s="314"/>
      <c r="E35" s="314">
        <v>189</v>
      </c>
      <c r="F35" s="314">
        <v>12</v>
      </c>
      <c r="G35" s="314">
        <v>2379.25</v>
      </c>
      <c r="H35" s="314">
        <v>1264.5</v>
      </c>
      <c r="I35" s="314">
        <v>915.5</v>
      </c>
      <c r="J35" s="314">
        <v>1214</v>
      </c>
      <c r="K35" s="314">
        <v>200</v>
      </c>
      <c r="L35" s="314">
        <v>466</v>
      </c>
      <c r="M35" s="314">
        <v>0</v>
      </c>
      <c r="N35" s="314">
        <v>0</v>
      </c>
      <c r="O35" s="314">
        <v>1590</v>
      </c>
      <c r="P35" s="314">
        <v>34</v>
      </c>
      <c r="Q35" s="314">
        <v>2465</v>
      </c>
      <c r="R35" s="314">
        <v>1214</v>
      </c>
      <c r="S35" s="314">
        <v>0</v>
      </c>
      <c r="T35" s="314">
        <v>754</v>
      </c>
      <c r="U35" s="314">
        <v>0</v>
      </c>
      <c r="V35" s="323">
        <v>0</v>
      </c>
      <c r="W35" s="314">
        <v>214</v>
      </c>
      <c r="X35" s="330"/>
      <c r="Y35" s="323">
        <v>420</v>
      </c>
      <c r="Z35" s="323">
        <v>318.25</v>
      </c>
      <c r="AA35" s="323">
        <v>447.55</v>
      </c>
      <c r="AB35" s="323">
        <v>0</v>
      </c>
      <c r="AC35" s="323">
        <v>90</v>
      </c>
      <c r="AD35" s="323">
        <v>0</v>
      </c>
      <c r="AE35" s="323">
        <v>0</v>
      </c>
      <c r="AF35" s="323">
        <v>359.65</v>
      </c>
      <c r="AG35" s="323">
        <v>320</v>
      </c>
      <c r="AH35" s="314">
        <v>179.25</v>
      </c>
      <c r="AI35" s="314">
        <v>213</v>
      </c>
      <c r="AJ35" s="323">
        <v>821.35</v>
      </c>
      <c r="AK35" s="303">
        <f t="shared" si="2"/>
        <v>18527.3</v>
      </c>
    </row>
    <row r="36" spans="1:37" ht="14.5" x14ac:dyDescent="0.35">
      <c r="A36" s="364" t="s">
        <v>320</v>
      </c>
      <c r="B36" s="305"/>
      <c r="C36" s="305">
        <v>615</v>
      </c>
      <c r="D36" s="305">
        <v>14349.5</v>
      </c>
      <c r="E36" s="305"/>
      <c r="F36" s="305">
        <v>960</v>
      </c>
      <c r="G36" s="305">
        <v>4439</v>
      </c>
      <c r="H36" s="305">
        <v>1074</v>
      </c>
      <c r="I36" s="305">
        <v>4503</v>
      </c>
      <c r="J36" s="334">
        <v>14556</v>
      </c>
      <c r="K36" s="305">
        <v>10381.83</v>
      </c>
      <c r="L36" s="305">
        <v>500</v>
      </c>
      <c r="M36" s="305">
        <v>7300</v>
      </c>
      <c r="N36" s="307">
        <v>0</v>
      </c>
      <c r="O36" s="307">
        <v>618</v>
      </c>
      <c r="P36" s="325">
        <v>0</v>
      </c>
      <c r="Q36" s="307">
        <v>13172</v>
      </c>
      <c r="R36" s="307">
        <v>12320</v>
      </c>
      <c r="S36" s="307">
        <v>0</v>
      </c>
      <c r="T36" s="307">
        <v>1984</v>
      </c>
      <c r="U36" s="307">
        <v>8028</v>
      </c>
      <c r="V36" s="325">
        <v>0</v>
      </c>
      <c r="W36" s="307">
        <v>1952</v>
      </c>
      <c r="X36" s="325"/>
      <c r="Y36" s="325">
        <v>69</v>
      </c>
      <c r="Z36" s="325">
        <v>0</v>
      </c>
      <c r="AA36" s="325">
        <v>0</v>
      </c>
      <c r="AB36" s="325">
        <v>0</v>
      </c>
      <c r="AC36" s="325">
        <v>223</v>
      </c>
      <c r="AD36" s="325">
        <v>0</v>
      </c>
      <c r="AE36" s="325">
        <v>0</v>
      </c>
      <c r="AF36" s="325">
        <v>1061</v>
      </c>
      <c r="AG36" s="325">
        <v>0</v>
      </c>
      <c r="AH36" s="307">
        <v>432</v>
      </c>
      <c r="AI36" s="307">
        <v>200</v>
      </c>
      <c r="AJ36" s="325">
        <v>0</v>
      </c>
      <c r="AK36" s="303">
        <f t="shared" si="2"/>
        <v>98737.33</v>
      </c>
    </row>
    <row r="37" spans="1:37" ht="14.5" x14ac:dyDescent="0.35">
      <c r="A37" s="366" t="s">
        <v>291</v>
      </c>
      <c r="B37" s="314">
        <v>876</v>
      </c>
      <c r="C37" s="323">
        <v>25365</v>
      </c>
      <c r="D37" s="314">
        <v>50</v>
      </c>
      <c r="E37" s="314">
        <v>1812.5</v>
      </c>
      <c r="F37" s="323">
        <v>6625</v>
      </c>
      <c r="G37" s="314">
        <v>1587.75</v>
      </c>
      <c r="H37" s="314">
        <v>45</v>
      </c>
      <c r="I37" s="314">
        <v>180</v>
      </c>
      <c r="J37" s="323">
        <v>151.25</v>
      </c>
      <c r="K37" s="314">
        <v>1511</v>
      </c>
      <c r="L37" s="314">
        <v>0</v>
      </c>
      <c r="M37" s="314">
        <v>1080</v>
      </c>
      <c r="N37" s="314">
        <v>580</v>
      </c>
      <c r="O37" s="314">
        <v>135</v>
      </c>
      <c r="P37" s="314">
        <v>0</v>
      </c>
      <c r="Q37" s="314">
        <v>0</v>
      </c>
      <c r="R37" s="323">
        <v>0</v>
      </c>
      <c r="S37" s="323">
        <v>307</v>
      </c>
      <c r="T37" s="314">
        <v>80</v>
      </c>
      <c r="U37" s="314">
        <v>486</v>
      </c>
      <c r="V37" s="323">
        <v>422</v>
      </c>
      <c r="W37" s="314">
        <v>1758</v>
      </c>
      <c r="X37" s="330"/>
      <c r="Y37" s="323">
        <v>260</v>
      </c>
      <c r="Z37" s="323">
        <v>0</v>
      </c>
      <c r="AA37" s="323">
        <v>695</v>
      </c>
      <c r="AB37" s="323">
        <v>1165</v>
      </c>
      <c r="AC37" s="331">
        <v>102.5</v>
      </c>
      <c r="AD37" s="331">
        <v>3175.5</v>
      </c>
      <c r="AE37" s="331">
        <v>910</v>
      </c>
      <c r="AF37" s="331">
        <v>15551</v>
      </c>
      <c r="AG37" s="331">
        <v>529</v>
      </c>
      <c r="AH37" s="333">
        <v>71</v>
      </c>
      <c r="AI37" s="333">
        <v>5435</v>
      </c>
      <c r="AJ37" s="331">
        <v>935</v>
      </c>
      <c r="AK37" s="303">
        <f t="shared" si="2"/>
        <v>71880.5</v>
      </c>
    </row>
    <row r="38" spans="1:37" ht="14.5" x14ac:dyDescent="0.35">
      <c r="A38" s="364" t="s">
        <v>292</v>
      </c>
      <c r="B38" s="305">
        <v>5807.3</v>
      </c>
      <c r="C38" s="305">
        <v>7743.06</v>
      </c>
      <c r="D38" s="307">
        <v>5807.3</v>
      </c>
      <c r="E38" s="305">
        <v>5807.3</v>
      </c>
      <c r="F38" s="305">
        <v>1935.77</v>
      </c>
      <c r="G38" s="305">
        <v>11614.6</v>
      </c>
      <c r="H38" s="305">
        <v>9678.83</v>
      </c>
      <c r="I38" s="305">
        <v>11614.6</v>
      </c>
      <c r="J38" s="305">
        <v>5807.3</v>
      </c>
      <c r="K38" s="305">
        <v>5807.3</v>
      </c>
      <c r="L38" s="305">
        <v>3871.53</v>
      </c>
      <c r="M38" s="305">
        <v>5807.3</v>
      </c>
      <c r="N38" s="305">
        <v>1935.77</v>
      </c>
      <c r="O38" s="307">
        <v>9678.83</v>
      </c>
      <c r="P38" s="305">
        <v>0</v>
      </c>
      <c r="Q38" s="305">
        <v>5807.3</v>
      </c>
      <c r="R38" s="305">
        <v>3871.53</v>
      </c>
      <c r="S38" s="305">
        <v>3871.53</v>
      </c>
      <c r="T38" s="305">
        <v>5807.3</v>
      </c>
      <c r="U38" s="305">
        <v>7743.06</v>
      </c>
      <c r="V38" s="334">
        <v>1935.77</v>
      </c>
      <c r="W38" s="305">
        <v>7743.06</v>
      </c>
      <c r="X38" s="334"/>
      <c r="Y38" s="334">
        <v>3871.53</v>
      </c>
      <c r="Z38" s="334">
        <v>3871.53</v>
      </c>
      <c r="AA38" s="334">
        <v>5807.3</v>
      </c>
      <c r="AB38" s="334">
        <v>5807.3</v>
      </c>
      <c r="AC38" s="334">
        <v>5807.3</v>
      </c>
      <c r="AD38" s="334">
        <v>3871.53</v>
      </c>
      <c r="AE38" s="334">
        <v>3871.53</v>
      </c>
      <c r="AF38" s="334">
        <v>11614.6</v>
      </c>
      <c r="AG38" s="334">
        <v>5807.3</v>
      </c>
      <c r="AH38" s="305">
        <v>3871.53</v>
      </c>
      <c r="AI38" s="305">
        <v>3871.53</v>
      </c>
      <c r="AJ38" s="334">
        <v>1935.77</v>
      </c>
      <c r="AK38" s="303">
        <f t="shared" si="2"/>
        <v>189705.08999999997</v>
      </c>
    </row>
    <row r="39" spans="1:37" ht="14.5" x14ac:dyDescent="0.35">
      <c r="A39" s="366" t="s">
        <v>321</v>
      </c>
      <c r="B39" s="314">
        <v>859.65</v>
      </c>
      <c r="C39" s="314">
        <v>1146.19</v>
      </c>
      <c r="D39" s="314">
        <v>859.65</v>
      </c>
      <c r="E39" s="314">
        <v>859.65</v>
      </c>
      <c r="F39" s="314">
        <v>286.55</v>
      </c>
      <c r="G39" s="314">
        <v>1719.65</v>
      </c>
      <c r="H39" s="314">
        <v>1432.74</v>
      </c>
      <c r="I39" s="314">
        <v>1719.29</v>
      </c>
      <c r="J39" s="314">
        <v>859.65</v>
      </c>
      <c r="K39" s="314">
        <v>859.65</v>
      </c>
      <c r="L39" s="314">
        <v>573.1</v>
      </c>
      <c r="M39" s="314">
        <v>859.65</v>
      </c>
      <c r="N39" s="314">
        <v>286.55</v>
      </c>
      <c r="O39" s="314">
        <v>1432.74</v>
      </c>
      <c r="P39" s="314">
        <v>0</v>
      </c>
      <c r="Q39" s="314">
        <v>859.65</v>
      </c>
      <c r="R39" s="314">
        <v>573.1</v>
      </c>
      <c r="S39" s="314">
        <v>573.1</v>
      </c>
      <c r="T39" s="314">
        <v>859.65</v>
      </c>
      <c r="U39" s="314">
        <v>1146.19</v>
      </c>
      <c r="V39" s="323">
        <v>286.55</v>
      </c>
      <c r="W39" s="314">
        <v>1146.19</v>
      </c>
      <c r="X39" s="323"/>
      <c r="Y39" s="323">
        <v>573.1</v>
      </c>
      <c r="Z39" s="323">
        <v>573.1</v>
      </c>
      <c r="AA39" s="323">
        <v>859.65</v>
      </c>
      <c r="AB39" s="323">
        <v>859.65</v>
      </c>
      <c r="AC39" s="331">
        <v>589.65</v>
      </c>
      <c r="AD39" s="331">
        <v>573.1</v>
      </c>
      <c r="AE39" s="331">
        <v>573.1</v>
      </c>
      <c r="AF39" s="331">
        <v>1719.29</v>
      </c>
      <c r="AG39" s="331" t="s">
        <v>380</v>
      </c>
      <c r="AH39" s="333">
        <v>573.1</v>
      </c>
      <c r="AI39" s="333">
        <v>573.1</v>
      </c>
      <c r="AJ39" s="331">
        <v>286.55</v>
      </c>
      <c r="AK39" s="303">
        <f t="shared" si="2"/>
        <v>26952.529999999992</v>
      </c>
    </row>
    <row r="40" spans="1:37" ht="14.5" x14ac:dyDescent="0.35">
      <c r="A40" s="364" t="s">
        <v>322</v>
      </c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  <c r="Z40" s="334"/>
      <c r="AA40" s="334"/>
      <c r="AB40" s="334"/>
      <c r="AC40" s="334"/>
      <c r="AD40" s="334"/>
      <c r="AE40" s="334"/>
      <c r="AF40" s="334"/>
      <c r="AG40" s="334"/>
      <c r="AH40" s="334"/>
      <c r="AI40" s="334"/>
      <c r="AJ40" s="334"/>
      <c r="AK40" s="303">
        <f t="shared" si="2"/>
        <v>0</v>
      </c>
    </row>
    <row r="41" spans="1:37" ht="14.5" x14ac:dyDescent="0.35">
      <c r="A41" s="371" t="s">
        <v>323</v>
      </c>
      <c r="B41" s="336">
        <f t="shared" ref="B41:AJ41" si="3">SUM(B9:B40)</f>
        <v>180270.85999999996</v>
      </c>
      <c r="C41" s="336">
        <f t="shared" si="3"/>
        <v>210293.40999999997</v>
      </c>
      <c r="D41" s="336">
        <f t="shared" si="3"/>
        <v>151486.70999999996</v>
      </c>
      <c r="E41" s="336">
        <f t="shared" si="3"/>
        <v>154773.90999999997</v>
      </c>
      <c r="F41" s="336">
        <f t="shared" si="3"/>
        <v>97548.74</v>
      </c>
      <c r="G41" s="336">
        <f t="shared" si="3"/>
        <v>331234.45</v>
      </c>
      <c r="H41" s="336">
        <f t="shared" si="3"/>
        <v>184402.94999999998</v>
      </c>
      <c r="I41" s="336">
        <f t="shared" si="3"/>
        <v>289071.23999999993</v>
      </c>
      <c r="J41" s="336">
        <f t="shared" si="3"/>
        <v>161950.03999999998</v>
      </c>
      <c r="K41" s="336">
        <f t="shared" si="3"/>
        <v>167634.73999999996</v>
      </c>
      <c r="L41" s="336">
        <f t="shared" si="3"/>
        <v>99903.410000000018</v>
      </c>
      <c r="M41" s="336">
        <f t="shared" si="3"/>
        <v>157020.24999999997</v>
      </c>
      <c r="N41" s="336">
        <f t="shared" si="3"/>
        <v>71727.420000000013</v>
      </c>
      <c r="O41" s="336">
        <f t="shared" si="3"/>
        <v>311914.78999999998</v>
      </c>
      <c r="P41" s="336">
        <f t="shared" si="3"/>
        <v>83525.710000000006</v>
      </c>
      <c r="Q41" s="336">
        <f t="shared" si="3"/>
        <v>227158.18999999997</v>
      </c>
      <c r="R41" s="336">
        <f t="shared" si="3"/>
        <v>132250.25999999998</v>
      </c>
      <c r="S41" s="336">
        <f t="shared" si="3"/>
        <v>136610.83000000002</v>
      </c>
      <c r="T41" s="336">
        <f t="shared" si="3"/>
        <v>189659.31999999995</v>
      </c>
      <c r="U41" s="336">
        <f t="shared" si="3"/>
        <v>209121.08</v>
      </c>
      <c r="V41" s="336">
        <f t="shared" si="3"/>
        <v>116265</v>
      </c>
      <c r="W41" s="336">
        <f t="shared" si="3"/>
        <v>203708.17</v>
      </c>
      <c r="X41" s="336">
        <f t="shared" si="3"/>
        <v>0</v>
      </c>
      <c r="Y41" s="336">
        <f t="shared" si="3"/>
        <v>133759.20000000001</v>
      </c>
      <c r="Z41" s="336">
        <f t="shared" si="3"/>
        <v>127769.12999999999</v>
      </c>
      <c r="AA41" s="336">
        <f t="shared" si="3"/>
        <v>146972.94999999998</v>
      </c>
      <c r="AB41" s="336">
        <f t="shared" si="3"/>
        <v>168707.23999999996</v>
      </c>
      <c r="AC41" s="336">
        <f t="shared" si="3"/>
        <v>152577.46999999997</v>
      </c>
      <c r="AD41" s="336">
        <f t="shared" si="3"/>
        <v>132844.42000000001</v>
      </c>
      <c r="AE41" s="336">
        <f t="shared" si="3"/>
        <v>124844.57</v>
      </c>
      <c r="AF41" s="336">
        <f t="shared" si="3"/>
        <v>269683.27999999997</v>
      </c>
      <c r="AG41" s="336">
        <f t="shared" si="3"/>
        <v>107502.84000000001</v>
      </c>
      <c r="AH41" s="336">
        <f t="shared" si="3"/>
        <v>134765.72</v>
      </c>
      <c r="AI41" s="336">
        <f t="shared" si="3"/>
        <v>146817.63</v>
      </c>
      <c r="AJ41" s="336">
        <f t="shared" si="3"/>
        <v>74255.62000000001</v>
      </c>
      <c r="AK41" s="303">
        <f t="shared" si="2"/>
        <v>5588031.5499999989</v>
      </c>
    </row>
    <row r="42" spans="1:37" ht="14.5" x14ac:dyDescent="0.35">
      <c r="A42" s="364" t="s">
        <v>8</v>
      </c>
      <c r="B42" s="305">
        <f t="shared" ref="B42:AJ42" si="4">B5-B6-B41</f>
        <v>46586.390000000043</v>
      </c>
      <c r="C42" s="305">
        <f t="shared" si="4"/>
        <v>105399.12000000005</v>
      </c>
      <c r="D42" s="305">
        <f t="shared" si="4"/>
        <v>-5227.4599999999627</v>
      </c>
      <c r="E42" s="305">
        <f t="shared" si="4"/>
        <v>5329.960000000021</v>
      </c>
      <c r="F42" s="305">
        <f t="shared" si="4"/>
        <v>1158.8099999999831</v>
      </c>
      <c r="G42" s="305">
        <f t="shared" si="4"/>
        <v>164728.38999999996</v>
      </c>
      <c r="H42" s="305">
        <f t="shared" si="4"/>
        <v>87969.129999999976</v>
      </c>
      <c r="I42" s="305">
        <f t="shared" si="4"/>
        <v>171772.47000000003</v>
      </c>
      <c r="J42" s="305">
        <f t="shared" si="4"/>
        <v>4570.7900000000373</v>
      </c>
      <c r="K42" s="305">
        <f t="shared" si="4"/>
        <v>9528.7200000000594</v>
      </c>
      <c r="L42" s="305">
        <f t="shared" si="4"/>
        <v>-4971.7100000000064</v>
      </c>
      <c r="M42" s="305">
        <f t="shared" si="4"/>
        <v>63885.760000000038</v>
      </c>
      <c r="N42" s="305">
        <f t="shared" si="4"/>
        <v>25994.25</v>
      </c>
      <c r="O42" s="305">
        <f t="shared" si="4"/>
        <v>120162.08000000002</v>
      </c>
      <c r="P42" s="305">
        <f t="shared" si="4"/>
        <v>-6818.3800000000192</v>
      </c>
      <c r="Q42" s="305">
        <f t="shared" si="4"/>
        <v>61902.060000000027</v>
      </c>
      <c r="R42" s="305">
        <f t="shared" si="4"/>
        <v>13658.220000000001</v>
      </c>
      <c r="S42" s="305">
        <f t="shared" si="4"/>
        <v>33877.619999999995</v>
      </c>
      <c r="T42" s="305">
        <f t="shared" si="4"/>
        <v>108379.39000000001</v>
      </c>
      <c r="U42" s="305">
        <f t="shared" si="4"/>
        <v>96819.53</v>
      </c>
      <c r="V42" s="305">
        <f t="shared" si="4"/>
        <v>9658.820000000007</v>
      </c>
      <c r="W42" s="305">
        <f t="shared" si="4"/>
        <v>16452.629999999976</v>
      </c>
      <c r="X42" s="305">
        <f t="shared" si="4"/>
        <v>0</v>
      </c>
      <c r="Y42" s="305">
        <f t="shared" si="4"/>
        <v>54876.099999999977</v>
      </c>
      <c r="Z42" s="305">
        <f t="shared" si="4"/>
        <v>19197.12000000001</v>
      </c>
      <c r="AA42" s="305">
        <f t="shared" si="4"/>
        <v>40212.459999999992</v>
      </c>
      <c r="AB42" s="305">
        <f t="shared" si="4"/>
        <v>62491.410000000062</v>
      </c>
      <c r="AC42" s="305">
        <f t="shared" si="4"/>
        <v>27590.150000000023</v>
      </c>
      <c r="AD42" s="305">
        <f t="shared" si="4"/>
        <v>57237.369999999966</v>
      </c>
      <c r="AE42" s="305">
        <f t="shared" si="4"/>
        <v>65085.510000000009</v>
      </c>
      <c r="AF42" s="305">
        <f t="shared" si="4"/>
        <v>187440.15000000008</v>
      </c>
      <c r="AG42" s="305">
        <f t="shared" si="4"/>
        <v>15874.330000000002</v>
      </c>
      <c r="AH42" s="305">
        <f t="shared" si="4"/>
        <v>4353.7200000000012</v>
      </c>
      <c r="AI42" s="305">
        <f t="shared" si="4"/>
        <v>23615.390000000014</v>
      </c>
      <c r="AJ42" s="305">
        <f t="shared" si="4"/>
        <v>10767.259999999995</v>
      </c>
      <c r="AK42" s="303">
        <f t="shared" si="2"/>
        <v>1699557.5600000003</v>
      </c>
    </row>
    <row r="43" spans="1:37" ht="14.5" x14ac:dyDescent="0.35">
      <c r="A43" s="364" t="s">
        <v>325</v>
      </c>
      <c r="B43" s="305">
        <f t="shared" ref="B43:AC43" si="5">B42*20%</f>
        <v>9317.2780000000093</v>
      </c>
      <c r="C43" s="305">
        <f t="shared" si="5"/>
        <v>21079.824000000011</v>
      </c>
      <c r="D43" s="305">
        <f t="shared" si="5"/>
        <v>-1045.4919999999927</v>
      </c>
      <c r="E43" s="305">
        <f t="shared" si="5"/>
        <v>1065.9920000000043</v>
      </c>
      <c r="F43" s="305">
        <f t="shared" si="5"/>
        <v>231.76199999999665</v>
      </c>
      <c r="G43" s="305">
        <f t="shared" si="5"/>
        <v>32945.677999999993</v>
      </c>
      <c r="H43" s="305">
        <f t="shared" si="5"/>
        <v>17593.825999999997</v>
      </c>
      <c r="I43" s="305">
        <f t="shared" si="5"/>
        <v>34354.494000000006</v>
      </c>
      <c r="J43" s="305">
        <f t="shared" si="5"/>
        <v>914.15800000000752</v>
      </c>
      <c r="K43" s="305">
        <f t="shared" si="5"/>
        <v>1905.744000000012</v>
      </c>
      <c r="L43" s="305">
        <f t="shared" si="5"/>
        <v>-994.34200000000135</v>
      </c>
      <c r="M43" s="305">
        <f t="shared" si="5"/>
        <v>12777.152000000009</v>
      </c>
      <c r="N43" s="305">
        <f t="shared" si="5"/>
        <v>5198.8500000000004</v>
      </c>
      <c r="O43" s="305">
        <f t="shared" si="5"/>
        <v>24032.416000000005</v>
      </c>
      <c r="P43" s="305">
        <f t="shared" si="5"/>
        <v>-1363.676000000004</v>
      </c>
      <c r="Q43" s="305">
        <f t="shared" si="5"/>
        <v>12380.412000000006</v>
      </c>
      <c r="R43" s="305">
        <f t="shared" si="5"/>
        <v>2731.6440000000002</v>
      </c>
      <c r="S43" s="305">
        <f t="shared" si="5"/>
        <v>6775.5239999999994</v>
      </c>
      <c r="T43" s="305">
        <f t="shared" si="5"/>
        <v>21675.878000000004</v>
      </c>
      <c r="U43" s="305">
        <f t="shared" si="5"/>
        <v>19363.905999999999</v>
      </c>
      <c r="V43" s="305">
        <f t="shared" si="5"/>
        <v>1931.7640000000015</v>
      </c>
      <c r="W43" s="305">
        <f t="shared" si="5"/>
        <v>3290.5259999999953</v>
      </c>
      <c r="X43" s="305">
        <f t="shared" si="5"/>
        <v>0</v>
      </c>
      <c r="Y43" s="305">
        <f t="shared" si="5"/>
        <v>10975.219999999996</v>
      </c>
      <c r="Z43" s="305">
        <f t="shared" si="5"/>
        <v>3839.4240000000023</v>
      </c>
      <c r="AA43" s="305">
        <f t="shared" si="5"/>
        <v>8042.4919999999984</v>
      </c>
      <c r="AB43" s="305">
        <f t="shared" si="5"/>
        <v>12498.282000000014</v>
      </c>
      <c r="AC43" s="305">
        <f t="shared" si="5"/>
        <v>5518.0300000000052</v>
      </c>
      <c r="AD43" s="305">
        <f t="shared" ref="AD43:AE43" si="6">AD6-AD7-AD42</f>
        <v>131314.05000000008</v>
      </c>
      <c r="AE43" s="305">
        <f t="shared" si="6"/>
        <v>127943.32999999996</v>
      </c>
      <c r="AF43" s="305">
        <f t="shared" ref="AF43:AJ43" si="7">AF42*20%</f>
        <v>37488.030000000021</v>
      </c>
      <c r="AG43" s="305">
        <f t="shared" si="7"/>
        <v>3174.8660000000004</v>
      </c>
      <c r="AH43" s="305">
        <f t="shared" si="7"/>
        <v>870.74400000000026</v>
      </c>
      <c r="AI43" s="305">
        <f t="shared" si="7"/>
        <v>4723.0780000000032</v>
      </c>
      <c r="AJ43" s="305">
        <f t="shared" si="7"/>
        <v>2153.4519999999989</v>
      </c>
      <c r="AK43" s="303">
        <f t="shared" si="2"/>
        <v>574704.31600000011</v>
      </c>
    </row>
    <row r="44" spans="1:37" ht="14.5" x14ac:dyDescent="0.35">
      <c r="A44" s="364" t="s">
        <v>81</v>
      </c>
      <c r="B44" s="305">
        <f t="shared" ref="B44:AC44" si="8">B42*80%</f>
        <v>37269.112000000037</v>
      </c>
      <c r="C44" s="305">
        <f t="shared" si="8"/>
        <v>84319.296000000046</v>
      </c>
      <c r="D44" s="305">
        <f t="shared" si="8"/>
        <v>-4181.9679999999707</v>
      </c>
      <c r="E44" s="305">
        <f t="shared" si="8"/>
        <v>4263.9680000000171</v>
      </c>
      <c r="F44" s="305">
        <f t="shared" si="8"/>
        <v>927.04799999998659</v>
      </c>
      <c r="G44" s="305">
        <f t="shared" si="8"/>
        <v>131782.71199999997</v>
      </c>
      <c r="H44" s="305">
        <f t="shared" si="8"/>
        <v>70375.303999999989</v>
      </c>
      <c r="I44" s="305">
        <f t="shared" si="8"/>
        <v>137417.97600000002</v>
      </c>
      <c r="J44" s="305">
        <f t="shared" si="8"/>
        <v>3656.6320000000301</v>
      </c>
      <c r="K44" s="305">
        <f t="shared" si="8"/>
        <v>7622.9760000000479</v>
      </c>
      <c r="L44" s="305">
        <f t="shared" si="8"/>
        <v>-3977.3680000000054</v>
      </c>
      <c r="M44" s="305">
        <f t="shared" si="8"/>
        <v>51108.608000000037</v>
      </c>
      <c r="N44" s="305">
        <f t="shared" si="8"/>
        <v>20795.400000000001</v>
      </c>
      <c r="O44" s="305">
        <f t="shared" si="8"/>
        <v>96129.664000000019</v>
      </c>
      <c r="P44" s="305">
        <f t="shared" si="8"/>
        <v>-5454.7040000000161</v>
      </c>
      <c r="Q44" s="305">
        <f t="shared" si="8"/>
        <v>49521.648000000023</v>
      </c>
      <c r="R44" s="305">
        <f t="shared" si="8"/>
        <v>10926.576000000001</v>
      </c>
      <c r="S44" s="305">
        <f t="shared" si="8"/>
        <v>27102.095999999998</v>
      </c>
      <c r="T44" s="305">
        <f t="shared" si="8"/>
        <v>86703.512000000017</v>
      </c>
      <c r="U44" s="305">
        <f t="shared" si="8"/>
        <v>77455.623999999996</v>
      </c>
      <c r="V44" s="305">
        <f t="shared" si="8"/>
        <v>7727.056000000006</v>
      </c>
      <c r="W44" s="305">
        <f t="shared" si="8"/>
        <v>13162.103999999981</v>
      </c>
      <c r="X44" s="305">
        <f t="shared" si="8"/>
        <v>0</v>
      </c>
      <c r="Y44" s="305">
        <f t="shared" si="8"/>
        <v>43900.879999999983</v>
      </c>
      <c r="Z44" s="305">
        <f t="shared" si="8"/>
        <v>15357.696000000009</v>
      </c>
      <c r="AA44" s="305">
        <f t="shared" si="8"/>
        <v>32169.967999999993</v>
      </c>
      <c r="AB44" s="305">
        <f t="shared" si="8"/>
        <v>49993.128000000055</v>
      </c>
      <c r="AC44" s="305">
        <f t="shared" si="8"/>
        <v>22072.120000000021</v>
      </c>
      <c r="AD44" s="305">
        <f t="shared" ref="AD44:AE44" si="9">AD7-AD8-AD43</f>
        <v>58767.739999999903</v>
      </c>
      <c r="AE44" s="305">
        <f t="shared" si="9"/>
        <v>61986.750000000058</v>
      </c>
      <c r="AF44" s="305">
        <f t="shared" ref="AF44:AJ44" si="10">AF42*80%</f>
        <v>149952.12000000008</v>
      </c>
      <c r="AG44" s="305">
        <f t="shared" si="10"/>
        <v>12699.464000000002</v>
      </c>
      <c r="AH44" s="305">
        <f t="shared" si="10"/>
        <v>3482.976000000001</v>
      </c>
      <c r="AI44" s="305">
        <f t="shared" si="10"/>
        <v>18892.312000000013</v>
      </c>
      <c r="AJ44" s="305">
        <f t="shared" si="10"/>
        <v>8613.8079999999954</v>
      </c>
      <c r="AK44" s="303">
        <f t="shared" si="2"/>
        <v>1382542.2340000002</v>
      </c>
    </row>
    <row r="45" spans="1:37" ht="14.5" x14ac:dyDescent="0.35">
      <c r="A45" s="362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  <c r="Z45" s="334"/>
      <c r="AA45" s="334"/>
      <c r="AB45" s="334"/>
      <c r="AC45" s="334"/>
      <c r="AD45" s="334"/>
      <c r="AE45" s="334"/>
      <c r="AF45" s="334"/>
      <c r="AG45" s="334"/>
      <c r="AH45" s="334"/>
      <c r="AI45" s="334"/>
      <c r="AJ45" s="334"/>
      <c r="AK45" s="350"/>
    </row>
    <row r="46" spans="1:37" ht="11.25" customHeight="1" x14ac:dyDescent="0.35">
      <c r="A46" s="358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</row>
    <row r="47" spans="1:37" ht="14.5" x14ac:dyDescent="0.35">
      <c r="A47" s="358"/>
      <c r="B47" s="291"/>
      <c r="C47" s="289"/>
      <c r="D47" s="289"/>
      <c r="E47" s="291" t="s">
        <v>327</v>
      </c>
      <c r="F47" s="289"/>
      <c r="G47" s="289"/>
      <c r="H47" s="291" t="s">
        <v>328</v>
      </c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</row>
    <row r="48" spans="1:37" ht="14.5" x14ac:dyDescent="0.35">
      <c r="A48" s="358"/>
      <c r="B48" s="338" t="s">
        <v>329</v>
      </c>
      <c r="C48" s="289"/>
      <c r="D48" s="289"/>
      <c r="E48" s="338" t="s">
        <v>330</v>
      </c>
      <c r="F48" s="289"/>
      <c r="G48" s="289"/>
      <c r="H48" s="338" t="s">
        <v>331</v>
      </c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</row>
    <row r="49" spans="1:37" ht="14.5" x14ac:dyDescent="0.35">
      <c r="A49" s="358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33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</row>
    <row r="50" spans="1:37" ht="14.5" x14ac:dyDescent="0.35">
      <c r="A50" s="358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</row>
    <row r="51" spans="1:37" ht="14.5" x14ac:dyDescent="0.35">
      <c r="A51" s="358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</row>
    <row r="52" spans="1:37" ht="14.5" x14ac:dyDescent="0.35">
      <c r="A52" s="372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</row>
    <row r="53" spans="1:37" ht="14.5" x14ac:dyDescent="0.35">
      <c r="A53" s="373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</row>
    <row r="54" spans="1:37" ht="14.5" x14ac:dyDescent="0.35">
      <c r="A54" s="373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</row>
    <row r="55" spans="1:37" ht="14.5" x14ac:dyDescent="0.35">
      <c r="A55" s="373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</row>
    <row r="56" spans="1:37" ht="14.5" x14ac:dyDescent="0.35">
      <c r="A56" s="373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</row>
    <row r="57" spans="1:37" ht="14.5" x14ac:dyDescent="0.35">
      <c r="A57" s="373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</row>
    <row r="58" spans="1:37" ht="14.5" x14ac:dyDescent="0.35">
      <c r="A58" s="373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</row>
    <row r="59" spans="1:37" ht="14.5" x14ac:dyDescent="0.35">
      <c r="A59" s="373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</row>
    <row r="60" spans="1:37" ht="14.5" x14ac:dyDescent="0.35">
      <c r="A60" s="373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</row>
    <row r="61" spans="1:37" ht="14.5" x14ac:dyDescent="0.35">
      <c r="A61" s="373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</row>
    <row r="62" spans="1:37" ht="14.5" x14ac:dyDescent="0.35">
      <c r="A62" s="373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</row>
    <row r="63" spans="1:37" ht="14.5" x14ac:dyDescent="0.35">
      <c r="A63" s="373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</row>
    <row r="64" spans="1:37" ht="14.5" x14ac:dyDescent="0.35">
      <c r="A64" s="373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</row>
    <row r="65" spans="1:37" ht="14.5" x14ac:dyDescent="0.35">
      <c r="A65" s="373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</row>
    <row r="66" spans="1:37" ht="14.5" x14ac:dyDescent="0.35">
      <c r="A66" s="373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</row>
    <row r="67" spans="1:37" ht="14.5" x14ac:dyDescent="0.35">
      <c r="A67" s="373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</row>
    <row r="68" spans="1:37" ht="14.5" x14ac:dyDescent="0.35">
      <c r="A68" s="373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</row>
    <row r="69" spans="1:37" ht="14.5" x14ac:dyDescent="0.35">
      <c r="A69" s="373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</row>
    <row r="70" spans="1:37" ht="14.5" x14ac:dyDescent="0.35">
      <c r="A70" s="373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</row>
    <row r="71" spans="1:37" ht="14.5" x14ac:dyDescent="0.35">
      <c r="A71" s="373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</row>
    <row r="72" spans="1:37" ht="14.5" x14ac:dyDescent="0.35">
      <c r="A72" s="373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</row>
    <row r="73" spans="1:37" ht="14.5" x14ac:dyDescent="0.35">
      <c r="A73" s="373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</row>
    <row r="74" spans="1:37" ht="14.5" x14ac:dyDescent="0.35">
      <c r="A74" s="373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</row>
    <row r="75" spans="1:37" ht="14.5" x14ac:dyDescent="0.35">
      <c r="A75" s="373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</row>
    <row r="76" spans="1:37" ht="14.5" x14ac:dyDescent="0.35">
      <c r="A76" s="373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</row>
    <row r="77" spans="1:37" ht="14.5" x14ac:dyDescent="0.35">
      <c r="A77" s="373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</row>
    <row r="78" spans="1:37" ht="14.5" x14ac:dyDescent="0.35">
      <c r="A78" s="374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141"/>
      <c r="AG78" s="141"/>
      <c r="AH78" s="141"/>
      <c r="AI78" s="141"/>
      <c r="AJ78" s="141"/>
      <c r="AK78" s="141"/>
    </row>
    <row r="79" spans="1:37" ht="14.5" x14ac:dyDescent="0.35">
      <c r="A79" s="375"/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141"/>
      <c r="AG79" s="141"/>
      <c r="AH79" s="141"/>
      <c r="AI79" s="141"/>
      <c r="AJ79" s="141"/>
      <c r="AK79" s="141"/>
    </row>
    <row r="80" spans="1:37" ht="14.5" x14ac:dyDescent="0.35">
      <c r="A80" s="375"/>
      <c r="B80" s="343"/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141"/>
      <c r="AG80" s="141"/>
      <c r="AH80" s="141"/>
      <c r="AI80" s="141"/>
      <c r="AJ80" s="141"/>
      <c r="AK80" s="141"/>
    </row>
    <row r="81" spans="1:37" ht="14.5" x14ac:dyDescent="0.35">
      <c r="A81" s="375"/>
      <c r="B81" s="343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141"/>
      <c r="AG81" s="141"/>
      <c r="AH81" s="141"/>
      <c r="AI81" s="141"/>
      <c r="AJ81" s="141"/>
      <c r="AK81" s="141"/>
    </row>
    <row r="82" spans="1:37" ht="14.5" x14ac:dyDescent="0.35">
      <c r="A82" s="375"/>
      <c r="B82" s="343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141"/>
      <c r="AG82" s="141"/>
      <c r="AH82" s="141"/>
      <c r="AI82" s="141"/>
      <c r="AJ82" s="141"/>
      <c r="AK82" s="141"/>
    </row>
    <row r="83" spans="1:37" ht="14.5" x14ac:dyDescent="0.35">
      <c r="A83" s="375"/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141"/>
      <c r="AG83" s="141"/>
      <c r="AH83" s="141"/>
      <c r="AI83" s="141"/>
      <c r="AJ83" s="141"/>
      <c r="AK83" s="141"/>
    </row>
    <row r="84" spans="1:37" ht="14.5" x14ac:dyDescent="0.35">
      <c r="A84" s="375"/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141"/>
      <c r="AG84" s="141"/>
      <c r="AH84" s="141"/>
      <c r="AI84" s="141"/>
      <c r="AJ84" s="141"/>
      <c r="AK84" s="141"/>
    </row>
    <row r="85" spans="1:37" ht="14.5" x14ac:dyDescent="0.35">
      <c r="A85" s="375"/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141"/>
      <c r="AG85" s="141"/>
      <c r="AH85" s="141"/>
      <c r="AI85" s="141"/>
      <c r="AJ85" s="141"/>
      <c r="AK85" s="141"/>
    </row>
    <row r="86" spans="1:37" ht="14.5" x14ac:dyDescent="0.35">
      <c r="A86" s="375"/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141"/>
      <c r="AG86" s="141"/>
      <c r="AH86" s="141"/>
      <c r="AI86" s="141"/>
      <c r="AJ86" s="141"/>
      <c r="AK86" s="141"/>
    </row>
    <row r="87" spans="1:37" ht="14.5" x14ac:dyDescent="0.35">
      <c r="A87" s="375"/>
      <c r="B87" s="343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141"/>
      <c r="AG87" s="141"/>
      <c r="AH87" s="141"/>
      <c r="AI87" s="141"/>
      <c r="AJ87" s="141"/>
      <c r="AK87" s="141"/>
    </row>
    <row r="88" spans="1:37" ht="14.5" x14ac:dyDescent="0.35">
      <c r="A88" s="375"/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141"/>
      <c r="AG88" s="141"/>
      <c r="AH88" s="141"/>
      <c r="AI88" s="141"/>
      <c r="AJ88" s="141"/>
      <c r="AK88" s="141"/>
    </row>
    <row r="89" spans="1:37" ht="14.5" x14ac:dyDescent="0.35">
      <c r="A89" s="375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141"/>
      <c r="AG89" s="141"/>
      <c r="AH89" s="141"/>
      <c r="AI89" s="141"/>
      <c r="AJ89" s="141"/>
      <c r="AK89" s="141"/>
    </row>
    <row r="90" spans="1:37" ht="14.5" x14ac:dyDescent="0.35">
      <c r="A90" s="375"/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141"/>
      <c r="AG90" s="141"/>
      <c r="AH90" s="141"/>
      <c r="AI90" s="141"/>
      <c r="AJ90" s="141"/>
      <c r="AK90" s="141"/>
    </row>
    <row r="91" spans="1:37" ht="14.5" x14ac:dyDescent="0.35">
      <c r="A91" s="375"/>
      <c r="B91" s="343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141"/>
      <c r="AG91" s="141"/>
      <c r="AH91" s="141"/>
      <c r="AI91" s="141"/>
      <c r="AJ91" s="141"/>
      <c r="AK91" s="141"/>
    </row>
    <row r="92" spans="1:37" ht="14.5" x14ac:dyDescent="0.35">
      <c r="A92" s="375"/>
      <c r="B92" s="343"/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  <c r="AC92" s="343"/>
      <c r="AD92" s="343"/>
      <c r="AE92" s="343"/>
      <c r="AF92" s="141"/>
      <c r="AG92" s="141"/>
      <c r="AH92" s="141"/>
      <c r="AI92" s="141"/>
      <c r="AJ92" s="141"/>
      <c r="AK92" s="141"/>
    </row>
    <row r="93" spans="1:37" ht="14.5" x14ac:dyDescent="0.35">
      <c r="A93" s="375"/>
      <c r="B93" s="343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141"/>
      <c r="AG93" s="141"/>
      <c r="AH93" s="141"/>
      <c r="AI93" s="141"/>
      <c r="AJ93" s="141"/>
      <c r="AK93" s="141"/>
    </row>
    <row r="94" spans="1:37" ht="14.5" x14ac:dyDescent="0.35">
      <c r="A94" s="375"/>
      <c r="B94" s="343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141"/>
      <c r="AG94" s="141"/>
      <c r="AH94" s="141"/>
      <c r="AI94" s="141"/>
      <c r="AJ94" s="141"/>
      <c r="AK94" s="141"/>
    </row>
    <row r="95" spans="1:37" ht="14.5" x14ac:dyDescent="0.35">
      <c r="A95" s="375"/>
      <c r="B95" s="343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141"/>
      <c r="AG95" s="141"/>
      <c r="AH95" s="141"/>
      <c r="AI95" s="141"/>
      <c r="AJ95" s="141"/>
      <c r="AK95" s="141"/>
    </row>
    <row r="96" spans="1:37" ht="14.5" x14ac:dyDescent="0.35">
      <c r="A96" s="375"/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141"/>
      <c r="AG96" s="141"/>
      <c r="AH96" s="141"/>
      <c r="AI96" s="141"/>
      <c r="AJ96" s="141"/>
      <c r="AK96" s="141"/>
    </row>
    <row r="97" spans="1:37" ht="14.5" x14ac:dyDescent="0.35">
      <c r="A97" s="375"/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141"/>
      <c r="AG97" s="141"/>
      <c r="AH97" s="141"/>
      <c r="AI97" s="141"/>
      <c r="AJ97" s="141"/>
      <c r="AK97" s="141"/>
    </row>
    <row r="98" spans="1:37" ht="14.5" x14ac:dyDescent="0.35">
      <c r="A98" s="375"/>
      <c r="B98" s="343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141"/>
      <c r="AG98" s="141"/>
      <c r="AH98" s="141"/>
      <c r="AI98" s="141"/>
      <c r="AJ98" s="141"/>
      <c r="AK98" s="141"/>
    </row>
    <row r="99" spans="1:37" ht="14.5" x14ac:dyDescent="0.35">
      <c r="A99" s="375"/>
      <c r="B99" s="343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141"/>
      <c r="AG99" s="141"/>
      <c r="AH99" s="141"/>
      <c r="AI99" s="141"/>
      <c r="AJ99" s="141"/>
      <c r="AK99" s="141"/>
    </row>
    <row r="100" spans="1:37" ht="14.5" x14ac:dyDescent="0.35">
      <c r="A100" s="375"/>
      <c r="B100" s="343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141"/>
      <c r="AG100" s="141"/>
      <c r="AH100" s="141"/>
      <c r="AI100" s="141"/>
      <c r="AJ100" s="141"/>
      <c r="AK100" s="141"/>
    </row>
    <row r="101" spans="1:37" ht="14.5" x14ac:dyDescent="0.35">
      <c r="A101" s="375"/>
      <c r="B101" s="343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141"/>
      <c r="AG101" s="141"/>
      <c r="AH101" s="141"/>
      <c r="AI101" s="141"/>
      <c r="AJ101" s="141"/>
      <c r="AK101" s="141"/>
    </row>
    <row r="102" spans="1:37" ht="14.5" x14ac:dyDescent="0.35">
      <c r="A102" s="375"/>
      <c r="B102" s="343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141"/>
      <c r="AG102" s="141"/>
      <c r="AH102" s="141"/>
      <c r="AI102" s="141"/>
      <c r="AJ102" s="141"/>
      <c r="AK102" s="141"/>
    </row>
    <row r="103" spans="1:37" ht="14.5" x14ac:dyDescent="0.35">
      <c r="A103" s="375"/>
      <c r="B103" s="343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141"/>
      <c r="AG103" s="141"/>
      <c r="AH103" s="141"/>
      <c r="AI103" s="141"/>
      <c r="AJ103" s="141"/>
      <c r="AK103" s="141"/>
    </row>
    <row r="104" spans="1:37" ht="14.5" x14ac:dyDescent="0.35">
      <c r="A104" s="375"/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141"/>
      <c r="AG104" s="141"/>
      <c r="AH104" s="141"/>
      <c r="AI104" s="141"/>
      <c r="AJ104" s="141"/>
      <c r="AK104" s="141"/>
    </row>
    <row r="105" spans="1:37" ht="14.5" x14ac:dyDescent="0.35">
      <c r="A105" s="375"/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141"/>
      <c r="AG105" s="141"/>
      <c r="AH105" s="141"/>
      <c r="AI105" s="141"/>
      <c r="AJ105" s="141"/>
      <c r="AK105" s="141"/>
    </row>
    <row r="106" spans="1:37" ht="14.5" x14ac:dyDescent="0.35">
      <c r="A106" s="375"/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141"/>
      <c r="AG106" s="141"/>
      <c r="AH106" s="141"/>
      <c r="AI106" s="141"/>
      <c r="AJ106" s="141"/>
      <c r="AK106" s="141"/>
    </row>
    <row r="107" spans="1:37" ht="14.5" x14ac:dyDescent="0.35">
      <c r="A107" s="375"/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141"/>
      <c r="AG107" s="141"/>
      <c r="AH107" s="141"/>
      <c r="AI107" s="141"/>
      <c r="AJ107" s="141"/>
      <c r="AK107" s="141"/>
    </row>
    <row r="108" spans="1:37" ht="14.5" x14ac:dyDescent="0.35">
      <c r="A108" s="375"/>
      <c r="B108" s="343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141"/>
      <c r="AG108" s="141"/>
      <c r="AH108" s="141"/>
      <c r="AI108" s="141"/>
      <c r="AJ108" s="141"/>
      <c r="AK108" s="141"/>
    </row>
    <row r="109" spans="1:37" ht="14.5" x14ac:dyDescent="0.35">
      <c r="A109" s="375"/>
      <c r="B109" s="343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141"/>
      <c r="AG109" s="141"/>
      <c r="AH109" s="141"/>
      <c r="AI109" s="141"/>
      <c r="AJ109" s="141"/>
      <c r="AK109" s="141"/>
    </row>
    <row r="110" spans="1:37" ht="14.5" x14ac:dyDescent="0.35">
      <c r="A110" s="375"/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  <c r="AB110" s="343"/>
      <c r="AC110" s="343"/>
      <c r="AD110" s="343"/>
      <c r="AE110" s="343"/>
      <c r="AF110" s="141"/>
      <c r="AG110" s="141"/>
      <c r="AH110" s="141"/>
      <c r="AI110" s="141"/>
      <c r="AJ110" s="141"/>
      <c r="AK110" s="141"/>
    </row>
    <row r="111" spans="1:37" ht="14.5" x14ac:dyDescent="0.35">
      <c r="A111" s="375"/>
      <c r="B111" s="343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343"/>
      <c r="AE111" s="343"/>
      <c r="AF111" s="141"/>
      <c r="AG111" s="141"/>
      <c r="AH111" s="141"/>
      <c r="AI111" s="141"/>
      <c r="AJ111" s="141"/>
      <c r="AK111" s="141"/>
    </row>
    <row r="112" spans="1:37" ht="14.5" x14ac:dyDescent="0.35">
      <c r="A112" s="375"/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  <c r="AB112" s="343"/>
      <c r="AC112" s="343"/>
      <c r="AD112" s="343"/>
      <c r="AE112" s="343"/>
      <c r="AF112" s="141"/>
      <c r="AG112" s="141"/>
      <c r="AH112" s="141"/>
      <c r="AI112" s="141"/>
      <c r="AJ112" s="141"/>
      <c r="AK112" s="141"/>
    </row>
    <row r="113" spans="1:37" ht="14.5" x14ac:dyDescent="0.35">
      <c r="A113" s="375"/>
      <c r="B113" s="343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  <c r="AB113" s="343"/>
      <c r="AC113" s="343"/>
      <c r="AD113" s="343"/>
      <c r="AE113" s="343"/>
      <c r="AF113" s="141"/>
      <c r="AG113" s="141"/>
      <c r="AH113" s="141"/>
      <c r="AI113" s="141"/>
      <c r="AJ113" s="141"/>
      <c r="AK113" s="141"/>
    </row>
    <row r="114" spans="1:37" ht="14.5" x14ac:dyDescent="0.35">
      <c r="A114" s="375"/>
      <c r="B114" s="343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141"/>
      <c r="AG114" s="141"/>
      <c r="AH114" s="141"/>
      <c r="AI114" s="141"/>
      <c r="AJ114" s="141"/>
      <c r="AK114" s="141"/>
    </row>
    <row r="115" spans="1:37" ht="14.5" x14ac:dyDescent="0.35">
      <c r="A115" s="375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141"/>
      <c r="AG115" s="141"/>
      <c r="AH115" s="141"/>
      <c r="AI115" s="141"/>
      <c r="AJ115" s="141"/>
      <c r="AK115" s="141"/>
    </row>
    <row r="116" spans="1:37" ht="14.5" x14ac:dyDescent="0.35">
      <c r="A116" s="375"/>
      <c r="B116" s="343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141"/>
      <c r="AG116" s="141"/>
      <c r="AH116" s="141"/>
      <c r="AI116" s="141"/>
      <c r="AJ116" s="141"/>
      <c r="AK116" s="141"/>
    </row>
    <row r="117" spans="1:37" ht="14.5" x14ac:dyDescent="0.35">
      <c r="A117" s="375"/>
      <c r="B117" s="343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141"/>
      <c r="AG117" s="141"/>
      <c r="AH117" s="141"/>
      <c r="AI117" s="141"/>
      <c r="AJ117" s="141"/>
      <c r="AK117" s="141"/>
    </row>
    <row r="118" spans="1:37" ht="14.5" x14ac:dyDescent="0.35">
      <c r="A118" s="375"/>
      <c r="B118" s="343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141"/>
      <c r="AG118" s="141"/>
      <c r="AH118" s="141"/>
      <c r="AI118" s="141"/>
      <c r="AJ118" s="141"/>
      <c r="AK118" s="141"/>
    </row>
    <row r="119" spans="1:37" ht="14.5" x14ac:dyDescent="0.35">
      <c r="A119" s="375"/>
      <c r="B119" s="343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141"/>
      <c r="AG119" s="141"/>
      <c r="AH119" s="141"/>
      <c r="AI119" s="141"/>
      <c r="AJ119" s="141"/>
      <c r="AK119" s="141"/>
    </row>
    <row r="120" spans="1:37" ht="14.5" x14ac:dyDescent="0.35">
      <c r="A120" s="375"/>
      <c r="B120" s="343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141"/>
      <c r="AG120" s="141"/>
      <c r="AH120" s="141"/>
      <c r="AI120" s="141"/>
      <c r="AJ120" s="141"/>
      <c r="AK120" s="141"/>
    </row>
    <row r="121" spans="1:37" ht="14.5" x14ac:dyDescent="0.35">
      <c r="A121" s="375"/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141"/>
      <c r="AG121" s="141"/>
      <c r="AH121" s="141"/>
      <c r="AI121" s="141"/>
      <c r="AJ121" s="141"/>
      <c r="AK121" s="141"/>
    </row>
    <row r="122" spans="1:37" ht="14.5" x14ac:dyDescent="0.35">
      <c r="A122" s="375"/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141"/>
      <c r="AG122" s="141"/>
      <c r="AH122" s="141"/>
      <c r="AI122" s="141"/>
      <c r="AJ122" s="141"/>
      <c r="AK122" s="141"/>
    </row>
    <row r="123" spans="1:37" ht="14.5" x14ac:dyDescent="0.35">
      <c r="A123" s="375"/>
      <c r="B123" s="343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141"/>
      <c r="AG123" s="141"/>
      <c r="AH123" s="141"/>
      <c r="AI123" s="141"/>
      <c r="AJ123" s="141"/>
      <c r="AK123" s="141"/>
    </row>
    <row r="124" spans="1:37" ht="14.5" x14ac:dyDescent="0.35">
      <c r="A124" s="375"/>
      <c r="B124" s="343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141"/>
      <c r="AG124" s="141"/>
      <c r="AH124" s="141"/>
      <c r="AI124" s="141"/>
      <c r="AJ124" s="141"/>
      <c r="AK124" s="141"/>
    </row>
    <row r="125" spans="1:37" ht="14.5" x14ac:dyDescent="0.35">
      <c r="A125" s="375"/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141"/>
      <c r="AG125" s="141"/>
      <c r="AH125" s="141"/>
      <c r="AI125" s="141"/>
      <c r="AJ125" s="141"/>
      <c r="AK125" s="141"/>
    </row>
    <row r="126" spans="1:37" ht="14.5" x14ac:dyDescent="0.35">
      <c r="A126" s="375"/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141"/>
      <c r="AG126" s="141"/>
      <c r="AH126" s="141"/>
      <c r="AI126" s="141"/>
      <c r="AJ126" s="141"/>
      <c r="AK126" s="141"/>
    </row>
    <row r="127" spans="1:37" ht="14.5" x14ac:dyDescent="0.35">
      <c r="A127" s="375"/>
      <c r="B127" s="343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141"/>
      <c r="AG127" s="141"/>
      <c r="AH127" s="141"/>
      <c r="AI127" s="141"/>
      <c r="AJ127" s="141"/>
      <c r="AK127" s="141"/>
    </row>
    <row r="128" spans="1:37" ht="14.5" x14ac:dyDescent="0.35">
      <c r="A128" s="375"/>
      <c r="B128" s="343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141"/>
      <c r="AG128" s="141"/>
      <c r="AH128" s="141"/>
      <c r="AI128" s="141"/>
      <c r="AJ128" s="141"/>
      <c r="AK128" s="141"/>
    </row>
    <row r="129" spans="1:37" ht="14.5" x14ac:dyDescent="0.35">
      <c r="A129" s="375"/>
      <c r="B129" s="343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141"/>
      <c r="AG129" s="141"/>
      <c r="AH129" s="141"/>
      <c r="AI129" s="141"/>
      <c r="AJ129" s="141"/>
      <c r="AK129" s="141"/>
    </row>
    <row r="130" spans="1:37" ht="14.5" x14ac:dyDescent="0.35">
      <c r="A130" s="375"/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141"/>
      <c r="AG130" s="141"/>
      <c r="AH130" s="141"/>
      <c r="AI130" s="141"/>
      <c r="AJ130" s="141"/>
      <c r="AK130" s="141"/>
    </row>
    <row r="131" spans="1:37" ht="14.5" x14ac:dyDescent="0.35">
      <c r="A131" s="375"/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141"/>
      <c r="AG131" s="141"/>
      <c r="AH131" s="141"/>
      <c r="AI131" s="141"/>
      <c r="AJ131" s="141"/>
      <c r="AK131" s="141"/>
    </row>
    <row r="132" spans="1:37" ht="14.5" x14ac:dyDescent="0.35">
      <c r="A132" s="375"/>
      <c r="B132" s="343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141"/>
      <c r="AG132" s="141"/>
      <c r="AH132" s="141"/>
      <c r="AI132" s="141"/>
      <c r="AJ132" s="141"/>
      <c r="AK132" s="141"/>
    </row>
    <row r="133" spans="1:37" ht="14.5" x14ac:dyDescent="0.35">
      <c r="A133" s="375"/>
      <c r="B133" s="343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141"/>
      <c r="AG133" s="141"/>
      <c r="AH133" s="141"/>
      <c r="AI133" s="141"/>
      <c r="AJ133" s="141"/>
      <c r="AK133" s="141"/>
    </row>
    <row r="134" spans="1:37" ht="14.5" x14ac:dyDescent="0.35">
      <c r="A134" s="375"/>
      <c r="B134" s="343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141"/>
      <c r="AG134" s="141"/>
      <c r="AH134" s="141"/>
      <c r="AI134" s="141"/>
      <c r="AJ134" s="141"/>
      <c r="AK134" s="141"/>
    </row>
    <row r="135" spans="1:37" ht="14.5" x14ac:dyDescent="0.35">
      <c r="A135" s="375"/>
      <c r="B135" s="343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141"/>
      <c r="AG135" s="141"/>
      <c r="AH135" s="141"/>
      <c r="AI135" s="141"/>
      <c r="AJ135" s="141"/>
      <c r="AK135" s="141"/>
    </row>
    <row r="136" spans="1:37" ht="14.5" x14ac:dyDescent="0.35">
      <c r="A136" s="375"/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141"/>
      <c r="AG136" s="141"/>
      <c r="AH136" s="141"/>
      <c r="AI136" s="141"/>
      <c r="AJ136" s="141"/>
      <c r="AK136" s="141"/>
    </row>
    <row r="137" spans="1:37" ht="14.5" x14ac:dyDescent="0.35">
      <c r="A137" s="375"/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141"/>
      <c r="AG137" s="141"/>
      <c r="AH137" s="141"/>
      <c r="AI137" s="141"/>
      <c r="AJ137" s="141"/>
      <c r="AK137" s="141"/>
    </row>
    <row r="138" spans="1:37" ht="14.5" x14ac:dyDescent="0.35">
      <c r="A138" s="375"/>
      <c r="B138" s="343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141"/>
      <c r="AG138" s="141"/>
      <c r="AH138" s="141"/>
      <c r="AI138" s="141"/>
      <c r="AJ138" s="141"/>
      <c r="AK138" s="141"/>
    </row>
    <row r="139" spans="1:37" ht="14.5" x14ac:dyDescent="0.35">
      <c r="A139" s="375"/>
      <c r="B139" s="343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141"/>
      <c r="AG139" s="141"/>
      <c r="AH139" s="141"/>
      <c r="AI139" s="141"/>
      <c r="AJ139" s="141"/>
      <c r="AK139" s="141"/>
    </row>
    <row r="140" spans="1:37" ht="14.5" x14ac:dyDescent="0.35">
      <c r="A140" s="375"/>
      <c r="B140" s="343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141"/>
      <c r="AG140" s="141"/>
      <c r="AH140" s="141"/>
      <c r="AI140" s="141"/>
      <c r="AJ140" s="141"/>
      <c r="AK140" s="141"/>
    </row>
    <row r="141" spans="1:37" ht="14.5" x14ac:dyDescent="0.35">
      <c r="A141" s="375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141"/>
      <c r="AG141" s="141"/>
      <c r="AH141" s="141"/>
      <c r="AI141" s="141"/>
      <c r="AJ141" s="141"/>
      <c r="AK141" s="141"/>
    </row>
    <row r="142" spans="1:37" ht="14.5" x14ac:dyDescent="0.35">
      <c r="A142" s="375"/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141"/>
      <c r="AG142" s="141"/>
      <c r="AH142" s="141"/>
      <c r="AI142" s="141"/>
      <c r="AJ142" s="141"/>
      <c r="AK142" s="141"/>
    </row>
    <row r="143" spans="1:37" ht="14.5" x14ac:dyDescent="0.35">
      <c r="A143" s="375"/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141"/>
      <c r="AG143" s="141"/>
      <c r="AH143" s="141"/>
      <c r="AI143" s="141"/>
      <c r="AJ143" s="141"/>
      <c r="AK143" s="141"/>
    </row>
    <row r="144" spans="1:37" ht="14.5" x14ac:dyDescent="0.35">
      <c r="A144" s="375"/>
      <c r="B144" s="343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141"/>
      <c r="AG144" s="141"/>
      <c r="AH144" s="141"/>
      <c r="AI144" s="141"/>
      <c r="AJ144" s="141"/>
      <c r="AK144" s="141"/>
    </row>
    <row r="145" spans="1:37" ht="14.5" x14ac:dyDescent="0.35">
      <c r="A145" s="375"/>
      <c r="B145" s="343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141"/>
      <c r="AG145" s="141"/>
      <c r="AH145" s="141"/>
      <c r="AI145" s="141"/>
      <c r="AJ145" s="141"/>
      <c r="AK145" s="141"/>
    </row>
    <row r="146" spans="1:37" ht="14.5" x14ac:dyDescent="0.35">
      <c r="A146" s="375"/>
      <c r="B146" s="343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141"/>
      <c r="AG146" s="141"/>
      <c r="AH146" s="141"/>
      <c r="AI146" s="141"/>
      <c r="AJ146" s="141"/>
      <c r="AK146" s="141"/>
    </row>
    <row r="147" spans="1:37" ht="14.5" x14ac:dyDescent="0.35">
      <c r="A147" s="375"/>
      <c r="B147" s="343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141"/>
      <c r="AG147" s="141"/>
      <c r="AH147" s="141"/>
      <c r="AI147" s="141"/>
      <c r="AJ147" s="141"/>
      <c r="AK147" s="141"/>
    </row>
    <row r="148" spans="1:37" ht="14.5" x14ac:dyDescent="0.35">
      <c r="A148" s="375"/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141"/>
      <c r="AG148" s="141"/>
      <c r="AH148" s="141"/>
      <c r="AI148" s="141"/>
      <c r="AJ148" s="141"/>
      <c r="AK148" s="141"/>
    </row>
    <row r="149" spans="1:37" ht="14.5" x14ac:dyDescent="0.35">
      <c r="A149" s="375"/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3"/>
      <c r="AF149" s="141"/>
      <c r="AG149" s="141"/>
      <c r="AH149" s="141"/>
      <c r="AI149" s="141"/>
      <c r="AJ149" s="141"/>
      <c r="AK149" s="141"/>
    </row>
    <row r="150" spans="1:37" ht="14.5" x14ac:dyDescent="0.35">
      <c r="A150" s="375"/>
      <c r="B150" s="343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3"/>
      <c r="AF150" s="141"/>
      <c r="AG150" s="141"/>
      <c r="AH150" s="141"/>
      <c r="AI150" s="141"/>
      <c r="AJ150" s="141"/>
      <c r="AK150" s="141"/>
    </row>
    <row r="151" spans="1:37" ht="14.5" x14ac:dyDescent="0.35">
      <c r="A151" s="375"/>
      <c r="B151" s="343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3"/>
      <c r="AF151" s="141"/>
      <c r="AG151" s="141"/>
      <c r="AH151" s="141"/>
      <c r="AI151" s="141"/>
      <c r="AJ151" s="141"/>
      <c r="AK151" s="141"/>
    </row>
    <row r="152" spans="1:37" ht="14.5" x14ac:dyDescent="0.35">
      <c r="A152" s="375"/>
      <c r="B152" s="343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3"/>
      <c r="AF152" s="141"/>
      <c r="AG152" s="141"/>
      <c r="AH152" s="141"/>
      <c r="AI152" s="141"/>
      <c r="AJ152" s="141"/>
      <c r="AK152" s="141"/>
    </row>
    <row r="153" spans="1:37" ht="14.5" x14ac:dyDescent="0.35">
      <c r="A153" s="375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141"/>
      <c r="AG153" s="141"/>
      <c r="AH153" s="141"/>
      <c r="AI153" s="141"/>
      <c r="AJ153" s="141"/>
      <c r="AK153" s="141"/>
    </row>
    <row r="154" spans="1:37" ht="14.5" x14ac:dyDescent="0.35">
      <c r="A154" s="375"/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3"/>
      <c r="AF154" s="141"/>
      <c r="AG154" s="141"/>
      <c r="AH154" s="141"/>
      <c r="AI154" s="141"/>
      <c r="AJ154" s="141"/>
      <c r="AK154" s="141"/>
    </row>
    <row r="155" spans="1:37" ht="14.5" x14ac:dyDescent="0.35">
      <c r="A155" s="375"/>
      <c r="B155" s="343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3"/>
      <c r="W155" s="343"/>
      <c r="X155" s="343"/>
      <c r="Y155" s="343"/>
      <c r="Z155" s="343"/>
      <c r="AA155" s="343"/>
      <c r="AB155" s="343"/>
      <c r="AC155" s="343"/>
      <c r="AD155" s="343"/>
      <c r="AE155" s="343"/>
      <c r="AF155" s="141"/>
      <c r="AG155" s="141"/>
      <c r="AH155" s="141"/>
      <c r="AI155" s="141"/>
      <c r="AJ155" s="141"/>
      <c r="AK155" s="141"/>
    </row>
    <row r="156" spans="1:37" ht="14.5" x14ac:dyDescent="0.35">
      <c r="A156" s="375"/>
      <c r="B156" s="343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3"/>
      <c r="AB156" s="343"/>
      <c r="AC156" s="343"/>
      <c r="AD156" s="343"/>
      <c r="AE156" s="343"/>
      <c r="AF156" s="141"/>
      <c r="AG156" s="141"/>
      <c r="AH156" s="141"/>
      <c r="AI156" s="141"/>
      <c r="AJ156" s="141"/>
      <c r="AK156" s="141"/>
    </row>
    <row r="157" spans="1:37" ht="14.5" x14ac:dyDescent="0.35">
      <c r="A157" s="375"/>
      <c r="B157" s="343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3"/>
      <c r="W157" s="343"/>
      <c r="X157" s="343"/>
      <c r="Y157" s="343"/>
      <c r="Z157" s="343"/>
      <c r="AA157" s="343"/>
      <c r="AB157" s="343"/>
      <c r="AC157" s="343"/>
      <c r="AD157" s="343"/>
      <c r="AE157" s="343"/>
      <c r="AF157" s="141"/>
      <c r="AG157" s="141"/>
      <c r="AH157" s="141"/>
      <c r="AI157" s="141"/>
      <c r="AJ157" s="141"/>
      <c r="AK157" s="141"/>
    </row>
    <row r="158" spans="1:37" ht="14.5" x14ac:dyDescent="0.35">
      <c r="A158" s="375"/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343"/>
      <c r="AB158" s="343"/>
      <c r="AC158" s="343"/>
      <c r="AD158" s="343"/>
      <c r="AE158" s="343"/>
      <c r="AF158" s="141"/>
      <c r="AG158" s="141"/>
      <c r="AH158" s="141"/>
      <c r="AI158" s="141"/>
      <c r="AJ158" s="141"/>
      <c r="AK158" s="141"/>
    </row>
    <row r="159" spans="1:37" ht="14.5" x14ac:dyDescent="0.35">
      <c r="A159" s="375"/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343"/>
      <c r="AB159" s="343"/>
      <c r="AC159" s="343"/>
      <c r="AD159" s="343"/>
      <c r="AE159" s="343"/>
      <c r="AF159" s="141"/>
      <c r="AG159" s="141"/>
      <c r="AH159" s="141"/>
      <c r="AI159" s="141"/>
      <c r="AJ159" s="141"/>
      <c r="AK159" s="141"/>
    </row>
    <row r="160" spans="1:37" ht="14.5" x14ac:dyDescent="0.35">
      <c r="A160" s="375"/>
      <c r="B160" s="343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141"/>
      <c r="AG160" s="141"/>
      <c r="AH160" s="141"/>
      <c r="AI160" s="141"/>
      <c r="AJ160" s="141"/>
      <c r="AK160" s="141"/>
    </row>
    <row r="161" spans="1:37" ht="14.5" x14ac:dyDescent="0.35">
      <c r="A161" s="375"/>
      <c r="B161" s="343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141"/>
      <c r="AG161" s="141"/>
      <c r="AH161" s="141"/>
      <c r="AI161" s="141"/>
      <c r="AJ161" s="141"/>
      <c r="AK161" s="141"/>
    </row>
    <row r="162" spans="1:37" ht="14.5" x14ac:dyDescent="0.35">
      <c r="A162" s="375"/>
      <c r="B162" s="343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3"/>
      <c r="W162" s="343"/>
      <c r="X162" s="343"/>
      <c r="Y162" s="343"/>
      <c r="Z162" s="343"/>
      <c r="AA162" s="343"/>
      <c r="AB162" s="343"/>
      <c r="AC162" s="343"/>
      <c r="AD162" s="343"/>
      <c r="AE162" s="343"/>
      <c r="AF162" s="141"/>
      <c r="AG162" s="141"/>
      <c r="AH162" s="141"/>
      <c r="AI162" s="141"/>
      <c r="AJ162" s="141"/>
      <c r="AK162" s="141"/>
    </row>
    <row r="163" spans="1:37" ht="14.5" x14ac:dyDescent="0.35">
      <c r="A163" s="375"/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141"/>
      <c r="AG163" s="141"/>
      <c r="AH163" s="141"/>
      <c r="AI163" s="141"/>
      <c r="AJ163" s="141"/>
      <c r="AK163" s="141"/>
    </row>
    <row r="164" spans="1:37" ht="14.5" x14ac:dyDescent="0.35">
      <c r="A164" s="375"/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141"/>
      <c r="AG164" s="141"/>
      <c r="AH164" s="141"/>
      <c r="AI164" s="141"/>
      <c r="AJ164" s="141"/>
      <c r="AK164" s="141"/>
    </row>
    <row r="165" spans="1:37" ht="14.5" x14ac:dyDescent="0.35">
      <c r="A165" s="375"/>
      <c r="B165" s="343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3"/>
      <c r="W165" s="343"/>
      <c r="X165" s="343"/>
      <c r="Y165" s="343"/>
      <c r="Z165" s="343"/>
      <c r="AA165" s="343"/>
      <c r="AB165" s="343"/>
      <c r="AC165" s="343"/>
      <c r="AD165" s="343"/>
      <c r="AE165" s="343"/>
      <c r="AF165" s="141"/>
      <c r="AG165" s="141"/>
      <c r="AH165" s="141"/>
      <c r="AI165" s="141"/>
      <c r="AJ165" s="141"/>
      <c r="AK165" s="141"/>
    </row>
    <row r="166" spans="1:37" ht="14.5" x14ac:dyDescent="0.35">
      <c r="A166" s="375"/>
      <c r="B166" s="343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3"/>
      <c r="W166" s="343"/>
      <c r="X166" s="343"/>
      <c r="Y166" s="343"/>
      <c r="Z166" s="343"/>
      <c r="AA166" s="343"/>
      <c r="AB166" s="343"/>
      <c r="AC166" s="343"/>
      <c r="AD166" s="343"/>
      <c r="AE166" s="343"/>
      <c r="AF166" s="141"/>
      <c r="AG166" s="141"/>
      <c r="AH166" s="141"/>
      <c r="AI166" s="141"/>
      <c r="AJ166" s="141"/>
      <c r="AK166" s="141"/>
    </row>
    <row r="167" spans="1:37" ht="14.5" x14ac:dyDescent="0.35">
      <c r="A167" s="375"/>
      <c r="B167" s="343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3"/>
      <c r="W167" s="343"/>
      <c r="X167" s="343"/>
      <c r="Y167" s="343"/>
      <c r="Z167" s="343"/>
      <c r="AA167" s="343"/>
      <c r="AB167" s="343"/>
      <c r="AC167" s="343"/>
      <c r="AD167" s="343"/>
      <c r="AE167" s="343"/>
      <c r="AF167" s="141"/>
      <c r="AG167" s="141"/>
      <c r="AH167" s="141"/>
      <c r="AI167" s="141"/>
      <c r="AJ167" s="141"/>
      <c r="AK167" s="141"/>
    </row>
    <row r="168" spans="1:37" ht="14.5" x14ac:dyDescent="0.35">
      <c r="A168" s="375"/>
      <c r="B168" s="343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141"/>
      <c r="AG168" s="141"/>
      <c r="AH168" s="141"/>
      <c r="AI168" s="141"/>
      <c r="AJ168" s="141"/>
      <c r="AK168" s="141"/>
    </row>
    <row r="169" spans="1:37" ht="14.5" x14ac:dyDescent="0.35">
      <c r="A169" s="375"/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141"/>
      <c r="AG169" s="141"/>
      <c r="AH169" s="141"/>
      <c r="AI169" s="141"/>
      <c r="AJ169" s="141"/>
      <c r="AK169" s="141"/>
    </row>
    <row r="170" spans="1:37" ht="14.5" x14ac:dyDescent="0.35">
      <c r="A170" s="375"/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141"/>
      <c r="AG170" s="141"/>
      <c r="AH170" s="141"/>
      <c r="AI170" s="141"/>
      <c r="AJ170" s="141"/>
      <c r="AK170" s="141"/>
    </row>
    <row r="171" spans="1:37" ht="14.5" x14ac:dyDescent="0.35">
      <c r="A171" s="375"/>
      <c r="B171" s="343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3"/>
      <c r="W171" s="343"/>
      <c r="X171" s="343"/>
      <c r="Y171" s="343"/>
      <c r="Z171" s="343"/>
      <c r="AA171" s="343"/>
      <c r="AB171" s="343"/>
      <c r="AC171" s="343"/>
      <c r="AD171" s="343"/>
      <c r="AE171" s="343"/>
      <c r="AF171" s="141"/>
      <c r="AG171" s="141"/>
      <c r="AH171" s="141"/>
      <c r="AI171" s="141"/>
      <c r="AJ171" s="141"/>
      <c r="AK171" s="141"/>
    </row>
    <row r="172" spans="1:37" ht="14.5" x14ac:dyDescent="0.35">
      <c r="A172" s="375"/>
      <c r="B172" s="343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3"/>
      <c r="W172" s="343"/>
      <c r="X172" s="343"/>
      <c r="Y172" s="343"/>
      <c r="Z172" s="343"/>
      <c r="AA172" s="343"/>
      <c r="AB172" s="343"/>
      <c r="AC172" s="343"/>
      <c r="AD172" s="343"/>
      <c r="AE172" s="343"/>
      <c r="AF172" s="141"/>
      <c r="AG172" s="141"/>
      <c r="AH172" s="141"/>
      <c r="AI172" s="141"/>
      <c r="AJ172" s="141"/>
      <c r="AK172" s="141"/>
    </row>
    <row r="173" spans="1:37" ht="14.5" x14ac:dyDescent="0.35">
      <c r="A173" s="375"/>
      <c r="B173" s="343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3"/>
      <c r="W173" s="343"/>
      <c r="X173" s="343"/>
      <c r="Y173" s="343"/>
      <c r="Z173" s="343"/>
      <c r="AA173" s="343"/>
      <c r="AB173" s="343"/>
      <c r="AC173" s="343"/>
      <c r="AD173" s="343"/>
      <c r="AE173" s="343"/>
      <c r="AF173" s="141"/>
      <c r="AG173" s="141"/>
      <c r="AH173" s="141"/>
      <c r="AI173" s="141"/>
      <c r="AJ173" s="141"/>
      <c r="AK173" s="141"/>
    </row>
    <row r="174" spans="1:37" ht="14.5" x14ac:dyDescent="0.35">
      <c r="A174" s="375"/>
      <c r="B174" s="343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3"/>
      <c r="W174" s="343"/>
      <c r="X174" s="343"/>
      <c r="Y174" s="343"/>
      <c r="Z174" s="343"/>
      <c r="AA174" s="343"/>
      <c r="AB174" s="343"/>
      <c r="AC174" s="343"/>
      <c r="AD174" s="343"/>
      <c r="AE174" s="343"/>
      <c r="AF174" s="141"/>
      <c r="AG174" s="141"/>
      <c r="AH174" s="141"/>
      <c r="AI174" s="141"/>
      <c r="AJ174" s="141"/>
      <c r="AK174" s="141"/>
    </row>
    <row r="175" spans="1:37" ht="14.5" x14ac:dyDescent="0.35">
      <c r="A175" s="375"/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141"/>
      <c r="AG175" s="141"/>
      <c r="AH175" s="141"/>
      <c r="AI175" s="141"/>
      <c r="AJ175" s="141"/>
      <c r="AK175" s="141"/>
    </row>
    <row r="176" spans="1:37" ht="14.5" x14ac:dyDescent="0.35">
      <c r="A176" s="375"/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141"/>
      <c r="AG176" s="141"/>
      <c r="AH176" s="141"/>
      <c r="AI176" s="141"/>
      <c r="AJ176" s="141"/>
      <c r="AK176" s="141"/>
    </row>
    <row r="177" spans="1:37" ht="14.5" x14ac:dyDescent="0.35">
      <c r="A177" s="375"/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141"/>
      <c r="AG177" s="141"/>
      <c r="AH177" s="141"/>
      <c r="AI177" s="141"/>
      <c r="AJ177" s="141"/>
      <c r="AK177" s="141"/>
    </row>
    <row r="178" spans="1:37" ht="14.5" x14ac:dyDescent="0.35">
      <c r="A178" s="375"/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141"/>
      <c r="AG178" s="141"/>
      <c r="AH178" s="141"/>
      <c r="AI178" s="141"/>
      <c r="AJ178" s="141"/>
      <c r="AK178" s="141"/>
    </row>
    <row r="179" spans="1:37" ht="14.5" x14ac:dyDescent="0.35">
      <c r="A179" s="375"/>
      <c r="B179" s="343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3"/>
      <c r="W179" s="343"/>
      <c r="X179" s="343"/>
      <c r="Y179" s="343"/>
      <c r="Z179" s="343"/>
      <c r="AA179" s="343"/>
      <c r="AB179" s="343"/>
      <c r="AC179" s="343"/>
      <c r="AD179" s="343"/>
      <c r="AE179" s="343"/>
      <c r="AF179" s="141"/>
      <c r="AG179" s="141"/>
      <c r="AH179" s="141"/>
      <c r="AI179" s="141"/>
      <c r="AJ179" s="141"/>
      <c r="AK179" s="141"/>
    </row>
    <row r="180" spans="1:37" ht="14.5" x14ac:dyDescent="0.35">
      <c r="A180" s="375"/>
      <c r="B180" s="343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343"/>
      <c r="AE180" s="343"/>
      <c r="AF180" s="141"/>
      <c r="AG180" s="141"/>
      <c r="AH180" s="141"/>
      <c r="AI180" s="141"/>
      <c r="AJ180" s="141"/>
      <c r="AK180" s="141"/>
    </row>
    <row r="181" spans="1:37" ht="14.5" x14ac:dyDescent="0.35">
      <c r="A181" s="375"/>
      <c r="B181" s="343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3"/>
      <c r="AF181" s="141"/>
      <c r="AG181" s="141"/>
      <c r="AH181" s="141"/>
      <c r="AI181" s="141"/>
      <c r="AJ181" s="141"/>
      <c r="AK181" s="141"/>
    </row>
    <row r="182" spans="1:37" ht="14.5" x14ac:dyDescent="0.35">
      <c r="A182" s="375"/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141"/>
      <c r="AG182" s="141"/>
      <c r="AH182" s="141"/>
      <c r="AI182" s="141"/>
      <c r="AJ182" s="141"/>
      <c r="AK182" s="141"/>
    </row>
    <row r="183" spans="1:37" ht="14.5" x14ac:dyDescent="0.35">
      <c r="A183" s="375"/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3"/>
      <c r="AF183" s="141"/>
      <c r="AG183" s="141"/>
      <c r="AH183" s="141"/>
      <c r="AI183" s="141"/>
      <c r="AJ183" s="141"/>
      <c r="AK183" s="141"/>
    </row>
    <row r="184" spans="1:37" ht="14.5" x14ac:dyDescent="0.35">
      <c r="A184" s="375"/>
      <c r="B184" s="343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343"/>
      <c r="AB184" s="343"/>
      <c r="AC184" s="343"/>
      <c r="AD184" s="343"/>
      <c r="AE184" s="343"/>
      <c r="AF184" s="141"/>
      <c r="AG184" s="141"/>
      <c r="AH184" s="141"/>
      <c r="AI184" s="141"/>
      <c r="AJ184" s="141"/>
      <c r="AK184" s="141"/>
    </row>
    <row r="185" spans="1:37" ht="14.5" x14ac:dyDescent="0.35">
      <c r="A185" s="375"/>
      <c r="B185" s="343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3"/>
      <c r="W185" s="343"/>
      <c r="X185" s="343"/>
      <c r="Y185" s="343"/>
      <c r="Z185" s="343"/>
      <c r="AA185" s="343"/>
      <c r="AB185" s="343"/>
      <c r="AC185" s="343"/>
      <c r="AD185" s="343"/>
      <c r="AE185" s="343"/>
      <c r="AF185" s="141"/>
      <c r="AG185" s="141"/>
      <c r="AH185" s="141"/>
      <c r="AI185" s="141"/>
      <c r="AJ185" s="141"/>
      <c r="AK185" s="141"/>
    </row>
    <row r="186" spans="1:37" ht="14.5" x14ac:dyDescent="0.35">
      <c r="A186" s="375"/>
      <c r="B186" s="343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3"/>
      <c r="W186" s="343"/>
      <c r="X186" s="343"/>
      <c r="Y186" s="343"/>
      <c r="Z186" s="343"/>
      <c r="AA186" s="343"/>
      <c r="AB186" s="343"/>
      <c r="AC186" s="343"/>
      <c r="AD186" s="343"/>
      <c r="AE186" s="343"/>
      <c r="AF186" s="141"/>
      <c r="AG186" s="141"/>
      <c r="AH186" s="141"/>
      <c r="AI186" s="141"/>
      <c r="AJ186" s="141"/>
      <c r="AK186" s="141"/>
    </row>
    <row r="187" spans="1:37" ht="14.5" x14ac:dyDescent="0.35">
      <c r="A187" s="375"/>
      <c r="B187" s="343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141"/>
      <c r="AG187" s="141"/>
      <c r="AH187" s="141"/>
      <c r="AI187" s="141"/>
      <c r="AJ187" s="141"/>
      <c r="AK187" s="141"/>
    </row>
    <row r="188" spans="1:37" ht="14.5" x14ac:dyDescent="0.35">
      <c r="A188" s="375"/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343"/>
      <c r="AB188" s="343"/>
      <c r="AC188" s="343"/>
      <c r="AD188" s="343"/>
      <c r="AE188" s="343"/>
      <c r="AF188" s="141"/>
      <c r="AG188" s="141"/>
      <c r="AH188" s="141"/>
      <c r="AI188" s="141"/>
      <c r="AJ188" s="141"/>
      <c r="AK188" s="141"/>
    </row>
    <row r="189" spans="1:37" ht="14.5" x14ac:dyDescent="0.35">
      <c r="A189" s="375"/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141"/>
      <c r="AG189" s="141"/>
      <c r="AH189" s="141"/>
      <c r="AI189" s="141"/>
      <c r="AJ189" s="141"/>
      <c r="AK189" s="141"/>
    </row>
    <row r="190" spans="1:37" ht="14.5" x14ac:dyDescent="0.35">
      <c r="A190" s="375"/>
      <c r="B190" s="343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141"/>
      <c r="AG190" s="141"/>
      <c r="AH190" s="141"/>
      <c r="AI190" s="141"/>
      <c r="AJ190" s="141"/>
      <c r="AK190" s="141"/>
    </row>
    <row r="191" spans="1:37" ht="14.5" x14ac:dyDescent="0.35">
      <c r="A191" s="375"/>
      <c r="B191" s="343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141"/>
      <c r="AG191" s="141"/>
      <c r="AH191" s="141"/>
      <c r="AI191" s="141"/>
      <c r="AJ191" s="141"/>
      <c r="AK191" s="141"/>
    </row>
    <row r="192" spans="1:37" ht="14.5" x14ac:dyDescent="0.35">
      <c r="A192" s="375"/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343"/>
      <c r="AB192" s="343"/>
      <c r="AC192" s="343"/>
      <c r="AD192" s="343"/>
      <c r="AE192" s="343"/>
      <c r="AF192" s="141"/>
      <c r="AG192" s="141"/>
      <c r="AH192" s="141"/>
      <c r="AI192" s="141"/>
      <c r="AJ192" s="141"/>
      <c r="AK192" s="141"/>
    </row>
    <row r="193" spans="1:37" ht="14.5" x14ac:dyDescent="0.35">
      <c r="A193" s="375"/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343"/>
      <c r="AB193" s="343"/>
      <c r="AC193" s="343"/>
      <c r="AD193" s="343"/>
      <c r="AE193" s="343"/>
      <c r="AF193" s="141"/>
      <c r="AG193" s="141"/>
      <c r="AH193" s="141"/>
      <c r="AI193" s="141"/>
      <c r="AJ193" s="141"/>
      <c r="AK193" s="141"/>
    </row>
    <row r="194" spans="1:37" ht="14.5" x14ac:dyDescent="0.35">
      <c r="A194" s="375"/>
      <c r="B194" s="343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343"/>
      <c r="AB194" s="343"/>
      <c r="AC194" s="343"/>
      <c r="AD194" s="343"/>
      <c r="AE194" s="343"/>
      <c r="AF194" s="141"/>
      <c r="AG194" s="141"/>
      <c r="AH194" s="141"/>
      <c r="AI194" s="141"/>
      <c r="AJ194" s="141"/>
      <c r="AK194" s="141"/>
    </row>
    <row r="195" spans="1:37" ht="14.5" x14ac:dyDescent="0.35">
      <c r="A195" s="375"/>
      <c r="B195" s="343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3"/>
      <c r="W195" s="343"/>
      <c r="X195" s="343"/>
      <c r="Y195" s="343"/>
      <c r="Z195" s="343"/>
      <c r="AA195" s="343"/>
      <c r="AB195" s="343"/>
      <c r="AC195" s="343"/>
      <c r="AD195" s="343"/>
      <c r="AE195" s="343"/>
      <c r="AF195" s="141"/>
      <c r="AG195" s="141"/>
      <c r="AH195" s="141"/>
      <c r="AI195" s="141"/>
      <c r="AJ195" s="141"/>
      <c r="AK195" s="141"/>
    </row>
    <row r="196" spans="1:37" ht="14.5" x14ac:dyDescent="0.35">
      <c r="A196" s="375"/>
      <c r="B196" s="343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141"/>
      <c r="AG196" s="141"/>
      <c r="AH196" s="141"/>
      <c r="AI196" s="141"/>
      <c r="AJ196" s="141"/>
      <c r="AK196" s="141"/>
    </row>
    <row r="197" spans="1:37" ht="14.5" x14ac:dyDescent="0.35">
      <c r="A197" s="375"/>
      <c r="B197" s="343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3"/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141"/>
      <c r="AG197" s="141"/>
      <c r="AH197" s="141"/>
      <c r="AI197" s="141"/>
      <c r="AJ197" s="141"/>
      <c r="AK197" s="141"/>
    </row>
    <row r="198" spans="1:37" ht="14.5" x14ac:dyDescent="0.35">
      <c r="A198" s="375"/>
      <c r="B198" s="343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141"/>
      <c r="AG198" s="141"/>
      <c r="AH198" s="141"/>
      <c r="AI198" s="141"/>
      <c r="AJ198" s="141"/>
      <c r="AK198" s="141"/>
    </row>
    <row r="199" spans="1:37" ht="14.5" x14ac:dyDescent="0.35">
      <c r="A199" s="375"/>
      <c r="B199" s="343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141"/>
      <c r="AG199" s="141"/>
      <c r="AH199" s="141"/>
      <c r="AI199" s="141"/>
      <c r="AJ199" s="141"/>
      <c r="AK199" s="141"/>
    </row>
    <row r="200" spans="1:37" ht="14.5" x14ac:dyDescent="0.35">
      <c r="A200" s="375"/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141"/>
      <c r="AG200" s="141"/>
      <c r="AH200" s="141"/>
      <c r="AI200" s="141"/>
      <c r="AJ200" s="141"/>
      <c r="AK200" s="141"/>
    </row>
    <row r="201" spans="1:37" ht="14.5" x14ac:dyDescent="0.35">
      <c r="A201" s="375"/>
      <c r="B201" s="343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141"/>
      <c r="AG201" s="141"/>
      <c r="AH201" s="141"/>
      <c r="AI201" s="141"/>
      <c r="AJ201" s="141"/>
      <c r="AK201" s="141"/>
    </row>
    <row r="202" spans="1:37" ht="14.5" x14ac:dyDescent="0.35">
      <c r="A202" s="375"/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343"/>
      <c r="AB202" s="343"/>
      <c r="AC202" s="343"/>
      <c r="AD202" s="343"/>
      <c r="AE202" s="343"/>
      <c r="AF202" s="141"/>
      <c r="AG202" s="141"/>
      <c r="AH202" s="141"/>
      <c r="AI202" s="141"/>
      <c r="AJ202" s="141"/>
      <c r="AK202" s="141"/>
    </row>
    <row r="203" spans="1:37" ht="14.5" x14ac:dyDescent="0.35">
      <c r="A203" s="375"/>
      <c r="B203" s="343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141"/>
      <c r="AG203" s="141"/>
      <c r="AH203" s="141"/>
      <c r="AI203" s="141"/>
      <c r="AJ203" s="141"/>
      <c r="AK203" s="141"/>
    </row>
    <row r="204" spans="1:37" ht="14.5" x14ac:dyDescent="0.35">
      <c r="A204" s="375"/>
      <c r="B204" s="343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3"/>
      <c r="W204" s="343"/>
      <c r="X204" s="343"/>
      <c r="Y204" s="343"/>
      <c r="Z204" s="343"/>
      <c r="AA204" s="343"/>
      <c r="AB204" s="343"/>
      <c r="AC204" s="343"/>
      <c r="AD204" s="343"/>
      <c r="AE204" s="343"/>
      <c r="AF204" s="141"/>
      <c r="AG204" s="141"/>
      <c r="AH204" s="141"/>
      <c r="AI204" s="141"/>
      <c r="AJ204" s="141"/>
      <c r="AK204" s="141"/>
    </row>
    <row r="205" spans="1:37" ht="14.5" x14ac:dyDescent="0.35">
      <c r="A205" s="375"/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141"/>
      <c r="AG205" s="141"/>
      <c r="AH205" s="141"/>
      <c r="AI205" s="141"/>
      <c r="AJ205" s="141"/>
      <c r="AK205" s="141"/>
    </row>
    <row r="206" spans="1:37" ht="14.5" x14ac:dyDescent="0.35">
      <c r="A206" s="375"/>
      <c r="B206" s="343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141"/>
      <c r="AG206" s="141"/>
      <c r="AH206" s="141"/>
      <c r="AI206" s="141"/>
      <c r="AJ206" s="141"/>
      <c r="AK206" s="141"/>
    </row>
    <row r="207" spans="1:37" ht="14.5" x14ac:dyDescent="0.35">
      <c r="A207" s="375"/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141"/>
      <c r="AG207" s="141"/>
      <c r="AH207" s="141"/>
      <c r="AI207" s="141"/>
      <c r="AJ207" s="141"/>
      <c r="AK207" s="141"/>
    </row>
    <row r="208" spans="1:37" ht="14.5" x14ac:dyDescent="0.35">
      <c r="A208" s="375"/>
      <c r="B208" s="343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141"/>
      <c r="AG208" s="141"/>
      <c r="AH208" s="141"/>
      <c r="AI208" s="141"/>
      <c r="AJ208" s="141"/>
      <c r="AK208" s="141"/>
    </row>
    <row r="209" spans="1:37" ht="14.5" x14ac:dyDescent="0.35">
      <c r="A209" s="375"/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343"/>
      <c r="AB209" s="343"/>
      <c r="AC209" s="343"/>
      <c r="AD209" s="343"/>
      <c r="AE209" s="343"/>
      <c r="AF209" s="141"/>
      <c r="AG209" s="141"/>
      <c r="AH209" s="141"/>
      <c r="AI209" s="141"/>
      <c r="AJ209" s="141"/>
      <c r="AK209" s="141"/>
    </row>
    <row r="210" spans="1:37" ht="14.5" x14ac:dyDescent="0.35">
      <c r="A210" s="375"/>
      <c r="B210" s="343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141"/>
      <c r="AG210" s="141"/>
      <c r="AH210" s="141"/>
      <c r="AI210" s="141"/>
      <c r="AJ210" s="141"/>
      <c r="AK210" s="141"/>
    </row>
    <row r="211" spans="1:37" ht="14.5" x14ac:dyDescent="0.35">
      <c r="A211" s="375"/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343"/>
      <c r="AB211" s="343"/>
      <c r="AC211" s="343"/>
      <c r="AD211" s="343"/>
      <c r="AE211" s="343"/>
      <c r="AF211" s="141"/>
      <c r="AG211" s="141"/>
      <c r="AH211" s="141"/>
      <c r="AI211" s="141"/>
      <c r="AJ211" s="141"/>
      <c r="AK211" s="141"/>
    </row>
    <row r="212" spans="1:37" ht="14.5" x14ac:dyDescent="0.35">
      <c r="A212" s="375"/>
      <c r="B212" s="343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3"/>
      <c r="W212" s="343"/>
      <c r="X212" s="343"/>
      <c r="Y212" s="343"/>
      <c r="Z212" s="343"/>
      <c r="AA212" s="343"/>
      <c r="AB212" s="343"/>
      <c r="AC212" s="343"/>
      <c r="AD212" s="343"/>
      <c r="AE212" s="343"/>
      <c r="AF212" s="141"/>
      <c r="AG212" s="141"/>
      <c r="AH212" s="141"/>
      <c r="AI212" s="141"/>
      <c r="AJ212" s="141"/>
      <c r="AK212" s="141"/>
    </row>
    <row r="213" spans="1:37" ht="14.5" x14ac:dyDescent="0.35">
      <c r="A213" s="375"/>
      <c r="B213" s="343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3"/>
      <c r="W213" s="343"/>
      <c r="X213" s="343"/>
      <c r="Y213" s="343"/>
      <c r="Z213" s="343"/>
      <c r="AA213" s="343"/>
      <c r="AB213" s="343"/>
      <c r="AC213" s="343"/>
      <c r="AD213" s="343"/>
      <c r="AE213" s="343"/>
      <c r="AF213" s="141"/>
      <c r="AG213" s="141"/>
      <c r="AH213" s="141"/>
      <c r="AI213" s="141"/>
      <c r="AJ213" s="141"/>
      <c r="AK213" s="141"/>
    </row>
    <row r="214" spans="1:37" ht="14.5" x14ac:dyDescent="0.35">
      <c r="A214" s="375"/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343"/>
      <c r="AB214" s="343"/>
      <c r="AC214" s="343"/>
      <c r="AD214" s="343"/>
      <c r="AE214" s="343"/>
      <c r="AF214" s="141"/>
      <c r="AG214" s="141"/>
      <c r="AH214" s="141"/>
      <c r="AI214" s="141"/>
      <c r="AJ214" s="141"/>
      <c r="AK214" s="141"/>
    </row>
    <row r="215" spans="1:37" ht="14.5" x14ac:dyDescent="0.35">
      <c r="A215" s="375"/>
      <c r="B215" s="343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  <c r="AB215" s="343"/>
      <c r="AC215" s="343"/>
      <c r="AD215" s="343"/>
      <c r="AE215" s="343"/>
      <c r="AF215" s="141"/>
      <c r="AG215" s="141"/>
      <c r="AH215" s="141"/>
      <c r="AI215" s="141"/>
      <c r="AJ215" s="141"/>
      <c r="AK215" s="141"/>
    </row>
    <row r="216" spans="1:37" ht="14.5" x14ac:dyDescent="0.35">
      <c r="A216" s="375"/>
      <c r="B216" s="343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  <c r="AB216" s="343"/>
      <c r="AC216" s="343"/>
      <c r="AD216" s="343"/>
      <c r="AE216" s="343"/>
      <c r="AF216" s="141"/>
      <c r="AG216" s="141"/>
      <c r="AH216" s="141"/>
      <c r="AI216" s="141"/>
      <c r="AJ216" s="141"/>
      <c r="AK216" s="141"/>
    </row>
    <row r="217" spans="1:37" ht="14.5" x14ac:dyDescent="0.35">
      <c r="A217" s="375"/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343"/>
      <c r="AB217" s="343"/>
      <c r="AC217" s="343"/>
      <c r="AD217" s="343"/>
      <c r="AE217" s="343"/>
      <c r="AF217" s="141"/>
      <c r="AG217" s="141"/>
      <c r="AH217" s="141"/>
      <c r="AI217" s="141"/>
      <c r="AJ217" s="141"/>
      <c r="AK217" s="141"/>
    </row>
    <row r="218" spans="1:37" ht="14.5" x14ac:dyDescent="0.35">
      <c r="A218" s="375"/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343"/>
      <c r="AB218" s="343"/>
      <c r="AC218" s="343"/>
      <c r="AD218" s="343"/>
      <c r="AE218" s="343"/>
      <c r="AF218" s="141"/>
      <c r="AG218" s="141"/>
      <c r="AH218" s="141"/>
      <c r="AI218" s="141"/>
      <c r="AJ218" s="141"/>
      <c r="AK218" s="141"/>
    </row>
    <row r="219" spans="1:37" ht="14.5" x14ac:dyDescent="0.35">
      <c r="A219" s="375"/>
      <c r="B219" s="343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3"/>
      <c r="W219" s="343"/>
      <c r="X219" s="343"/>
      <c r="Y219" s="343"/>
      <c r="Z219" s="343"/>
      <c r="AA219" s="343"/>
      <c r="AB219" s="343"/>
      <c r="AC219" s="343"/>
      <c r="AD219" s="343"/>
      <c r="AE219" s="343"/>
      <c r="AF219" s="141"/>
      <c r="AG219" s="141"/>
      <c r="AH219" s="141"/>
      <c r="AI219" s="141"/>
      <c r="AJ219" s="141"/>
      <c r="AK219" s="141"/>
    </row>
    <row r="220" spans="1:37" ht="14.5" x14ac:dyDescent="0.35">
      <c r="A220" s="375"/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141"/>
      <c r="AG220" s="141"/>
      <c r="AH220" s="141"/>
      <c r="AI220" s="141"/>
      <c r="AJ220" s="141"/>
      <c r="AK220" s="141"/>
    </row>
    <row r="221" spans="1:37" ht="14.5" x14ac:dyDescent="0.35">
      <c r="A221" s="375"/>
      <c r="B221" s="343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141"/>
      <c r="AG221" s="141"/>
      <c r="AH221" s="141"/>
      <c r="AI221" s="141"/>
      <c r="AJ221" s="141"/>
      <c r="AK221" s="141"/>
    </row>
    <row r="222" spans="1:37" ht="14.5" x14ac:dyDescent="0.35">
      <c r="A222" s="375"/>
      <c r="B222" s="343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343"/>
      <c r="AB222" s="343"/>
      <c r="AC222" s="343"/>
      <c r="AD222" s="343"/>
      <c r="AE222" s="343"/>
      <c r="AF222" s="141"/>
      <c r="AG222" s="141"/>
      <c r="AH222" s="141"/>
      <c r="AI222" s="141"/>
      <c r="AJ222" s="141"/>
      <c r="AK222" s="141"/>
    </row>
    <row r="223" spans="1:37" ht="14.5" x14ac:dyDescent="0.35">
      <c r="A223" s="375"/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343"/>
      <c r="AB223" s="343"/>
      <c r="AC223" s="343"/>
      <c r="AD223" s="343"/>
      <c r="AE223" s="343"/>
      <c r="AF223" s="141"/>
      <c r="AG223" s="141"/>
      <c r="AH223" s="141"/>
      <c r="AI223" s="141"/>
      <c r="AJ223" s="141"/>
      <c r="AK223" s="141"/>
    </row>
    <row r="224" spans="1:37" ht="14.5" x14ac:dyDescent="0.35">
      <c r="A224" s="375"/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343"/>
      <c r="AB224" s="343"/>
      <c r="AC224" s="343"/>
      <c r="AD224" s="343"/>
      <c r="AE224" s="343"/>
      <c r="AF224" s="141"/>
      <c r="AG224" s="141"/>
      <c r="AH224" s="141"/>
      <c r="AI224" s="141"/>
      <c r="AJ224" s="141"/>
      <c r="AK224" s="141"/>
    </row>
    <row r="225" spans="1:37" ht="14.5" x14ac:dyDescent="0.35">
      <c r="A225" s="375"/>
      <c r="B225" s="343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3"/>
      <c r="W225" s="343"/>
      <c r="X225" s="343"/>
      <c r="Y225" s="343"/>
      <c r="Z225" s="343"/>
      <c r="AA225" s="343"/>
      <c r="AB225" s="343"/>
      <c r="AC225" s="343"/>
      <c r="AD225" s="343"/>
      <c r="AE225" s="343"/>
      <c r="AF225" s="141"/>
      <c r="AG225" s="141"/>
      <c r="AH225" s="141"/>
      <c r="AI225" s="141"/>
      <c r="AJ225" s="141"/>
      <c r="AK225" s="141"/>
    </row>
    <row r="226" spans="1:37" ht="14.5" x14ac:dyDescent="0.35">
      <c r="A226" s="375"/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343"/>
      <c r="AB226" s="343"/>
      <c r="AC226" s="343"/>
      <c r="AD226" s="343"/>
      <c r="AE226" s="343"/>
      <c r="AF226" s="141"/>
      <c r="AG226" s="141"/>
      <c r="AH226" s="141"/>
      <c r="AI226" s="141"/>
      <c r="AJ226" s="141"/>
      <c r="AK226" s="141"/>
    </row>
    <row r="227" spans="1:37" ht="14.5" x14ac:dyDescent="0.35">
      <c r="A227" s="375"/>
      <c r="B227" s="343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141"/>
      <c r="AG227" s="141"/>
      <c r="AH227" s="141"/>
      <c r="AI227" s="141"/>
      <c r="AJ227" s="141"/>
      <c r="AK227" s="141"/>
    </row>
    <row r="228" spans="1:37" ht="14.5" x14ac:dyDescent="0.35">
      <c r="A228" s="375"/>
      <c r="B228" s="343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141"/>
      <c r="AG228" s="141"/>
      <c r="AH228" s="141"/>
      <c r="AI228" s="141"/>
      <c r="AJ228" s="141"/>
      <c r="AK228" s="141"/>
    </row>
    <row r="229" spans="1:37" ht="14.5" x14ac:dyDescent="0.35">
      <c r="A229" s="375"/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141"/>
      <c r="AG229" s="141"/>
      <c r="AH229" s="141"/>
      <c r="AI229" s="141"/>
      <c r="AJ229" s="141"/>
      <c r="AK229" s="141"/>
    </row>
    <row r="230" spans="1:37" ht="14.5" x14ac:dyDescent="0.35">
      <c r="A230" s="375"/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141"/>
      <c r="AG230" s="141"/>
      <c r="AH230" s="141"/>
      <c r="AI230" s="141"/>
      <c r="AJ230" s="141"/>
      <c r="AK230" s="141"/>
    </row>
    <row r="231" spans="1:37" ht="14.5" x14ac:dyDescent="0.35">
      <c r="A231" s="375"/>
      <c r="B231" s="343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343"/>
      <c r="AB231" s="343"/>
      <c r="AC231" s="343"/>
      <c r="AD231" s="343"/>
      <c r="AE231" s="343"/>
      <c r="AF231" s="141"/>
      <c r="AG231" s="141"/>
      <c r="AH231" s="141"/>
      <c r="AI231" s="141"/>
      <c r="AJ231" s="141"/>
      <c r="AK231" s="141"/>
    </row>
    <row r="232" spans="1:37" ht="14.5" x14ac:dyDescent="0.35">
      <c r="A232" s="375"/>
      <c r="B232" s="343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43"/>
      <c r="AC232" s="343"/>
      <c r="AD232" s="343"/>
      <c r="AE232" s="343"/>
      <c r="AF232" s="141"/>
      <c r="AG232" s="141"/>
      <c r="AH232" s="141"/>
      <c r="AI232" s="141"/>
      <c r="AJ232" s="141"/>
      <c r="AK232" s="141"/>
    </row>
    <row r="233" spans="1:37" ht="14.5" x14ac:dyDescent="0.35">
      <c r="A233" s="375"/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343"/>
      <c r="AB233" s="343"/>
      <c r="AC233" s="343"/>
      <c r="AD233" s="343"/>
      <c r="AE233" s="343"/>
      <c r="AF233" s="141"/>
      <c r="AG233" s="141"/>
      <c r="AH233" s="141"/>
      <c r="AI233" s="141"/>
      <c r="AJ233" s="141"/>
      <c r="AK233" s="141"/>
    </row>
    <row r="234" spans="1:37" ht="14.5" x14ac:dyDescent="0.35">
      <c r="A234" s="375"/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343"/>
      <c r="AB234" s="343"/>
      <c r="AC234" s="343"/>
      <c r="AD234" s="343"/>
      <c r="AE234" s="343"/>
      <c r="AF234" s="141"/>
      <c r="AG234" s="141"/>
      <c r="AH234" s="141"/>
      <c r="AI234" s="141"/>
      <c r="AJ234" s="141"/>
      <c r="AK234" s="141"/>
    </row>
    <row r="235" spans="1:37" ht="14.5" x14ac:dyDescent="0.35">
      <c r="A235" s="375"/>
      <c r="B235" s="343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141"/>
      <c r="AG235" s="141"/>
      <c r="AH235" s="141"/>
      <c r="AI235" s="141"/>
      <c r="AJ235" s="141"/>
      <c r="AK235" s="141"/>
    </row>
    <row r="236" spans="1:37" ht="14.5" x14ac:dyDescent="0.35">
      <c r="A236" s="375"/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141"/>
      <c r="AG236" s="141"/>
      <c r="AH236" s="141"/>
      <c r="AI236" s="141"/>
      <c r="AJ236" s="141"/>
      <c r="AK236" s="141"/>
    </row>
    <row r="237" spans="1:37" ht="14.5" x14ac:dyDescent="0.35">
      <c r="A237" s="375"/>
      <c r="B237" s="343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141"/>
      <c r="AG237" s="141"/>
      <c r="AH237" s="141"/>
      <c r="AI237" s="141"/>
      <c r="AJ237" s="141"/>
      <c r="AK237" s="141"/>
    </row>
    <row r="238" spans="1:37" ht="14.5" x14ac:dyDescent="0.35">
      <c r="A238" s="375"/>
      <c r="B238" s="343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141"/>
      <c r="AG238" s="141"/>
      <c r="AH238" s="141"/>
      <c r="AI238" s="141"/>
      <c r="AJ238" s="141"/>
      <c r="AK238" s="141"/>
    </row>
    <row r="239" spans="1:37" ht="14.5" x14ac:dyDescent="0.35">
      <c r="A239" s="375"/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343"/>
      <c r="AB239" s="343"/>
      <c r="AC239" s="343"/>
      <c r="AD239" s="343"/>
      <c r="AE239" s="343"/>
      <c r="AF239" s="141"/>
      <c r="AG239" s="141"/>
      <c r="AH239" s="141"/>
      <c r="AI239" s="141"/>
      <c r="AJ239" s="141"/>
      <c r="AK239" s="141"/>
    </row>
    <row r="240" spans="1:37" ht="14.5" x14ac:dyDescent="0.35">
      <c r="A240" s="375"/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343"/>
      <c r="AB240" s="343"/>
      <c r="AC240" s="343"/>
      <c r="AD240" s="343"/>
      <c r="AE240" s="343"/>
      <c r="AF240" s="141"/>
      <c r="AG240" s="141"/>
      <c r="AH240" s="141"/>
      <c r="AI240" s="141"/>
      <c r="AJ240" s="141"/>
      <c r="AK240" s="141"/>
    </row>
    <row r="241" spans="1:37" ht="14.5" x14ac:dyDescent="0.35">
      <c r="A241" s="375"/>
      <c r="B241" s="343"/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  <c r="O241" s="343"/>
      <c r="P241" s="343"/>
      <c r="Q241" s="343"/>
      <c r="R241" s="343"/>
      <c r="S241" s="343"/>
      <c r="T241" s="343"/>
      <c r="U241" s="343"/>
      <c r="V241" s="343"/>
      <c r="W241" s="343"/>
      <c r="X241" s="343"/>
      <c r="Y241" s="343"/>
      <c r="Z241" s="343"/>
      <c r="AA241" s="343"/>
      <c r="AB241" s="343"/>
      <c r="AC241" s="343"/>
      <c r="AD241" s="343"/>
      <c r="AE241" s="343"/>
      <c r="AF241" s="141"/>
      <c r="AG241" s="141"/>
      <c r="AH241" s="141"/>
      <c r="AI241" s="141"/>
      <c r="AJ241" s="141"/>
      <c r="AK241" s="141"/>
    </row>
    <row r="242" spans="1:37" ht="14.5" x14ac:dyDescent="0.35">
      <c r="A242" s="375"/>
      <c r="B242" s="343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3"/>
      <c r="R242" s="343"/>
      <c r="S242" s="343"/>
      <c r="T242" s="343"/>
      <c r="U242" s="343"/>
      <c r="V242" s="343"/>
      <c r="W242" s="343"/>
      <c r="X242" s="343"/>
      <c r="Y242" s="343"/>
      <c r="Z242" s="343"/>
      <c r="AA242" s="343"/>
      <c r="AB242" s="343"/>
      <c r="AC242" s="343"/>
      <c r="AD242" s="343"/>
      <c r="AE242" s="343"/>
      <c r="AF242" s="141"/>
      <c r="AG242" s="141"/>
      <c r="AH242" s="141"/>
      <c r="AI242" s="141"/>
      <c r="AJ242" s="141"/>
      <c r="AK242" s="141"/>
    </row>
    <row r="243" spans="1:37" ht="14.5" x14ac:dyDescent="0.35">
      <c r="A243" s="375"/>
      <c r="B243" s="343"/>
      <c r="C243" s="343"/>
      <c r="D243" s="343"/>
      <c r="E243" s="343"/>
      <c r="F243" s="343"/>
      <c r="G243" s="343"/>
      <c r="H243" s="343"/>
      <c r="I243" s="343"/>
      <c r="J243" s="343"/>
      <c r="K243" s="343"/>
      <c r="L243" s="343"/>
      <c r="M243" s="343"/>
      <c r="N243" s="343"/>
      <c r="O243" s="343"/>
      <c r="P243" s="343"/>
      <c r="Q243" s="343"/>
      <c r="R243" s="343"/>
      <c r="S243" s="343"/>
      <c r="T243" s="343"/>
      <c r="U243" s="343"/>
      <c r="V243" s="343"/>
      <c r="W243" s="343"/>
      <c r="X243" s="343"/>
      <c r="Y243" s="343"/>
      <c r="Z243" s="343"/>
      <c r="AA243" s="343"/>
      <c r="AB243" s="343"/>
      <c r="AC243" s="343"/>
      <c r="AD243" s="343"/>
      <c r="AE243" s="343"/>
      <c r="AF243" s="141"/>
      <c r="AG243" s="141"/>
      <c r="AH243" s="141"/>
      <c r="AI243" s="141"/>
      <c r="AJ243" s="141"/>
      <c r="AK243" s="141"/>
    </row>
    <row r="244" spans="1:37" ht="14.5" x14ac:dyDescent="0.35">
      <c r="A244" s="375"/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3"/>
      <c r="R244" s="343"/>
      <c r="S244" s="343"/>
      <c r="T244" s="343"/>
      <c r="U244" s="343"/>
      <c r="V244" s="343"/>
      <c r="W244" s="343"/>
      <c r="X244" s="343"/>
      <c r="Y244" s="343"/>
      <c r="Z244" s="343"/>
      <c r="AA244" s="343"/>
      <c r="AB244" s="343"/>
      <c r="AC244" s="343"/>
      <c r="AD244" s="343"/>
      <c r="AE244" s="343"/>
      <c r="AF244" s="141"/>
      <c r="AG244" s="141"/>
      <c r="AH244" s="141"/>
      <c r="AI244" s="141"/>
      <c r="AJ244" s="141"/>
      <c r="AK244" s="141"/>
    </row>
    <row r="245" spans="1:37" ht="14.5" x14ac:dyDescent="0.35">
      <c r="A245" s="375"/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3"/>
      <c r="R245" s="343"/>
      <c r="S245" s="343"/>
      <c r="T245" s="343"/>
      <c r="U245" s="343"/>
      <c r="V245" s="343"/>
      <c r="W245" s="343"/>
      <c r="X245" s="343"/>
      <c r="Y245" s="343"/>
      <c r="Z245" s="343"/>
      <c r="AA245" s="343"/>
      <c r="AB245" s="343"/>
      <c r="AC245" s="343"/>
      <c r="AD245" s="343"/>
      <c r="AE245" s="343"/>
      <c r="AF245" s="141"/>
      <c r="AG245" s="141"/>
      <c r="AH245" s="141"/>
      <c r="AI245" s="141"/>
      <c r="AJ245" s="141"/>
      <c r="AK245" s="141"/>
    </row>
    <row r="246" spans="1:37" ht="14.5" x14ac:dyDescent="0.35">
      <c r="A246" s="375"/>
      <c r="B246" s="343"/>
      <c r="C246" s="343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  <c r="O246" s="343"/>
      <c r="P246" s="343"/>
      <c r="Q246" s="343"/>
      <c r="R246" s="343"/>
      <c r="S246" s="343"/>
      <c r="T246" s="343"/>
      <c r="U246" s="343"/>
      <c r="V246" s="343"/>
      <c r="W246" s="343"/>
      <c r="X246" s="343"/>
      <c r="Y246" s="343"/>
      <c r="Z246" s="343"/>
      <c r="AA246" s="343"/>
      <c r="AB246" s="343"/>
      <c r="AC246" s="343"/>
      <c r="AD246" s="343"/>
      <c r="AE246" s="343"/>
      <c r="AF246" s="141"/>
      <c r="AG246" s="141"/>
      <c r="AH246" s="141"/>
      <c r="AI246" s="141"/>
      <c r="AJ246" s="141"/>
      <c r="AK246" s="141"/>
    </row>
    <row r="247" spans="1:37" ht="14.5" x14ac:dyDescent="0.35">
      <c r="A247" s="375"/>
      <c r="B247" s="343"/>
      <c r="C247" s="343"/>
      <c r="D247" s="343"/>
      <c r="E247" s="343"/>
      <c r="F247" s="343"/>
      <c r="G247" s="343"/>
      <c r="H247" s="343"/>
      <c r="I247" s="343"/>
      <c r="J247" s="343"/>
      <c r="K247" s="343"/>
      <c r="L247" s="343"/>
      <c r="M247" s="343"/>
      <c r="N247" s="343"/>
      <c r="O247" s="343"/>
      <c r="P247" s="343"/>
      <c r="Q247" s="343"/>
      <c r="R247" s="343"/>
      <c r="S247" s="343"/>
      <c r="T247" s="343"/>
      <c r="U247" s="343"/>
      <c r="V247" s="343"/>
      <c r="W247" s="343"/>
      <c r="X247" s="343"/>
      <c r="Y247" s="343"/>
      <c r="Z247" s="343"/>
      <c r="AA247" s="343"/>
      <c r="AB247" s="343"/>
      <c r="AC247" s="343"/>
      <c r="AD247" s="343"/>
      <c r="AE247" s="343"/>
      <c r="AF247" s="141"/>
      <c r="AG247" s="141"/>
      <c r="AH247" s="141"/>
      <c r="AI247" s="141"/>
      <c r="AJ247" s="141"/>
      <c r="AK247" s="141"/>
    </row>
    <row r="248" spans="1:37" ht="14.5" x14ac:dyDescent="0.35">
      <c r="A248" s="375"/>
      <c r="B248" s="343"/>
      <c r="C248" s="343"/>
      <c r="D248" s="343"/>
      <c r="E248" s="343"/>
      <c r="F248" s="343"/>
      <c r="G248" s="343"/>
      <c r="H248" s="343"/>
      <c r="I248" s="343"/>
      <c r="J248" s="343"/>
      <c r="K248" s="343"/>
      <c r="L248" s="343"/>
      <c r="M248" s="343"/>
      <c r="N248" s="343"/>
      <c r="O248" s="343"/>
      <c r="P248" s="343"/>
      <c r="Q248" s="343"/>
      <c r="R248" s="343"/>
      <c r="S248" s="343"/>
      <c r="T248" s="343"/>
      <c r="U248" s="343"/>
      <c r="V248" s="343"/>
      <c r="W248" s="343"/>
      <c r="X248" s="343"/>
      <c r="Y248" s="343"/>
      <c r="Z248" s="343"/>
      <c r="AA248" s="343"/>
      <c r="AB248" s="343"/>
      <c r="AC248" s="343"/>
      <c r="AD248" s="343"/>
      <c r="AE248" s="343"/>
      <c r="AF248" s="141"/>
      <c r="AG248" s="141"/>
      <c r="AH248" s="141"/>
      <c r="AI248" s="141"/>
      <c r="AJ248" s="141"/>
      <c r="AK248" s="141"/>
    </row>
    <row r="249" spans="1:37" ht="14.5" x14ac:dyDescent="0.35">
      <c r="A249" s="373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</row>
    <row r="250" spans="1:37" ht="14.5" x14ac:dyDescent="0.35">
      <c r="A250" s="373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  <c r="AJ250" s="141"/>
      <c r="AK250" s="141"/>
    </row>
    <row r="251" spans="1:37" ht="14.5" x14ac:dyDescent="0.35">
      <c r="A251" s="373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</row>
    <row r="252" spans="1:37" ht="14.5" x14ac:dyDescent="0.35">
      <c r="A252" s="373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</row>
    <row r="253" spans="1:37" ht="14.5" x14ac:dyDescent="0.35">
      <c r="A253" s="373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</row>
    <row r="254" spans="1:37" ht="14.5" x14ac:dyDescent="0.35">
      <c r="A254" s="373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</row>
    <row r="255" spans="1:37" ht="14.5" x14ac:dyDescent="0.35">
      <c r="A255" s="373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</row>
    <row r="256" spans="1:37" ht="14.5" x14ac:dyDescent="0.35">
      <c r="A256" s="373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</row>
    <row r="257" spans="1:37" ht="14.5" x14ac:dyDescent="0.35">
      <c r="A257" s="373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</row>
    <row r="258" spans="1:37" ht="14.5" x14ac:dyDescent="0.35">
      <c r="A258" s="373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</row>
    <row r="259" spans="1:37" ht="14.5" x14ac:dyDescent="0.35">
      <c r="A259" s="373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  <c r="AJ259" s="141"/>
      <c r="AK259" s="141"/>
    </row>
    <row r="260" spans="1:37" ht="14.5" x14ac:dyDescent="0.35">
      <c r="A260" s="373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</row>
    <row r="261" spans="1:37" ht="14.5" x14ac:dyDescent="0.35">
      <c r="A261" s="373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</row>
    <row r="262" spans="1:37" ht="14.5" x14ac:dyDescent="0.35">
      <c r="A262" s="373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</row>
    <row r="263" spans="1:37" ht="14.5" x14ac:dyDescent="0.35">
      <c r="A263" s="373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</row>
    <row r="264" spans="1:37" ht="14.5" x14ac:dyDescent="0.35">
      <c r="A264" s="373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</row>
    <row r="265" spans="1:37" ht="14.5" x14ac:dyDescent="0.35">
      <c r="A265" s="373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</row>
    <row r="266" spans="1:37" ht="14.5" x14ac:dyDescent="0.35">
      <c r="A266" s="373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</row>
    <row r="267" spans="1:37" ht="14.5" x14ac:dyDescent="0.35">
      <c r="A267" s="373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</row>
    <row r="268" spans="1:37" ht="14.5" x14ac:dyDescent="0.35">
      <c r="A268" s="373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</row>
    <row r="269" spans="1:37" ht="14.5" x14ac:dyDescent="0.35">
      <c r="A269" s="373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</row>
    <row r="270" spans="1:37" ht="14.5" x14ac:dyDescent="0.35">
      <c r="A270" s="373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</row>
    <row r="271" spans="1:37" ht="14.5" x14ac:dyDescent="0.35">
      <c r="A271" s="373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</row>
    <row r="272" spans="1:37" ht="14.5" x14ac:dyDescent="0.35">
      <c r="A272" s="373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</row>
    <row r="273" spans="1:37" ht="14.5" x14ac:dyDescent="0.35">
      <c r="A273" s="373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</row>
    <row r="274" spans="1:37" ht="14.5" x14ac:dyDescent="0.35">
      <c r="A274" s="373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</row>
    <row r="275" spans="1:37" ht="14.5" x14ac:dyDescent="0.35">
      <c r="A275" s="373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</row>
    <row r="276" spans="1:37" ht="14.5" x14ac:dyDescent="0.35">
      <c r="A276" s="373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</row>
    <row r="277" spans="1:37" ht="14.5" x14ac:dyDescent="0.35">
      <c r="A277" s="373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</row>
    <row r="278" spans="1:37" ht="14.5" x14ac:dyDescent="0.35">
      <c r="A278" s="373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</row>
    <row r="279" spans="1:37" ht="14.5" x14ac:dyDescent="0.35">
      <c r="A279" s="373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</row>
    <row r="280" spans="1:37" ht="14.5" x14ac:dyDescent="0.35">
      <c r="A280" s="373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</row>
    <row r="281" spans="1:37" ht="14.5" x14ac:dyDescent="0.35">
      <c r="A281" s="373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</row>
    <row r="282" spans="1:37" ht="14.5" x14ac:dyDescent="0.35">
      <c r="A282" s="373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</row>
    <row r="283" spans="1:37" ht="14.5" x14ac:dyDescent="0.35">
      <c r="A283" s="373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</row>
    <row r="284" spans="1:37" ht="14.5" x14ac:dyDescent="0.35">
      <c r="A284" s="373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</row>
    <row r="285" spans="1:37" ht="14.5" x14ac:dyDescent="0.35">
      <c r="A285" s="373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</row>
    <row r="286" spans="1:37" ht="14.5" x14ac:dyDescent="0.35">
      <c r="A286" s="373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</row>
    <row r="287" spans="1:37" ht="14.5" x14ac:dyDescent="0.35">
      <c r="A287" s="373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</row>
    <row r="288" spans="1:37" ht="14.5" x14ac:dyDescent="0.35">
      <c r="A288" s="373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</row>
    <row r="289" spans="1:37" ht="14.5" x14ac:dyDescent="0.35">
      <c r="A289" s="373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</row>
    <row r="290" spans="1:37" ht="14.5" x14ac:dyDescent="0.35">
      <c r="A290" s="373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</row>
    <row r="291" spans="1:37" ht="14.5" x14ac:dyDescent="0.35">
      <c r="A291" s="373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</row>
    <row r="292" spans="1:37" ht="14.5" x14ac:dyDescent="0.35">
      <c r="A292" s="373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</row>
    <row r="293" spans="1:37" ht="14.5" x14ac:dyDescent="0.35">
      <c r="A293" s="373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</row>
    <row r="294" spans="1:37" ht="14.5" x14ac:dyDescent="0.35">
      <c r="A294" s="373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</row>
    <row r="295" spans="1:37" ht="14.5" x14ac:dyDescent="0.35">
      <c r="A295" s="373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</row>
    <row r="296" spans="1:37" ht="14.5" x14ac:dyDescent="0.35">
      <c r="A296" s="373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</row>
    <row r="297" spans="1:37" ht="14.5" x14ac:dyDescent="0.35">
      <c r="A297" s="373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</row>
    <row r="298" spans="1:37" ht="14.5" x14ac:dyDescent="0.35">
      <c r="A298" s="373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</row>
    <row r="299" spans="1:37" ht="14.5" x14ac:dyDescent="0.35">
      <c r="A299" s="373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</row>
    <row r="300" spans="1:37" ht="14.5" x14ac:dyDescent="0.35">
      <c r="A300" s="373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</row>
    <row r="301" spans="1:37" ht="14.5" x14ac:dyDescent="0.35">
      <c r="A301" s="373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</row>
    <row r="302" spans="1:37" ht="14.5" x14ac:dyDescent="0.35">
      <c r="A302" s="373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</row>
    <row r="303" spans="1:37" ht="14.5" x14ac:dyDescent="0.35">
      <c r="A303" s="373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</row>
    <row r="304" spans="1:37" ht="14.5" x14ac:dyDescent="0.35">
      <c r="A304" s="373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</row>
    <row r="305" spans="1:37" ht="14.5" x14ac:dyDescent="0.35">
      <c r="A305" s="373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</row>
    <row r="306" spans="1:37" ht="14.5" x14ac:dyDescent="0.35">
      <c r="A306" s="373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</row>
    <row r="307" spans="1:37" ht="14.5" x14ac:dyDescent="0.35">
      <c r="A307" s="373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</row>
    <row r="308" spans="1:37" ht="14.5" x14ac:dyDescent="0.35">
      <c r="A308" s="373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</row>
    <row r="309" spans="1:37" ht="14.5" x14ac:dyDescent="0.35">
      <c r="A309" s="373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</row>
    <row r="310" spans="1:37" ht="14.5" x14ac:dyDescent="0.35">
      <c r="A310" s="373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</row>
    <row r="311" spans="1:37" ht="14.5" x14ac:dyDescent="0.35">
      <c r="A311" s="373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  <c r="AJ311" s="141"/>
      <c r="AK311" s="141"/>
    </row>
    <row r="312" spans="1:37" ht="14.5" x14ac:dyDescent="0.35">
      <c r="A312" s="373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</row>
    <row r="313" spans="1:37" ht="14.5" x14ac:dyDescent="0.35">
      <c r="A313" s="373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/>
    </row>
    <row r="314" spans="1:37" ht="14.5" x14ac:dyDescent="0.35">
      <c r="A314" s="373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</row>
    <row r="315" spans="1:37" ht="14.5" x14ac:dyDescent="0.35">
      <c r="A315" s="373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/>
    </row>
    <row r="316" spans="1:37" ht="14.5" x14ac:dyDescent="0.35">
      <c r="A316" s="373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</row>
    <row r="317" spans="1:37" ht="14.5" x14ac:dyDescent="0.35">
      <c r="A317" s="373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  <c r="AJ317" s="141"/>
      <c r="AK317" s="141"/>
    </row>
    <row r="318" spans="1:37" ht="14.5" x14ac:dyDescent="0.35">
      <c r="A318" s="373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</row>
    <row r="319" spans="1:37" ht="14.5" x14ac:dyDescent="0.35">
      <c r="A319" s="373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</row>
    <row r="320" spans="1:37" ht="14.5" x14ac:dyDescent="0.35">
      <c r="A320" s="373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</row>
    <row r="321" spans="1:37" ht="14.5" x14ac:dyDescent="0.35">
      <c r="A321" s="373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</row>
    <row r="322" spans="1:37" ht="14.5" x14ac:dyDescent="0.35">
      <c r="A322" s="373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  <c r="AJ322" s="141"/>
      <c r="AK322" s="141"/>
    </row>
    <row r="323" spans="1:37" ht="14.5" x14ac:dyDescent="0.35">
      <c r="A323" s="373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  <c r="AJ323" s="141"/>
      <c r="AK323" s="141"/>
    </row>
    <row r="324" spans="1:37" ht="14.5" x14ac:dyDescent="0.35">
      <c r="A324" s="373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</row>
    <row r="325" spans="1:37" ht="14.5" x14ac:dyDescent="0.35">
      <c r="A325" s="373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</row>
    <row r="326" spans="1:37" ht="14.5" x14ac:dyDescent="0.35">
      <c r="A326" s="373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</row>
    <row r="327" spans="1:37" ht="14.5" x14ac:dyDescent="0.35">
      <c r="A327" s="373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</row>
    <row r="328" spans="1:37" ht="14.5" x14ac:dyDescent="0.35">
      <c r="A328" s="373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</row>
    <row r="329" spans="1:37" ht="14.5" x14ac:dyDescent="0.35">
      <c r="A329" s="373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</row>
    <row r="330" spans="1:37" ht="14.5" x14ac:dyDescent="0.35">
      <c r="A330" s="373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</row>
    <row r="331" spans="1:37" ht="14.5" x14ac:dyDescent="0.35">
      <c r="A331" s="373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</row>
    <row r="332" spans="1:37" ht="14.5" x14ac:dyDescent="0.35">
      <c r="A332" s="373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</row>
    <row r="333" spans="1:37" ht="14.5" x14ac:dyDescent="0.35">
      <c r="A333" s="373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</row>
    <row r="334" spans="1:37" ht="14.5" x14ac:dyDescent="0.35">
      <c r="A334" s="373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</row>
    <row r="335" spans="1:37" ht="14.5" x14ac:dyDescent="0.35">
      <c r="A335" s="373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</row>
    <row r="336" spans="1:37" ht="14.5" x14ac:dyDescent="0.35">
      <c r="A336" s="373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  <c r="AJ336" s="141"/>
      <c r="AK336" s="141"/>
    </row>
    <row r="337" spans="1:37" ht="14.5" x14ac:dyDescent="0.35">
      <c r="A337" s="373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</row>
    <row r="338" spans="1:37" ht="14.5" x14ac:dyDescent="0.35">
      <c r="A338" s="373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</row>
    <row r="339" spans="1:37" ht="14.5" x14ac:dyDescent="0.35">
      <c r="A339" s="373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</row>
    <row r="340" spans="1:37" ht="14.5" x14ac:dyDescent="0.35">
      <c r="A340" s="373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</row>
    <row r="341" spans="1:37" ht="14.5" x14ac:dyDescent="0.35">
      <c r="A341" s="373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</row>
    <row r="342" spans="1:37" ht="14.5" x14ac:dyDescent="0.35">
      <c r="A342" s="373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</row>
    <row r="343" spans="1:37" ht="14.5" x14ac:dyDescent="0.35">
      <c r="A343" s="373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</row>
    <row r="344" spans="1:37" ht="14.5" x14ac:dyDescent="0.35">
      <c r="A344" s="373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</row>
    <row r="345" spans="1:37" ht="14.5" x14ac:dyDescent="0.35">
      <c r="A345" s="373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</row>
    <row r="346" spans="1:37" ht="14.5" x14ac:dyDescent="0.35">
      <c r="A346" s="373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</row>
    <row r="347" spans="1:37" ht="14.5" x14ac:dyDescent="0.35">
      <c r="A347" s="373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</row>
    <row r="348" spans="1:37" ht="14.5" x14ac:dyDescent="0.35">
      <c r="A348" s="373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</row>
    <row r="349" spans="1:37" ht="14.5" x14ac:dyDescent="0.35">
      <c r="A349" s="373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</row>
    <row r="350" spans="1:37" ht="14.5" x14ac:dyDescent="0.35">
      <c r="A350" s="373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</row>
    <row r="351" spans="1:37" ht="14.5" x14ac:dyDescent="0.35">
      <c r="A351" s="373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</row>
    <row r="352" spans="1:37" ht="14.5" x14ac:dyDescent="0.35">
      <c r="A352" s="373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</row>
    <row r="353" spans="1:37" ht="14.5" x14ac:dyDescent="0.35">
      <c r="A353" s="373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  <c r="AJ353" s="141"/>
      <c r="AK353" s="141"/>
    </row>
    <row r="354" spans="1:37" ht="14.5" x14ac:dyDescent="0.35">
      <c r="A354" s="373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</row>
    <row r="355" spans="1:37" ht="14.5" x14ac:dyDescent="0.35">
      <c r="A355" s="373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</row>
    <row r="356" spans="1:37" ht="14.5" x14ac:dyDescent="0.35">
      <c r="A356" s="373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</row>
    <row r="357" spans="1:37" ht="14.5" x14ac:dyDescent="0.35">
      <c r="A357" s="373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</row>
    <row r="358" spans="1:37" ht="14.5" x14ac:dyDescent="0.35">
      <c r="A358" s="373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</row>
    <row r="359" spans="1:37" ht="14.5" x14ac:dyDescent="0.35">
      <c r="A359" s="373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</row>
    <row r="360" spans="1:37" ht="14.5" x14ac:dyDescent="0.35">
      <c r="A360" s="373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</row>
    <row r="361" spans="1:37" ht="14.5" x14ac:dyDescent="0.35">
      <c r="A361" s="373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</row>
    <row r="362" spans="1:37" ht="14.5" x14ac:dyDescent="0.35">
      <c r="A362" s="373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</row>
    <row r="363" spans="1:37" ht="14.5" x14ac:dyDescent="0.35">
      <c r="A363" s="373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</row>
    <row r="364" spans="1:37" ht="14.5" x14ac:dyDescent="0.35">
      <c r="A364" s="373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</row>
    <row r="365" spans="1:37" ht="14.5" x14ac:dyDescent="0.35">
      <c r="A365" s="373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</row>
    <row r="366" spans="1:37" ht="14.5" x14ac:dyDescent="0.35">
      <c r="A366" s="373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</row>
    <row r="367" spans="1:37" ht="14.5" x14ac:dyDescent="0.35">
      <c r="A367" s="373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</row>
    <row r="368" spans="1:37" ht="14.5" x14ac:dyDescent="0.35">
      <c r="A368" s="373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</row>
    <row r="369" spans="1:37" ht="14.5" x14ac:dyDescent="0.35">
      <c r="A369" s="373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</row>
    <row r="370" spans="1:37" ht="14.5" x14ac:dyDescent="0.35">
      <c r="A370" s="373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</row>
    <row r="371" spans="1:37" ht="14.5" x14ac:dyDescent="0.35">
      <c r="A371" s="373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</row>
    <row r="372" spans="1:37" ht="14.5" x14ac:dyDescent="0.35">
      <c r="A372" s="373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  <c r="AJ372" s="141"/>
      <c r="AK372" s="141"/>
    </row>
    <row r="373" spans="1:37" ht="14.5" x14ac:dyDescent="0.35">
      <c r="A373" s="373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  <c r="AJ373" s="141"/>
      <c r="AK373" s="141"/>
    </row>
    <row r="374" spans="1:37" ht="14.5" x14ac:dyDescent="0.35">
      <c r="A374" s="373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  <c r="AJ374" s="141"/>
      <c r="AK374" s="141"/>
    </row>
    <row r="375" spans="1:37" ht="14.5" x14ac:dyDescent="0.35">
      <c r="A375" s="373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</row>
    <row r="376" spans="1:37" ht="14.5" x14ac:dyDescent="0.35">
      <c r="A376" s="373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  <c r="AJ376" s="141"/>
      <c r="AK376" s="141"/>
    </row>
    <row r="377" spans="1:37" ht="14.5" x14ac:dyDescent="0.35">
      <c r="A377" s="373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</row>
    <row r="378" spans="1:37" ht="14.5" x14ac:dyDescent="0.35">
      <c r="A378" s="373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  <c r="AJ378" s="141"/>
      <c r="AK378" s="141"/>
    </row>
    <row r="379" spans="1:37" ht="14.5" x14ac:dyDescent="0.35">
      <c r="A379" s="373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</row>
    <row r="380" spans="1:37" ht="14.5" x14ac:dyDescent="0.35">
      <c r="A380" s="373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</row>
    <row r="381" spans="1:37" ht="14.5" x14ac:dyDescent="0.35">
      <c r="A381" s="373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/>
    </row>
    <row r="382" spans="1:37" ht="14.5" x14ac:dyDescent="0.35">
      <c r="A382" s="373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  <c r="AJ382" s="141"/>
      <c r="AK382" s="141"/>
    </row>
    <row r="383" spans="1:37" ht="14.5" x14ac:dyDescent="0.35">
      <c r="A383" s="373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  <c r="AJ383" s="141"/>
      <c r="AK383" s="141"/>
    </row>
    <row r="384" spans="1:37" ht="14.5" x14ac:dyDescent="0.35">
      <c r="A384" s="373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  <c r="AJ384" s="141"/>
      <c r="AK384" s="141"/>
    </row>
    <row r="385" spans="1:37" ht="14.5" x14ac:dyDescent="0.35">
      <c r="A385" s="373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/>
    </row>
    <row r="386" spans="1:37" ht="14.5" x14ac:dyDescent="0.35">
      <c r="A386" s="373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</row>
    <row r="387" spans="1:37" ht="14.5" x14ac:dyDescent="0.35">
      <c r="A387" s="373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</row>
    <row r="388" spans="1:37" ht="14.5" x14ac:dyDescent="0.35">
      <c r="A388" s="373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</row>
    <row r="389" spans="1:37" ht="14.5" x14ac:dyDescent="0.35">
      <c r="A389" s="373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/>
    </row>
    <row r="390" spans="1:37" ht="14.5" x14ac:dyDescent="0.35">
      <c r="A390" s="373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</row>
    <row r="391" spans="1:37" ht="14.5" x14ac:dyDescent="0.35">
      <c r="A391" s="373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</row>
    <row r="392" spans="1:37" ht="14.5" x14ac:dyDescent="0.35">
      <c r="A392" s="373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</row>
    <row r="393" spans="1:37" ht="14.5" x14ac:dyDescent="0.35">
      <c r="A393" s="373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</row>
    <row r="394" spans="1:37" ht="14.5" x14ac:dyDescent="0.35">
      <c r="A394" s="373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</row>
    <row r="395" spans="1:37" ht="14.5" x14ac:dyDescent="0.35">
      <c r="A395" s="373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</row>
    <row r="396" spans="1:37" ht="14.5" x14ac:dyDescent="0.35">
      <c r="A396" s="373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</row>
    <row r="397" spans="1:37" ht="14.5" x14ac:dyDescent="0.35">
      <c r="A397" s="373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</row>
    <row r="398" spans="1:37" ht="14.5" x14ac:dyDescent="0.35">
      <c r="A398" s="373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</row>
    <row r="399" spans="1:37" ht="14.5" x14ac:dyDescent="0.35">
      <c r="A399" s="373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</row>
    <row r="400" spans="1:37" ht="14.5" x14ac:dyDescent="0.35">
      <c r="A400" s="373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  <c r="AJ400" s="141"/>
      <c r="AK400" s="141"/>
    </row>
    <row r="401" spans="1:37" ht="14.5" x14ac:dyDescent="0.35">
      <c r="A401" s="373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  <c r="AJ401" s="141"/>
      <c r="AK401" s="141"/>
    </row>
    <row r="402" spans="1:37" ht="14.5" x14ac:dyDescent="0.35">
      <c r="A402" s="373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  <c r="AJ402" s="141"/>
      <c r="AK402" s="141"/>
    </row>
    <row r="403" spans="1:37" ht="14.5" x14ac:dyDescent="0.35">
      <c r="A403" s="373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</row>
    <row r="404" spans="1:37" ht="14.5" x14ac:dyDescent="0.35">
      <c r="A404" s="373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</row>
    <row r="405" spans="1:37" ht="14.5" x14ac:dyDescent="0.35">
      <c r="A405" s="373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</row>
    <row r="406" spans="1:37" ht="14.5" x14ac:dyDescent="0.35">
      <c r="A406" s="373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</row>
    <row r="407" spans="1:37" ht="14.5" x14ac:dyDescent="0.35">
      <c r="A407" s="373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  <c r="AJ407" s="141"/>
      <c r="AK407" s="141"/>
    </row>
    <row r="408" spans="1:37" ht="14.5" x14ac:dyDescent="0.35">
      <c r="A408" s="373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  <c r="AJ408" s="141"/>
      <c r="AK408" s="141"/>
    </row>
    <row r="409" spans="1:37" ht="14.5" x14ac:dyDescent="0.35">
      <c r="A409" s="373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</row>
    <row r="410" spans="1:37" ht="14.5" x14ac:dyDescent="0.35">
      <c r="A410" s="373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</row>
    <row r="411" spans="1:37" ht="14.5" x14ac:dyDescent="0.35">
      <c r="A411" s="373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</row>
    <row r="412" spans="1:37" ht="14.5" x14ac:dyDescent="0.35">
      <c r="A412" s="373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</row>
    <row r="413" spans="1:37" ht="14.5" x14ac:dyDescent="0.35">
      <c r="A413" s="373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</row>
    <row r="414" spans="1:37" ht="14.5" x14ac:dyDescent="0.35">
      <c r="A414" s="373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</row>
    <row r="415" spans="1:37" ht="14.5" x14ac:dyDescent="0.35">
      <c r="A415" s="373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  <c r="AJ415" s="141"/>
      <c r="AK415" s="141"/>
    </row>
    <row r="416" spans="1:37" ht="14.5" x14ac:dyDescent="0.35">
      <c r="A416" s="373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</row>
    <row r="417" spans="1:37" ht="14.5" x14ac:dyDescent="0.35">
      <c r="A417" s="373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  <c r="AJ417" s="141"/>
      <c r="AK417" s="141"/>
    </row>
    <row r="418" spans="1:37" ht="14.5" x14ac:dyDescent="0.35">
      <c r="A418" s="373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</row>
    <row r="419" spans="1:37" ht="14.5" x14ac:dyDescent="0.35">
      <c r="A419" s="373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  <c r="AJ419" s="141"/>
      <c r="AK419" s="141"/>
    </row>
    <row r="420" spans="1:37" ht="14.5" x14ac:dyDescent="0.35">
      <c r="A420" s="373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</row>
    <row r="421" spans="1:37" ht="14.5" x14ac:dyDescent="0.35">
      <c r="A421" s="373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</row>
    <row r="422" spans="1:37" ht="14.5" x14ac:dyDescent="0.35">
      <c r="A422" s="373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</row>
    <row r="423" spans="1:37" ht="14.5" x14ac:dyDescent="0.35">
      <c r="A423" s="373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</row>
    <row r="424" spans="1:37" ht="14.5" x14ac:dyDescent="0.35">
      <c r="A424" s="373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</row>
    <row r="425" spans="1:37" ht="14.5" x14ac:dyDescent="0.35">
      <c r="A425" s="373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</row>
    <row r="426" spans="1:37" ht="14.5" x14ac:dyDescent="0.35">
      <c r="A426" s="373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</row>
    <row r="427" spans="1:37" ht="14.5" x14ac:dyDescent="0.35">
      <c r="A427" s="373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</row>
    <row r="428" spans="1:37" ht="14.5" x14ac:dyDescent="0.35">
      <c r="A428" s="373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</row>
    <row r="429" spans="1:37" ht="14.5" x14ac:dyDescent="0.35">
      <c r="A429" s="373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</row>
    <row r="430" spans="1:37" ht="14.5" x14ac:dyDescent="0.35">
      <c r="A430" s="373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</row>
    <row r="431" spans="1:37" ht="14.5" x14ac:dyDescent="0.35">
      <c r="A431" s="373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</row>
    <row r="432" spans="1:37" ht="14.5" x14ac:dyDescent="0.35">
      <c r="A432" s="373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</row>
    <row r="433" spans="1:37" ht="14.5" x14ac:dyDescent="0.35">
      <c r="A433" s="373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</row>
    <row r="434" spans="1:37" ht="14.5" x14ac:dyDescent="0.35">
      <c r="A434" s="373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</row>
    <row r="435" spans="1:37" ht="14.5" x14ac:dyDescent="0.35">
      <c r="A435" s="373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</row>
    <row r="436" spans="1:37" ht="14.5" x14ac:dyDescent="0.35">
      <c r="A436" s="373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</row>
    <row r="437" spans="1:37" ht="14.5" x14ac:dyDescent="0.35">
      <c r="A437" s="373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</row>
    <row r="438" spans="1:37" ht="14.5" x14ac:dyDescent="0.35">
      <c r="A438" s="373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</row>
    <row r="439" spans="1:37" ht="14.5" x14ac:dyDescent="0.35">
      <c r="A439" s="373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</row>
    <row r="440" spans="1:37" ht="14.5" x14ac:dyDescent="0.35">
      <c r="A440" s="373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</row>
    <row r="441" spans="1:37" ht="14.5" x14ac:dyDescent="0.35">
      <c r="A441" s="373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</row>
    <row r="442" spans="1:37" ht="14.5" x14ac:dyDescent="0.35">
      <c r="A442" s="373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</row>
    <row r="443" spans="1:37" ht="14.5" x14ac:dyDescent="0.35">
      <c r="A443" s="373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</row>
    <row r="444" spans="1:37" ht="14.5" x14ac:dyDescent="0.35">
      <c r="A444" s="373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</row>
    <row r="445" spans="1:37" ht="14.5" x14ac:dyDescent="0.35">
      <c r="A445" s="373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</row>
    <row r="446" spans="1:37" ht="14.5" x14ac:dyDescent="0.35">
      <c r="A446" s="373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  <c r="AJ446" s="141"/>
      <c r="AK446" s="141"/>
    </row>
    <row r="447" spans="1:37" ht="14.5" x14ac:dyDescent="0.35">
      <c r="A447" s="373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/>
    </row>
    <row r="448" spans="1:37" ht="14.5" x14ac:dyDescent="0.35">
      <c r="A448" s="373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</row>
    <row r="449" spans="1:37" ht="14.5" x14ac:dyDescent="0.35">
      <c r="A449" s="373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</row>
    <row r="450" spans="1:37" ht="14.5" x14ac:dyDescent="0.35">
      <c r="A450" s="373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</row>
    <row r="451" spans="1:37" ht="14.5" x14ac:dyDescent="0.35">
      <c r="A451" s="373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</row>
    <row r="452" spans="1:37" ht="14.5" x14ac:dyDescent="0.35">
      <c r="A452" s="373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</row>
    <row r="453" spans="1:37" ht="14.5" x14ac:dyDescent="0.35">
      <c r="A453" s="373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</row>
    <row r="454" spans="1:37" ht="14.5" x14ac:dyDescent="0.35">
      <c r="A454" s="373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</row>
    <row r="455" spans="1:37" ht="14.5" x14ac:dyDescent="0.35">
      <c r="A455" s="373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</row>
    <row r="456" spans="1:37" ht="14.5" x14ac:dyDescent="0.35">
      <c r="A456" s="373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</row>
    <row r="457" spans="1:37" ht="14.5" x14ac:dyDescent="0.35">
      <c r="A457" s="373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</row>
    <row r="458" spans="1:37" ht="14.5" x14ac:dyDescent="0.35">
      <c r="A458" s="373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</row>
    <row r="459" spans="1:37" ht="14.5" x14ac:dyDescent="0.35">
      <c r="A459" s="373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</row>
    <row r="460" spans="1:37" ht="14.5" x14ac:dyDescent="0.35">
      <c r="A460" s="373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</row>
    <row r="461" spans="1:37" ht="14.5" x14ac:dyDescent="0.35">
      <c r="A461" s="373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</row>
    <row r="462" spans="1:37" ht="14.5" x14ac:dyDescent="0.35">
      <c r="A462" s="373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</row>
    <row r="463" spans="1:37" ht="14.5" x14ac:dyDescent="0.35">
      <c r="A463" s="373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</row>
    <row r="464" spans="1:37" ht="14.5" x14ac:dyDescent="0.35">
      <c r="A464" s="373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</row>
    <row r="465" spans="1:37" ht="14.5" x14ac:dyDescent="0.35">
      <c r="A465" s="373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</row>
    <row r="466" spans="1:37" ht="14.5" x14ac:dyDescent="0.35">
      <c r="A466" s="373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</row>
    <row r="467" spans="1:37" ht="14.5" x14ac:dyDescent="0.35">
      <c r="A467" s="373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</row>
    <row r="468" spans="1:37" ht="14.5" x14ac:dyDescent="0.35">
      <c r="A468" s="373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</row>
    <row r="469" spans="1:37" ht="14.5" x14ac:dyDescent="0.35">
      <c r="A469" s="373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</row>
    <row r="470" spans="1:37" ht="14.5" x14ac:dyDescent="0.35">
      <c r="A470" s="373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</row>
    <row r="471" spans="1:37" ht="14.5" x14ac:dyDescent="0.35">
      <c r="A471" s="373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</row>
    <row r="472" spans="1:37" ht="14.5" x14ac:dyDescent="0.35">
      <c r="A472" s="373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</row>
    <row r="473" spans="1:37" ht="14.5" x14ac:dyDescent="0.35">
      <c r="A473" s="373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</row>
    <row r="474" spans="1:37" ht="14.5" x14ac:dyDescent="0.35">
      <c r="A474" s="373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</row>
    <row r="475" spans="1:37" ht="14.5" x14ac:dyDescent="0.35">
      <c r="A475" s="373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</row>
    <row r="476" spans="1:37" ht="14.5" x14ac:dyDescent="0.35">
      <c r="A476" s="373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</row>
    <row r="477" spans="1:37" ht="14.5" x14ac:dyDescent="0.35">
      <c r="A477" s="373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</row>
    <row r="478" spans="1:37" ht="14.5" x14ac:dyDescent="0.35">
      <c r="A478" s="373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</row>
    <row r="479" spans="1:37" ht="14.5" x14ac:dyDescent="0.35">
      <c r="A479" s="373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</row>
    <row r="480" spans="1:37" ht="14.5" x14ac:dyDescent="0.35">
      <c r="A480" s="373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</row>
    <row r="481" spans="1:37" ht="14.5" x14ac:dyDescent="0.35">
      <c r="A481" s="373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</row>
    <row r="482" spans="1:37" ht="14.5" x14ac:dyDescent="0.35">
      <c r="A482" s="373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</row>
    <row r="483" spans="1:37" ht="14.5" x14ac:dyDescent="0.35">
      <c r="A483" s="373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</row>
    <row r="484" spans="1:37" ht="14.5" x14ac:dyDescent="0.35">
      <c r="A484" s="373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</row>
    <row r="485" spans="1:37" ht="14.5" x14ac:dyDescent="0.35">
      <c r="A485" s="373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</row>
    <row r="486" spans="1:37" ht="14.5" x14ac:dyDescent="0.35">
      <c r="A486" s="373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</row>
    <row r="487" spans="1:37" ht="14.5" x14ac:dyDescent="0.35">
      <c r="A487" s="373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</row>
    <row r="488" spans="1:37" ht="14.5" x14ac:dyDescent="0.35">
      <c r="A488" s="373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</row>
    <row r="489" spans="1:37" ht="14.5" x14ac:dyDescent="0.35">
      <c r="A489" s="373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</row>
    <row r="490" spans="1:37" ht="14.5" x14ac:dyDescent="0.35">
      <c r="A490" s="373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</row>
    <row r="491" spans="1:37" ht="14.5" x14ac:dyDescent="0.35">
      <c r="A491" s="373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</row>
    <row r="492" spans="1:37" ht="14.5" x14ac:dyDescent="0.35">
      <c r="A492" s="373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</row>
    <row r="493" spans="1:37" ht="14.5" x14ac:dyDescent="0.35">
      <c r="A493" s="373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</row>
    <row r="494" spans="1:37" ht="14.5" x14ac:dyDescent="0.35">
      <c r="A494" s="373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</row>
    <row r="495" spans="1:37" ht="14.5" x14ac:dyDescent="0.35">
      <c r="A495" s="373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</row>
    <row r="496" spans="1:37" ht="14.5" x14ac:dyDescent="0.35">
      <c r="A496" s="373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</row>
    <row r="497" spans="1:37" ht="14.5" x14ac:dyDescent="0.35">
      <c r="A497" s="373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</row>
    <row r="498" spans="1:37" ht="14.5" x14ac:dyDescent="0.35">
      <c r="A498" s="373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</row>
    <row r="499" spans="1:37" ht="14.5" x14ac:dyDescent="0.35">
      <c r="A499" s="373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</row>
    <row r="500" spans="1:37" ht="14.5" x14ac:dyDescent="0.35">
      <c r="A500" s="373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</row>
    <row r="501" spans="1:37" ht="14.5" x14ac:dyDescent="0.35">
      <c r="A501" s="373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</row>
    <row r="502" spans="1:37" ht="14.5" x14ac:dyDescent="0.35">
      <c r="A502" s="373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</row>
    <row r="503" spans="1:37" ht="14.5" x14ac:dyDescent="0.35">
      <c r="A503" s="373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</row>
    <row r="504" spans="1:37" ht="14.5" x14ac:dyDescent="0.35">
      <c r="A504" s="373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</row>
    <row r="505" spans="1:37" ht="14.5" x14ac:dyDescent="0.35">
      <c r="A505" s="373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</row>
    <row r="506" spans="1:37" ht="14.5" x14ac:dyDescent="0.35">
      <c r="A506" s="373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</row>
    <row r="507" spans="1:37" ht="14.5" x14ac:dyDescent="0.35">
      <c r="A507" s="373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</row>
    <row r="508" spans="1:37" ht="14.5" x14ac:dyDescent="0.35">
      <c r="A508" s="373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</row>
    <row r="509" spans="1:37" ht="14.5" x14ac:dyDescent="0.35">
      <c r="A509" s="373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</row>
    <row r="510" spans="1:37" ht="14.5" x14ac:dyDescent="0.35">
      <c r="A510" s="373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</row>
    <row r="511" spans="1:37" ht="14.5" x14ac:dyDescent="0.35">
      <c r="A511" s="373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</row>
    <row r="512" spans="1:37" ht="14.5" x14ac:dyDescent="0.35">
      <c r="A512" s="373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</row>
    <row r="513" spans="1:37" ht="14.5" x14ac:dyDescent="0.35">
      <c r="A513" s="373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</row>
    <row r="514" spans="1:37" ht="14.5" x14ac:dyDescent="0.35">
      <c r="A514" s="373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</row>
    <row r="515" spans="1:37" ht="14.5" x14ac:dyDescent="0.35">
      <c r="A515" s="373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</row>
    <row r="516" spans="1:37" ht="14.5" x14ac:dyDescent="0.35">
      <c r="A516" s="373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</row>
    <row r="517" spans="1:37" ht="14.5" x14ac:dyDescent="0.35">
      <c r="A517" s="373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</row>
    <row r="518" spans="1:37" ht="14.5" x14ac:dyDescent="0.35">
      <c r="A518" s="373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</row>
    <row r="519" spans="1:37" ht="14.5" x14ac:dyDescent="0.35">
      <c r="A519" s="373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</row>
    <row r="520" spans="1:37" ht="14.5" x14ac:dyDescent="0.35">
      <c r="A520" s="373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</row>
    <row r="521" spans="1:37" ht="14.5" x14ac:dyDescent="0.35">
      <c r="A521" s="373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</row>
    <row r="522" spans="1:37" ht="14.5" x14ac:dyDescent="0.35">
      <c r="A522" s="373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</row>
    <row r="523" spans="1:37" ht="14.5" x14ac:dyDescent="0.35">
      <c r="A523" s="373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</row>
    <row r="524" spans="1:37" ht="14.5" x14ac:dyDescent="0.35">
      <c r="A524" s="373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</row>
    <row r="525" spans="1:37" ht="14.5" x14ac:dyDescent="0.35">
      <c r="A525" s="373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</row>
    <row r="526" spans="1:37" ht="14.5" x14ac:dyDescent="0.35">
      <c r="A526" s="373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</row>
    <row r="527" spans="1:37" ht="14.5" x14ac:dyDescent="0.35">
      <c r="A527" s="373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</row>
    <row r="528" spans="1:37" ht="14.5" x14ac:dyDescent="0.35">
      <c r="A528" s="373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</row>
    <row r="529" spans="1:37" ht="14.5" x14ac:dyDescent="0.35">
      <c r="A529" s="373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</row>
    <row r="530" spans="1:37" ht="14.5" x14ac:dyDescent="0.35">
      <c r="A530" s="373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</row>
    <row r="531" spans="1:37" ht="14.5" x14ac:dyDescent="0.35">
      <c r="A531" s="373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</row>
    <row r="532" spans="1:37" ht="14.5" x14ac:dyDescent="0.35">
      <c r="A532" s="373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</row>
    <row r="533" spans="1:37" ht="14.5" x14ac:dyDescent="0.35">
      <c r="A533" s="373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</row>
    <row r="534" spans="1:37" ht="14.5" x14ac:dyDescent="0.35">
      <c r="A534" s="373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</row>
    <row r="535" spans="1:37" ht="14.5" x14ac:dyDescent="0.35">
      <c r="A535" s="373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</row>
    <row r="536" spans="1:37" ht="14.5" x14ac:dyDescent="0.35">
      <c r="A536" s="373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</row>
    <row r="537" spans="1:37" ht="14.5" x14ac:dyDescent="0.35">
      <c r="A537" s="373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</row>
    <row r="538" spans="1:37" ht="14.5" x14ac:dyDescent="0.35">
      <c r="A538" s="373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</row>
    <row r="539" spans="1:37" ht="14.5" x14ac:dyDescent="0.35">
      <c r="A539" s="373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</row>
    <row r="540" spans="1:37" ht="14.5" x14ac:dyDescent="0.35">
      <c r="A540" s="373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</row>
    <row r="541" spans="1:37" ht="14.5" x14ac:dyDescent="0.35">
      <c r="A541" s="373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</row>
    <row r="542" spans="1:37" ht="14.5" x14ac:dyDescent="0.35">
      <c r="A542" s="373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</row>
    <row r="543" spans="1:37" ht="14.5" x14ac:dyDescent="0.35">
      <c r="A543" s="373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</row>
    <row r="544" spans="1:37" ht="14.5" x14ac:dyDescent="0.35">
      <c r="A544" s="373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</row>
    <row r="545" spans="1:37" ht="14.5" x14ac:dyDescent="0.35">
      <c r="A545" s="373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</row>
    <row r="546" spans="1:37" ht="14.5" x14ac:dyDescent="0.35">
      <c r="A546" s="373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</row>
    <row r="547" spans="1:37" ht="14.5" x14ac:dyDescent="0.35">
      <c r="A547" s="373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</row>
    <row r="548" spans="1:37" ht="14.5" x14ac:dyDescent="0.35">
      <c r="A548" s="373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</row>
    <row r="549" spans="1:37" ht="14.5" x14ac:dyDescent="0.35">
      <c r="A549" s="373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</row>
    <row r="550" spans="1:37" ht="14.5" x14ac:dyDescent="0.35">
      <c r="A550" s="373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</row>
    <row r="551" spans="1:37" ht="14.5" x14ac:dyDescent="0.35">
      <c r="A551" s="373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</row>
    <row r="552" spans="1:37" ht="14.5" x14ac:dyDescent="0.35">
      <c r="A552" s="373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</row>
    <row r="553" spans="1:37" ht="14.5" x14ac:dyDescent="0.35">
      <c r="A553" s="373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</row>
    <row r="554" spans="1:37" ht="14.5" x14ac:dyDescent="0.35">
      <c r="A554" s="373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</row>
    <row r="555" spans="1:37" ht="14.5" x14ac:dyDescent="0.35">
      <c r="A555" s="373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</row>
    <row r="556" spans="1:37" ht="14.5" x14ac:dyDescent="0.35">
      <c r="A556" s="373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</row>
    <row r="557" spans="1:37" ht="14.5" x14ac:dyDescent="0.35">
      <c r="A557" s="373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</row>
    <row r="558" spans="1:37" ht="14.5" x14ac:dyDescent="0.35">
      <c r="A558" s="373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</row>
    <row r="559" spans="1:37" ht="14.5" x14ac:dyDescent="0.35">
      <c r="A559" s="373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</row>
    <row r="560" spans="1:37" ht="14.5" x14ac:dyDescent="0.35">
      <c r="A560" s="373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</row>
    <row r="561" spans="1:37" ht="14.5" x14ac:dyDescent="0.35">
      <c r="A561" s="373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</row>
    <row r="562" spans="1:37" ht="14.5" x14ac:dyDescent="0.35">
      <c r="A562" s="373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</row>
    <row r="563" spans="1:37" ht="14.5" x14ac:dyDescent="0.35">
      <c r="A563" s="373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</row>
    <row r="564" spans="1:37" ht="14.5" x14ac:dyDescent="0.35">
      <c r="A564" s="373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</row>
    <row r="565" spans="1:37" ht="14.5" x14ac:dyDescent="0.35">
      <c r="A565" s="373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</row>
    <row r="566" spans="1:37" ht="14.5" x14ac:dyDescent="0.35">
      <c r="A566" s="373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</row>
    <row r="567" spans="1:37" ht="14.5" x14ac:dyDescent="0.35">
      <c r="A567" s="373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</row>
    <row r="568" spans="1:37" ht="14.5" x14ac:dyDescent="0.35">
      <c r="A568" s="373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</row>
    <row r="569" spans="1:37" ht="14.5" x14ac:dyDescent="0.35">
      <c r="A569" s="373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</row>
    <row r="570" spans="1:37" ht="14.5" x14ac:dyDescent="0.35">
      <c r="A570" s="373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</row>
    <row r="571" spans="1:37" ht="14.5" x14ac:dyDescent="0.35">
      <c r="A571" s="373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</row>
    <row r="572" spans="1:37" ht="14.5" x14ac:dyDescent="0.35">
      <c r="A572" s="373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</row>
    <row r="573" spans="1:37" ht="14.5" x14ac:dyDescent="0.35">
      <c r="A573" s="373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</row>
    <row r="574" spans="1:37" ht="14.5" x14ac:dyDescent="0.35">
      <c r="A574" s="373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</row>
    <row r="575" spans="1:37" ht="14.5" x14ac:dyDescent="0.35">
      <c r="A575" s="373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</row>
    <row r="576" spans="1:37" ht="14.5" x14ac:dyDescent="0.35">
      <c r="A576" s="373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</row>
    <row r="577" spans="1:37" ht="14.5" x14ac:dyDescent="0.35">
      <c r="A577" s="373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</row>
    <row r="578" spans="1:37" ht="14.5" x14ac:dyDescent="0.35">
      <c r="A578" s="373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</row>
    <row r="579" spans="1:37" ht="14.5" x14ac:dyDescent="0.35">
      <c r="A579" s="373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</row>
    <row r="580" spans="1:37" ht="14.5" x14ac:dyDescent="0.35">
      <c r="A580" s="373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</row>
    <row r="581" spans="1:37" ht="14.5" x14ac:dyDescent="0.35">
      <c r="A581" s="373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</row>
    <row r="582" spans="1:37" ht="14.5" x14ac:dyDescent="0.35">
      <c r="A582" s="373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</row>
    <row r="583" spans="1:37" ht="14.5" x14ac:dyDescent="0.35">
      <c r="A583" s="373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</row>
    <row r="584" spans="1:37" ht="14.5" x14ac:dyDescent="0.35">
      <c r="A584" s="373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</row>
    <row r="585" spans="1:37" ht="14.5" x14ac:dyDescent="0.35">
      <c r="A585" s="373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</row>
    <row r="586" spans="1:37" ht="14.5" x14ac:dyDescent="0.35">
      <c r="A586" s="373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</row>
    <row r="587" spans="1:37" ht="14.5" x14ac:dyDescent="0.35">
      <c r="A587" s="373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</row>
    <row r="588" spans="1:37" ht="14.5" x14ac:dyDescent="0.35">
      <c r="A588" s="373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</row>
    <row r="589" spans="1:37" ht="14.5" x14ac:dyDescent="0.35">
      <c r="A589" s="373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</row>
    <row r="590" spans="1:37" ht="14.5" x14ac:dyDescent="0.35">
      <c r="A590" s="373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</row>
    <row r="591" spans="1:37" ht="14.5" x14ac:dyDescent="0.35">
      <c r="A591" s="373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</row>
    <row r="592" spans="1:37" ht="14.5" x14ac:dyDescent="0.35">
      <c r="A592" s="373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</row>
    <row r="593" spans="1:37" ht="14.5" x14ac:dyDescent="0.35">
      <c r="A593" s="373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</row>
    <row r="594" spans="1:37" ht="14.5" x14ac:dyDescent="0.35">
      <c r="A594" s="373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</row>
    <row r="595" spans="1:37" ht="14.5" x14ac:dyDescent="0.35">
      <c r="A595" s="373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</row>
    <row r="596" spans="1:37" ht="14.5" x14ac:dyDescent="0.35">
      <c r="A596" s="373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</row>
    <row r="597" spans="1:37" ht="14.5" x14ac:dyDescent="0.35">
      <c r="A597" s="373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</row>
    <row r="598" spans="1:37" ht="14.5" x14ac:dyDescent="0.35">
      <c r="A598" s="373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</row>
    <row r="599" spans="1:37" ht="14.5" x14ac:dyDescent="0.35">
      <c r="A599" s="373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</row>
    <row r="600" spans="1:37" ht="14.5" x14ac:dyDescent="0.35">
      <c r="A600" s="373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</row>
    <row r="601" spans="1:37" ht="14.5" x14ac:dyDescent="0.35">
      <c r="A601" s="373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</row>
    <row r="602" spans="1:37" ht="14.5" x14ac:dyDescent="0.35">
      <c r="A602" s="373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</row>
    <row r="603" spans="1:37" ht="14.5" x14ac:dyDescent="0.35">
      <c r="A603" s="373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</row>
    <row r="604" spans="1:37" ht="14.5" x14ac:dyDescent="0.35">
      <c r="A604" s="373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</row>
    <row r="605" spans="1:37" ht="14.5" x14ac:dyDescent="0.35">
      <c r="A605" s="373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</row>
    <row r="606" spans="1:37" ht="14.5" x14ac:dyDescent="0.35">
      <c r="A606" s="373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</row>
    <row r="607" spans="1:37" ht="14.5" x14ac:dyDescent="0.35">
      <c r="A607" s="373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</row>
    <row r="608" spans="1:37" ht="14.5" x14ac:dyDescent="0.35">
      <c r="A608" s="373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</row>
    <row r="609" spans="1:37" ht="14.5" x14ac:dyDescent="0.35">
      <c r="A609" s="373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</row>
    <row r="610" spans="1:37" ht="14.5" x14ac:dyDescent="0.35">
      <c r="A610" s="373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</row>
    <row r="611" spans="1:37" ht="14.5" x14ac:dyDescent="0.35">
      <c r="A611" s="373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</row>
    <row r="612" spans="1:37" ht="14.5" x14ac:dyDescent="0.35">
      <c r="A612" s="373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</row>
    <row r="613" spans="1:37" ht="14.5" x14ac:dyDescent="0.35">
      <c r="A613" s="373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</row>
    <row r="614" spans="1:37" ht="14.5" x14ac:dyDescent="0.35">
      <c r="A614" s="373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</row>
    <row r="615" spans="1:37" ht="14.5" x14ac:dyDescent="0.35">
      <c r="A615" s="373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</row>
    <row r="616" spans="1:37" ht="14.5" x14ac:dyDescent="0.35">
      <c r="A616" s="373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</row>
    <row r="617" spans="1:37" ht="14.5" x14ac:dyDescent="0.35">
      <c r="A617" s="373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</row>
    <row r="618" spans="1:37" ht="14.5" x14ac:dyDescent="0.35">
      <c r="A618" s="373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</row>
    <row r="619" spans="1:37" ht="14.5" x14ac:dyDescent="0.35">
      <c r="A619" s="373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</row>
    <row r="620" spans="1:37" ht="14.5" x14ac:dyDescent="0.35">
      <c r="A620" s="373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</row>
    <row r="621" spans="1:37" ht="14.5" x14ac:dyDescent="0.35">
      <c r="A621" s="373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</row>
    <row r="622" spans="1:37" ht="14.5" x14ac:dyDescent="0.35">
      <c r="A622" s="373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</row>
    <row r="623" spans="1:37" ht="14.5" x14ac:dyDescent="0.35">
      <c r="A623" s="373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</row>
    <row r="624" spans="1:37" ht="14.5" x14ac:dyDescent="0.35">
      <c r="A624" s="373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</row>
    <row r="625" spans="1:37" ht="14.5" x14ac:dyDescent="0.35">
      <c r="A625" s="373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</row>
    <row r="626" spans="1:37" ht="14.5" x14ac:dyDescent="0.35">
      <c r="A626" s="373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</row>
    <row r="627" spans="1:37" ht="14.5" x14ac:dyDescent="0.35">
      <c r="A627" s="373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</row>
    <row r="628" spans="1:37" ht="14.5" x14ac:dyDescent="0.35">
      <c r="A628" s="373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</row>
    <row r="629" spans="1:37" ht="14.5" x14ac:dyDescent="0.35">
      <c r="A629" s="373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</row>
    <row r="630" spans="1:37" ht="14.5" x14ac:dyDescent="0.35">
      <c r="A630" s="373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</row>
    <row r="631" spans="1:37" ht="14.5" x14ac:dyDescent="0.35">
      <c r="A631" s="373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</row>
    <row r="632" spans="1:37" ht="14.5" x14ac:dyDescent="0.35">
      <c r="A632" s="373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</row>
    <row r="633" spans="1:37" ht="14.5" x14ac:dyDescent="0.35">
      <c r="A633" s="373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</row>
    <row r="634" spans="1:37" ht="14.5" x14ac:dyDescent="0.35">
      <c r="A634" s="373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</row>
    <row r="635" spans="1:37" ht="14.5" x14ac:dyDescent="0.35">
      <c r="A635" s="373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</row>
    <row r="636" spans="1:37" ht="14.5" x14ac:dyDescent="0.35">
      <c r="A636" s="373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</row>
    <row r="637" spans="1:37" ht="14.5" x14ac:dyDescent="0.35">
      <c r="A637" s="373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</row>
    <row r="638" spans="1:37" ht="14.5" x14ac:dyDescent="0.35">
      <c r="A638" s="373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</row>
    <row r="639" spans="1:37" ht="14.5" x14ac:dyDescent="0.35">
      <c r="A639" s="373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</row>
    <row r="640" spans="1:37" ht="14.5" x14ac:dyDescent="0.35">
      <c r="A640" s="373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</row>
    <row r="641" spans="1:37" ht="14.5" x14ac:dyDescent="0.35">
      <c r="A641" s="373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</row>
    <row r="642" spans="1:37" ht="14.5" x14ac:dyDescent="0.35">
      <c r="A642" s="373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</row>
    <row r="643" spans="1:37" ht="14.5" x14ac:dyDescent="0.35">
      <c r="A643" s="373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</row>
    <row r="644" spans="1:37" ht="14.5" x14ac:dyDescent="0.35">
      <c r="A644" s="373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</row>
    <row r="645" spans="1:37" ht="14.5" x14ac:dyDescent="0.35">
      <c r="A645" s="373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</row>
    <row r="646" spans="1:37" ht="14.5" x14ac:dyDescent="0.35">
      <c r="A646" s="373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</row>
    <row r="647" spans="1:37" ht="14.5" x14ac:dyDescent="0.35">
      <c r="A647" s="373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</row>
    <row r="648" spans="1:37" ht="14.5" x14ac:dyDescent="0.35">
      <c r="A648" s="373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</row>
    <row r="649" spans="1:37" ht="14.5" x14ac:dyDescent="0.35">
      <c r="A649" s="373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</row>
    <row r="650" spans="1:37" ht="14.5" x14ac:dyDescent="0.35">
      <c r="A650" s="373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  <c r="AJ650" s="141"/>
      <c r="AK650" s="141"/>
    </row>
    <row r="651" spans="1:37" ht="14.5" x14ac:dyDescent="0.35">
      <c r="A651" s="373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  <c r="AJ651" s="141"/>
      <c r="AK651" s="141"/>
    </row>
    <row r="652" spans="1:37" ht="14.5" x14ac:dyDescent="0.35">
      <c r="A652" s="373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/>
    </row>
    <row r="653" spans="1:37" ht="14.5" x14ac:dyDescent="0.35">
      <c r="A653" s="373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  <c r="AJ653" s="141"/>
      <c r="AK653" s="141"/>
    </row>
    <row r="654" spans="1:37" ht="14.5" x14ac:dyDescent="0.35">
      <c r="A654" s="373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/>
    </row>
    <row r="655" spans="1:37" ht="14.5" x14ac:dyDescent="0.35">
      <c r="A655" s="373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  <c r="AJ655" s="141"/>
      <c r="AK655" s="141"/>
    </row>
    <row r="656" spans="1:37" ht="14.5" x14ac:dyDescent="0.35">
      <c r="A656" s="373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</row>
    <row r="657" spans="1:37" ht="14.5" x14ac:dyDescent="0.35">
      <c r="A657" s="373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  <c r="AJ657" s="141"/>
      <c r="AK657" s="141"/>
    </row>
    <row r="658" spans="1:37" ht="14.5" x14ac:dyDescent="0.35">
      <c r="A658" s="373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</row>
    <row r="659" spans="1:37" ht="14.5" x14ac:dyDescent="0.35">
      <c r="A659" s="373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  <c r="AJ659" s="141"/>
      <c r="AK659" s="141"/>
    </row>
    <row r="660" spans="1:37" ht="14.5" x14ac:dyDescent="0.35">
      <c r="A660" s="373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</row>
    <row r="661" spans="1:37" ht="14.5" x14ac:dyDescent="0.35">
      <c r="A661" s="373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  <c r="AJ661" s="141"/>
      <c r="AK661" s="141"/>
    </row>
    <row r="662" spans="1:37" ht="14.5" x14ac:dyDescent="0.35">
      <c r="A662" s="373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</row>
    <row r="663" spans="1:37" ht="14.5" x14ac:dyDescent="0.35">
      <c r="A663" s="373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  <c r="AJ663" s="141"/>
      <c r="AK663" s="141"/>
    </row>
    <row r="664" spans="1:37" ht="14.5" x14ac:dyDescent="0.35">
      <c r="A664" s="373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</row>
    <row r="665" spans="1:37" ht="14.5" x14ac:dyDescent="0.35">
      <c r="A665" s="373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  <c r="AJ665" s="141"/>
      <c r="AK665" s="141"/>
    </row>
    <row r="666" spans="1:37" ht="14.5" x14ac:dyDescent="0.35">
      <c r="A666" s="373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</row>
    <row r="667" spans="1:37" ht="14.5" x14ac:dyDescent="0.35">
      <c r="A667" s="373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  <c r="AJ667" s="141"/>
      <c r="AK667" s="141"/>
    </row>
    <row r="668" spans="1:37" ht="14.5" x14ac:dyDescent="0.35">
      <c r="A668" s="373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  <c r="AJ668" s="141"/>
      <c r="AK668" s="141"/>
    </row>
    <row r="669" spans="1:37" ht="14.5" x14ac:dyDescent="0.35">
      <c r="A669" s="373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  <c r="AJ669" s="141"/>
      <c r="AK669" s="141"/>
    </row>
    <row r="670" spans="1:37" ht="14.5" x14ac:dyDescent="0.35">
      <c r="A670" s="373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/>
    </row>
    <row r="671" spans="1:37" ht="14.5" x14ac:dyDescent="0.35">
      <c r="A671" s="373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  <c r="AJ671" s="141"/>
      <c r="AK671" s="141"/>
    </row>
    <row r="672" spans="1:37" ht="14.5" x14ac:dyDescent="0.35">
      <c r="A672" s="373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  <c r="AJ672" s="141"/>
      <c r="AK672" s="141"/>
    </row>
    <row r="673" spans="1:37" ht="14.5" x14ac:dyDescent="0.35">
      <c r="A673" s="373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  <c r="AJ673" s="141"/>
      <c r="AK673" s="141"/>
    </row>
    <row r="674" spans="1:37" ht="14.5" x14ac:dyDescent="0.35">
      <c r="A674" s="373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</row>
    <row r="675" spans="1:37" ht="14.5" x14ac:dyDescent="0.35">
      <c r="A675" s="373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  <c r="AJ675" s="141"/>
      <c r="AK675" s="141"/>
    </row>
    <row r="676" spans="1:37" ht="14.5" x14ac:dyDescent="0.35">
      <c r="A676" s="373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  <c r="AJ676" s="141"/>
      <c r="AK676" s="141"/>
    </row>
    <row r="677" spans="1:37" ht="14.5" x14ac:dyDescent="0.35">
      <c r="A677" s="373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  <c r="AJ677" s="141"/>
      <c r="AK677" s="141"/>
    </row>
    <row r="678" spans="1:37" ht="14.5" x14ac:dyDescent="0.35">
      <c r="A678" s="373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</row>
    <row r="679" spans="1:37" ht="14.5" x14ac:dyDescent="0.35">
      <c r="A679" s="373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  <c r="AJ679" s="141"/>
      <c r="AK679" s="141"/>
    </row>
    <row r="680" spans="1:37" ht="14.5" x14ac:dyDescent="0.35">
      <c r="A680" s="373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/>
    </row>
    <row r="681" spans="1:37" ht="14.5" x14ac:dyDescent="0.35">
      <c r="A681" s="373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  <c r="AJ681" s="141"/>
      <c r="AK681" s="141"/>
    </row>
    <row r="682" spans="1:37" ht="14.5" x14ac:dyDescent="0.35">
      <c r="A682" s="373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  <c r="AJ682" s="141"/>
      <c r="AK682" s="141"/>
    </row>
    <row r="683" spans="1:37" ht="14.5" x14ac:dyDescent="0.35">
      <c r="A683" s="373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/>
    </row>
    <row r="684" spans="1:37" ht="14.5" x14ac:dyDescent="0.35">
      <c r="A684" s="373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  <c r="AJ684" s="141"/>
      <c r="AK684" s="141"/>
    </row>
    <row r="685" spans="1:37" ht="14.5" x14ac:dyDescent="0.35">
      <c r="A685" s="373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/>
    </row>
    <row r="686" spans="1:37" ht="14.5" x14ac:dyDescent="0.35">
      <c r="A686" s="373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  <c r="AJ686" s="141"/>
      <c r="AK686" s="141"/>
    </row>
    <row r="687" spans="1:37" ht="14.5" x14ac:dyDescent="0.35">
      <c r="A687" s="373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</row>
    <row r="688" spans="1:37" ht="14.5" x14ac:dyDescent="0.35">
      <c r="A688" s="373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</row>
    <row r="689" spans="1:37" ht="14.5" x14ac:dyDescent="0.35">
      <c r="A689" s="373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</row>
    <row r="690" spans="1:37" ht="14.5" x14ac:dyDescent="0.35">
      <c r="A690" s="373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</row>
    <row r="691" spans="1:37" ht="14.5" x14ac:dyDescent="0.35">
      <c r="A691" s="373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</row>
    <row r="692" spans="1:37" ht="14.5" x14ac:dyDescent="0.35">
      <c r="A692" s="373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</row>
    <row r="693" spans="1:37" ht="14.5" x14ac:dyDescent="0.35">
      <c r="A693" s="373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</row>
    <row r="694" spans="1:37" ht="14.5" x14ac:dyDescent="0.35">
      <c r="A694" s="373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</row>
    <row r="695" spans="1:37" ht="14.5" x14ac:dyDescent="0.35">
      <c r="A695" s="373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</row>
    <row r="696" spans="1:37" ht="14.5" x14ac:dyDescent="0.35">
      <c r="A696" s="373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</row>
    <row r="697" spans="1:37" ht="14.5" x14ac:dyDescent="0.35">
      <c r="A697" s="373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</row>
    <row r="698" spans="1:37" ht="14.5" x14ac:dyDescent="0.35">
      <c r="A698" s="373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</row>
    <row r="699" spans="1:37" ht="14.5" x14ac:dyDescent="0.35">
      <c r="A699" s="373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</row>
    <row r="700" spans="1:37" ht="14.5" x14ac:dyDescent="0.35">
      <c r="A700" s="373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</row>
    <row r="701" spans="1:37" ht="14.5" x14ac:dyDescent="0.35">
      <c r="A701" s="373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</row>
    <row r="702" spans="1:37" ht="14.5" x14ac:dyDescent="0.35">
      <c r="A702" s="373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</row>
    <row r="703" spans="1:37" ht="14.5" x14ac:dyDescent="0.35">
      <c r="A703" s="373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</row>
    <row r="704" spans="1:37" ht="14.5" x14ac:dyDescent="0.35">
      <c r="A704" s="373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</row>
    <row r="705" spans="1:37" ht="14.5" x14ac:dyDescent="0.35">
      <c r="A705" s="373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</row>
    <row r="706" spans="1:37" ht="14.5" x14ac:dyDescent="0.35">
      <c r="A706" s="373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</row>
    <row r="707" spans="1:37" ht="14.5" x14ac:dyDescent="0.35">
      <c r="A707" s="373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</row>
    <row r="708" spans="1:37" ht="14.5" x14ac:dyDescent="0.35">
      <c r="A708" s="373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</row>
    <row r="709" spans="1:37" ht="14.5" x14ac:dyDescent="0.35">
      <c r="A709" s="373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</row>
    <row r="710" spans="1:37" ht="14.5" x14ac:dyDescent="0.35">
      <c r="A710" s="373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</row>
    <row r="711" spans="1:37" ht="14.5" x14ac:dyDescent="0.35">
      <c r="A711" s="373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</row>
    <row r="712" spans="1:37" ht="14.5" x14ac:dyDescent="0.35">
      <c r="A712" s="373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</row>
    <row r="713" spans="1:37" ht="14.5" x14ac:dyDescent="0.35">
      <c r="A713" s="373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</row>
    <row r="714" spans="1:37" ht="14.5" x14ac:dyDescent="0.35">
      <c r="A714" s="373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</row>
    <row r="715" spans="1:37" ht="14.5" x14ac:dyDescent="0.35">
      <c r="A715" s="373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</row>
    <row r="716" spans="1:37" ht="14.5" x14ac:dyDescent="0.35">
      <c r="A716" s="373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</row>
    <row r="717" spans="1:37" ht="14.5" x14ac:dyDescent="0.35">
      <c r="A717" s="373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</row>
    <row r="718" spans="1:37" ht="14.5" x14ac:dyDescent="0.35">
      <c r="A718" s="373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</row>
    <row r="719" spans="1:37" ht="14.5" x14ac:dyDescent="0.35">
      <c r="A719" s="373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</row>
    <row r="720" spans="1:37" ht="14.5" x14ac:dyDescent="0.35">
      <c r="A720" s="373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</row>
    <row r="721" spans="1:37" ht="14.5" x14ac:dyDescent="0.35">
      <c r="A721" s="373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</row>
    <row r="722" spans="1:37" ht="14.5" x14ac:dyDescent="0.35">
      <c r="A722" s="373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</row>
    <row r="723" spans="1:37" ht="14.5" x14ac:dyDescent="0.35">
      <c r="A723" s="373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</row>
    <row r="724" spans="1:37" ht="14.5" x14ac:dyDescent="0.35">
      <c r="A724" s="373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</row>
    <row r="725" spans="1:37" ht="14.5" x14ac:dyDescent="0.35">
      <c r="A725" s="373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</row>
    <row r="726" spans="1:37" ht="14.5" x14ac:dyDescent="0.35">
      <c r="A726" s="373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</row>
    <row r="727" spans="1:37" ht="14.5" x14ac:dyDescent="0.35">
      <c r="A727" s="373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</row>
    <row r="728" spans="1:37" ht="14.5" x14ac:dyDescent="0.35">
      <c r="A728" s="373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</row>
    <row r="729" spans="1:37" ht="14.5" x14ac:dyDescent="0.35">
      <c r="A729" s="373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  <c r="AJ729" s="141"/>
      <c r="AK729" s="141"/>
    </row>
    <row r="730" spans="1:37" ht="14.5" x14ac:dyDescent="0.35">
      <c r="A730" s="373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/>
    </row>
    <row r="731" spans="1:37" ht="14.5" x14ac:dyDescent="0.35">
      <c r="A731" s="373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  <c r="AJ731" s="141"/>
      <c r="AK731" s="141"/>
    </row>
    <row r="732" spans="1:37" ht="14.5" x14ac:dyDescent="0.35">
      <c r="A732" s="373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/>
    </row>
    <row r="733" spans="1:37" ht="14.5" x14ac:dyDescent="0.35">
      <c r="A733" s="373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  <c r="AJ733" s="141"/>
      <c r="AK733" s="141"/>
    </row>
    <row r="734" spans="1:37" ht="14.5" x14ac:dyDescent="0.35">
      <c r="A734" s="373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/>
    </row>
    <row r="735" spans="1:37" ht="14.5" x14ac:dyDescent="0.35">
      <c r="A735" s="373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  <c r="AJ735" s="141"/>
      <c r="AK735" s="141"/>
    </row>
    <row r="736" spans="1:37" ht="14.5" x14ac:dyDescent="0.35">
      <c r="A736" s="373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/>
    </row>
    <row r="737" spans="1:37" ht="14.5" x14ac:dyDescent="0.35">
      <c r="A737" s="373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  <c r="AJ737" s="141"/>
      <c r="AK737" s="141"/>
    </row>
    <row r="738" spans="1:37" ht="14.5" x14ac:dyDescent="0.35">
      <c r="A738" s="373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</row>
    <row r="739" spans="1:37" ht="14.5" x14ac:dyDescent="0.35">
      <c r="A739" s="373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  <c r="AJ739" s="141"/>
      <c r="AK739" s="141"/>
    </row>
    <row r="740" spans="1:37" ht="14.5" x14ac:dyDescent="0.35">
      <c r="A740" s="373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/>
    </row>
    <row r="741" spans="1:37" ht="14.5" x14ac:dyDescent="0.35">
      <c r="A741" s="373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  <c r="AJ741" s="141"/>
      <c r="AK741" s="141"/>
    </row>
    <row r="742" spans="1:37" ht="14.5" x14ac:dyDescent="0.35">
      <c r="A742" s="373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</row>
    <row r="743" spans="1:37" ht="14.5" x14ac:dyDescent="0.35">
      <c r="A743" s="373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/>
    </row>
    <row r="744" spans="1:37" ht="14.5" x14ac:dyDescent="0.35">
      <c r="A744" s="373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  <c r="AJ744" s="141"/>
      <c r="AK744" s="141"/>
    </row>
    <row r="745" spans="1:37" ht="14.5" x14ac:dyDescent="0.35">
      <c r="A745" s="373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/>
    </row>
    <row r="746" spans="1:37" ht="14.5" x14ac:dyDescent="0.35">
      <c r="A746" s="373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  <c r="AJ746" s="141"/>
      <c r="AK746" s="141"/>
    </row>
    <row r="747" spans="1:37" ht="14.5" x14ac:dyDescent="0.35">
      <c r="A747" s="373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</row>
    <row r="748" spans="1:37" ht="14.5" x14ac:dyDescent="0.35">
      <c r="A748" s="373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  <c r="AJ748" s="141"/>
      <c r="AK748" s="141"/>
    </row>
    <row r="749" spans="1:37" ht="14.5" x14ac:dyDescent="0.35">
      <c r="A749" s="373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  <c r="AJ749" s="141"/>
      <c r="AK749" s="141"/>
    </row>
    <row r="750" spans="1:37" ht="14.5" x14ac:dyDescent="0.35">
      <c r="A750" s="373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  <c r="AH750" s="141"/>
      <c r="AI750" s="141"/>
      <c r="AJ750" s="141"/>
      <c r="AK750" s="141"/>
    </row>
    <row r="751" spans="1:37" ht="14.5" x14ac:dyDescent="0.35">
      <c r="A751" s="373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  <c r="AJ751" s="141"/>
      <c r="AK751" s="141"/>
    </row>
    <row r="752" spans="1:37" ht="14.5" x14ac:dyDescent="0.35">
      <c r="A752" s="373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  <c r="AH752" s="141"/>
      <c r="AI752" s="141"/>
      <c r="AJ752" s="141"/>
      <c r="AK752" s="141"/>
    </row>
    <row r="753" spans="1:37" ht="14.5" x14ac:dyDescent="0.35">
      <c r="A753" s="373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  <c r="AH753" s="141"/>
      <c r="AI753" s="141"/>
      <c r="AJ753" s="141"/>
      <c r="AK753" s="141"/>
    </row>
    <row r="754" spans="1:37" ht="14.5" x14ac:dyDescent="0.35">
      <c r="A754" s="373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  <c r="AH754" s="141"/>
      <c r="AI754" s="141"/>
      <c r="AJ754" s="141"/>
      <c r="AK754" s="141"/>
    </row>
    <row r="755" spans="1:37" ht="14.5" x14ac:dyDescent="0.35">
      <c r="A755" s="373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  <c r="AJ755" s="141"/>
      <c r="AK755" s="141"/>
    </row>
    <row r="756" spans="1:37" ht="14.5" x14ac:dyDescent="0.35">
      <c r="A756" s="373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  <c r="AH756" s="141"/>
      <c r="AI756" s="141"/>
      <c r="AJ756" s="141"/>
      <c r="AK756" s="141"/>
    </row>
    <row r="757" spans="1:37" ht="14.5" x14ac:dyDescent="0.35">
      <c r="A757" s="373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  <c r="AH757" s="141"/>
      <c r="AI757" s="141"/>
      <c r="AJ757" s="141"/>
      <c r="AK757" s="141"/>
    </row>
    <row r="758" spans="1:37" ht="14.5" x14ac:dyDescent="0.35">
      <c r="A758" s="373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  <c r="AH758" s="141"/>
      <c r="AI758" s="141"/>
      <c r="AJ758" s="141"/>
      <c r="AK758" s="141"/>
    </row>
    <row r="759" spans="1:37" ht="14.5" x14ac:dyDescent="0.35">
      <c r="A759" s="373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  <c r="AH759" s="141"/>
      <c r="AI759" s="141"/>
      <c r="AJ759" s="141"/>
      <c r="AK759" s="141"/>
    </row>
    <row r="760" spans="1:37" ht="14.5" x14ac:dyDescent="0.35">
      <c r="A760" s="373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  <c r="AH760" s="141"/>
      <c r="AI760" s="141"/>
      <c r="AJ760" s="141"/>
      <c r="AK760" s="141"/>
    </row>
    <row r="761" spans="1:37" ht="14.5" x14ac:dyDescent="0.35">
      <c r="A761" s="373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  <c r="AJ761" s="141"/>
      <c r="AK761" s="141"/>
    </row>
    <row r="762" spans="1:37" ht="14.5" x14ac:dyDescent="0.35">
      <c r="A762" s="373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  <c r="AH762" s="141"/>
      <c r="AI762" s="141"/>
      <c r="AJ762" s="141"/>
      <c r="AK762" s="141"/>
    </row>
    <row r="763" spans="1:37" ht="14.5" x14ac:dyDescent="0.35">
      <c r="A763" s="373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  <c r="AJ763" s="141"/>
      <c r="AK763" s="141"/>
    </row>
    <row r="764" spans="1:37" ht="14.5" x14ac:dyDescent="0.35">
      <c r="A764" s="373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  <c r="AH764" s="141"/>
      <c r="AI764" s="141"/>
      <c r="AJ764" s="141"/>
      <c r="AK764" s="141"/>
    </row>
    <row r="765" spans="1:37" ht="14.5" x14ac:dyDescent="0.35">
      <c r="A765" s="373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  <c r="AJ765" s="141"/>
      <c r="AK765" s="141"/>
    </row>
    <row r="766" spans="1:37" ht="14.5" x14ac:dyDescent="0.35">
      <c r="A766" s="373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  <c r="AH766" s="141"/>
      <c r="AI766" s="141"/>
      <c r="AJ766" s="141"/>
      <c r="AK766" s="141"/>
    </row>
    <row r="767" spans="1:37" ht="14.5" x14ac:dyDescent="0.35">
      <c r="A767" s="373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  <c r="AJ767" s="141"/>
      <c r="AK767" s="141"/>
    </row>
    <row r="768" spans="1:37" ht="14.5" x14ac:dyDescent="0.35">
      <c r="A768" s="373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  <c r="AH768" s="141"/>
      <c r="AI768" s="141"/>
      <c r="AJ768" s="141"/>
      <c r="AK768" s="141"/>
    </row>
    <row r="769" spans="1:37" ht="14.5" x14ac:dyDescent="0.35">
      <c r="A769" s="373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  <c r="AJ769" s="141"/>
      <c r="AK769" s="141"/>
    </row>
    <row r="770" spans="1:37" ht="14.5" x14ac:dyDescent="0.35">
      <c r="A770" s="373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  <c r="AH770" s="141"/>
      <c r="AI770" s="141"/>
      <c r="AJ770" s="141"/>
      <c r="AK770" s="141"/>
    </row>
    <row r="771" spans="1:37" ht="14.5" x14ac:dyDescent="0.35">
      <c r="A771" s="373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  <c r="AJ771" s="141"/>
      <c r="AK771" s="141"/>
    </row>
    <row r="772" spans="1:37" ht="14.5" x14ac:dyDescent="0.35">
      <c r="A772" s="373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  <c r="AH772" s="141"/>
      <c r="AI772" s="141"/>
      <c r="AJ772" s="141"/>
      <c r="AK772" s="141"/>
    </row>
    <row r="773" spans="1:37" ht="14.5" x14ac:dyDescent="0.35">
      <c r="A773" s="373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  <c r="AJ773" s="141"/>
      <c r="AK773" s="141"/>
    </row>
    <row r="774" spans="1:37" ht="14.5" x14ac:dyDescent="0.35">
      <c r="A774" s="373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  <c r="AH774" s="141"/>
      <c r="AI774" s="141"/>
      <c r="AJ774" s="141"/>
      <c r="AK774" s="141"/>
    </row>
    <row r="775" spans="1:37" ht="14.5" x14ac:dyDescent="0.35">
      <c r="A775" s="373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  <c r="AJ775" s="141"/>
      <c r="AK775" s="141"/>
    </row>
    <row r="776" spans="1:37" ht="14.5" x14ac:dyDescent="0.35">
      <c r="A776" s="373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  <c r="AH776" s="141"/>
      <c r="AI776" s="141"/>
      <c r="AJ776" s="141"/>
      <c r="AK776" s="141"/>
    </row>
    <row r="777" spans="1:37" ht="14.5" x14ac:dyDescent="0.35">
      <c r="A777" s="373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  <c r="AJ777" s="141"/>
      <c r="AK777" s="141"/>
    </row>
    <row r="778" spans="1:37" ht="14.5" x14ac:dyDescent="0.35">
      <c r="A778" s="373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  <c r="AH778" s="141"/>
      <c r="AI778" s="141"/>
      <c r="AJ778" s="141"/>
      <c r="AK778" s="141"/>
    </row>
    <row r="779" spans="1:37" ht="14.5" x14ac:dyDescent="0.35">
      <c r="A779" s="373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  <c r="AH779" s="141"/>
      <c r="AI779" s="141"/>
      <c r="AJ779" s="141"/>
      <c r="AK779" s="141"/>
    </row>
    <row r="780" spans="1:37" ht="14.5" x14ac:dyDescent="0.35">
      <c r="A780" s="373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  <c r="AH780" s="141"/>
      <c r="AI780" s="141"/>
      <c r="AJ780" s="141"/>
      <c r="AK780" s="141"/>
    </row>
    <row r="781" spans="1:37" ht="14.5" x14ac:dyDescent="0.35">
      <c r="A781" s="373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  <c r="AJ781" s="141"/>
      <c r="AK781" s="141"/>
    </row>
    <row r="782" spans="1:37" ht="14.5" x14ac:dyDescent="0.35">
      <c r="A782" s="373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  <c r="AH782" s="141"/>
      <c r="AI782" s="141"/>
      <c r="AJ782" s="141"/>
      <c r="AK782" s="141"/>
    </row>
    <row r="783" spans="1:37" ht="14.5" x14ac:dyDescent="0.35">
      <c r="A783" s="373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  <c r="AJ783" s="141"/>
      <c r="AK783" s="141"/>
    </row>
    <row r="784" spans="1:37" ht="14.5" x14ac:dyDescent="0.35">
      <c r="A784" s="373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  <c r="AH784" s="141"/>
      <c r="AI784" s="141"/>
      <c r="AJ784" s="141"/>
      <c r="AK784" s="141"/>
    </row>
    <row r="785" spans="1:37" ht="14.5" x14ac:dyDescent="0.35">
      <c r="A785" s="373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  <c r="AH785" s="141"/>
      <c r="AI785" s="141"/>
      <c r="AJ785" s="141"/>
      <c r="AK785" s="141"/>
    </row>
    <row r="786" spans="1:37" ht="14.5" x14ac:dyDescent="0.35">
      <c r="A786" s="373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  <c r="AH786" s="141"/>
      <c r="AI786" s="141"/>
      <c r="AJ786" s="141"/>
      <c r="AK786" s="141"/>
    </row>
    <row r="787" spans="1:37" ht="14.5" x14ac:dyDescent="0.35">
      <c r="A787" s="373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</row>
    <row r="788" spans="1:37" ht="14.5" x14ac:dyDescent="0.35">
      <c r="A788" s="373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  <c r="AJ788" s="141"/>
      <c r="AK788" s="141"/>
    </row>
    <row r="789" spans="1:37" ht="14.5" x14ac:dyDescent="0.35">
      <c r="A789" s="373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/>
    </row>
    <row r="790" spans="1:37" ht="14.5" x14ac:dyDescent="0.35">
      <c r="A790" s="373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  <c r="AJ790" s="141"/>
      <c r="AK790" s="141"/>
    </row>
    <row r="791" spans="1:37" ht="14.5" x14ac:dyDescent="0.35">
      <c r="A791" s="373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/>
    </row>
    <row r="792" spans="1:37" ht="14.5" x14ac:dyDescent="0.35">
      <c r="A792" s="373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  <c r="AJ792" s="141"/>
      <c r="AK792" s="141"/>
    </row>
    <row r="793" spans="1:37" ht="14.5" x14ac:dyDescent="0.35">
      <c r="A793" s="373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  <c r="AJ793" s="141"/>
      <c r="AK793" s="141"/>
    </row>
    <row r="794" spans="1:37" ht="14.5" x14ac:dyDescent="0.35">
      <c r="A794" s="373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  <c r="AJ794" s="141"/>
      <c r="AK794" s="141"/>
    </row>
    <row r="795" spans="1:37" ht="14.5" x14ac:dyDescent="0.35">
      <c r="A795" s="373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/>
    </row>
    <row r="796" spans="1:37" ht="14.5" x14ac:dyDescent="0.35">
      <c r="A796" s="373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  <c r="AJ796" s="141"/>
      <c r="AK796" s="141"/>
    </row>
    <row r="797" spans="1:37" ht="14.5" x14ac:dyDescent="0.35">
      <c r="A797" s="373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  <c r="AJ797" s="141"/>
      <c r="AK797" s="141"/>
    </row>
    <row r="798" spans="1:37" ht="14.5" x14ac:dyDescent="0.35">
      <c r="A798" s="373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  <c r="AH798" s="141"/>
      <c r="AI798" s="141"/>
      <c r="AJ798" s="141"/>
      <c r="AK798" s="141"/>
    </row>
    <row r="799" spans="1:37" ht="14.5" x14ac:dyDescent="0.35">
      <c r="A799" s="373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  <c r="AJ799" s="141"/>
      <c r="AK799" s="141"/>
    </row>
    <row r="800" spans="1:37" ht="14.5" x14ac:dyDescent="0.35">
      <c r="A800" s="373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  <c r="AH800" s="141"/>
      <c r="AI800" s="141"/>
      <c r="AJ800" s="141"/>
      <c r="AK800" s="141"/>
    </row>
    <row r="801" spans="1:37" ht="14.5" x14ac:dyDescent="0.35">
      <c r="A801" s="373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  <c r="AJ801" s="141"/>
      <c r="AK801" s="141"/>
    </row>
    <row r="802" spans="1:37" ht="14.5" x14ac:dyDescent="0.35">
      <c r="A802" s="373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  <c r="AH802" s="141"/>
      <c r="AI802" s="141"/>
      <c r="AJ802" s="141"/>
      <c r="AK802" s="141"/>
    </row>
    <row r="803" spans="1:37" ht="14.5" x14ac:dyDescent="0.35">
      <c r="A803" s="373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  <c r="AJ803" s="141"/>
      <c r="AK803" s="141"/>
    </row>
    <row r="804" spans="1:37" ht="14.5" x14ac:dyDescent="0.35">
      <c r="A804" s="373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  <c r="AH804" s="141"/>
      <c r="AI804" s="141"/>
      <c r="AJ804" s="141"/>
      <c r="AK804" s="141"/>
    </row>
    <row r="805" spans="1:37" ht="14.5" x14ac:dyDescent="0.35">
      <c r="A805" s="373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  <c r="AJ805" s="141"/>
      <c r="AK805" s="141"/>
    </row>
    <row r="806" spans="1:37" ht="14.5" x14ac:dyDescent="0.35">
      <c r="A806" s="373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  <c r="AH806" s="141"/>
      <c r="AI806" s="141"/>
      <c r="AJ806" s="141"/>
      <c r="AK806" s="141"/>
    </row>
    <row r="807" spans="1:37" ht="14.5" x14ac:dyDescent="0.35">
      <c r="A807" s="373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  <c r="AJ807" s="141"/>
      <c r="AK807" s="141"/>
    </row>
    <row r="808" spans="1:37" ht="14.5" x14ac:dyDescent="0.35">
      <c r="A808" s="373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  <c r="AH808" s="141"/>
      <c r="AI808" s="141"/>
      <c r="AJ808" s="141"/>
      <c r="AK808" s="141"/>
    </row>
    <row r="809" spans="1:37" ht="14.5" x14ac:dyDescent="0.35">
      <c r="A809" s="373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  <c r="AH809" s="141"/>
      <c r="AI809" s="141"/>
      <c r="AJ809" s="141"/>
      <c r="AK809" s="141"/>
    </row>
    <row r="810" spans="1:37" ht="14.5" x14ac:dyDescent="0.35">
      <c r="A810" s="373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  <c r="AH810" s="141"/>
      <c r="AI810" s="141"/>
      <c r="AJ810" s="141"/>
      <c r="AK810" s="141"/>
    </row>
    <row r="811" spans="1:37" ht="14.5" x14ac:dyDescent="0.35">
      <c r="A811" s="373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  <c r="AJ811" s="141"/>
      <c r="AK811" s="141"/>
    </row>
    <row r="812" spans="1:37" ht="14.5" x14ac:dyDescent="0.35">
      <c r="A812" s="373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  <c r="AH812" s="141"/>
      <c r="AI812" s="141"/>
      <c r="AJ812" s="141"/>
      <c r="AK812" s="141"/>
    </row>
    <row r="813" spans="1:37" ht="14.5" x14ac:dyDescent="0.35">
      <c r="A813" s="373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  <c r="AH813" s="141"/>
      <c r="AI813" s="141"/>
      <c r="AJ813" s="141"/>
      <c r="AK813" s="141"/>
    </row>
    <row r="814" spans="1:37" ht="14.5" x14ac:dyDescent="0.35">
      <c r="A814" s="373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  <c r="AH814" s="141"/>
      <c r="AI814" s="141"/>
      <c r="AJ814" s="141"/>
      <c r="AK814" s="141"/>
    </row>
    <row r="815" spans="1:37" ht="14.5" x14ac:dyDescent="0.35">
      <c r="A815" s="373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  <c r="AH815" s="141"/>
      <c r="AI815" s="141"/>
      <c r="AJ815" s="141"/>
      <c r="AK815" s="141"/>
    </row>
    <row r="816" spans="1:37" ht="14.5" x14ac:dyDescent="0.35">
      <c r="A816" s="373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  <c r="AJ816" s="141"/>
      <c r="AK816" s="141"/>
    </row>
    <row r="817" spans="1:37" ht="14.5" x14ac:dyDescent="0.35">
      <c r="A817" s="373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  <c r="AH817" s="141"/>
      <c r="AI817" s="141"/>
      <c r="AJ817" s="141"/>
      <c r="AK817" s="141"/>
    </row>
    <row r="818" spans="1:37" ht="14.5" x14ac:dyDescent="0.35">
      <c r="A818" s="373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  <c r="AJ818" s="141"/>
      <c r="AK818" s="141"/>
    </row>
    <row r="819" spans="1:37" ht="14.5" x14ac:dyDescent="0.35">
      <c r="A819" s="373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  <c r="AH819" s="141"/>
      <c r="AI819" s="141"/>
      <c r="AJ819" s="141"/>
      <c r="AK819" s="141"/>
    </row>
    <row r="820" spans="1:37" ht="14.5" x14ac:dyDescent="0.35">
      <c r="A820" s="373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  <c r="AJ820" s="141"/>
      <c r="AK820" s="141"/>
    </row>
    <row r="821" spans="1:37" ht="14.5" x14ac:dyDescent="0.35">
      <c r="A821" s="373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  <c r="AH821" s="141"/>
      <c r="AI821" s="141"/>
      <c r="AJ821" s="141"/>
      <c r="AK821" s="141"/>
    </row>
    <row r="822" spans="1:37" ht="14.5" x14ac:dyDescent="0.35">
      <c r="A822" s="373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</row>
    <row r="823" spans="1:37" ht="14.5" x14ac:dyDescent="0.35">
      <c r="A823" s="373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  <c r="AH823" s="141"/>
      <c r="AI823" s="141"/>
      <c r="AJ823" s="141"/>
      <c r="AK823" s="141"/>
    </row>
    <row r="824" spans="1:37" ht="14.5" x14ac:dyDescent="0.35">
      <c r="A824" s="373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  <c r="AJ824" s="141"/>
      <c r="AK824" s="141"/>
    </row>
    <row r="825" spans="1:37" ht="14.5" x14ac:dyDescent="0.35">
      <c r="A825" s="373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  <c r="AH825" s="141"/>
      <c r="AI825" s="141"/>
      <c r="AJ825" s="141"/>
      <c r="AK825" s="141"/>
    </row>
    <row r="826" spans="1:37" ht="14.5" x14ac:dyDescent="0.35">
      <c r="A826" s="373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  <c r="AJ826" s="141"/>
      <c r="AK826" s="141"/>
    </row>
    <row r="827" spans="1:37" ht="14.5" x14ac:dyDescent="0.35">
      <c r="A827" s="373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  <c r="AH827" s="141"/>
      <c r="AI827" s="141"/>
      <c r="AJ827" s="141"/>
      <c r="AK827" s="141"/>
    </row>
    <row r="828" spans="1:37" ht="14.5" x14ac:dyDescent="0.35">
      <c r="A828" s="373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  <c r="AH828" s="141"/>
      <c r="AI828" s="141"/>
      <c r="AJ828" s="141"/>
      <c r="AK828" s="141"/>
    </row>
    <row r="829" spans="1:37" ht="14.5" x14ac:dyDescent="0.35">
      <c r="A829" s="373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  <c r="AH829" s="141"/>
      <c r="AI829" s="141"/>
      <c r="AJ829" s="141"/>
      <c r="AK829" s="141"/>
    </row>
    <row r="830" spans="1:37" ht="14.5" x14ac:dyDescent="0.35">
      <c r="A830" s="373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  <c r="AJ830" s="141"/>
      <c r="AK830" s="141"/>
    </row>
    <row r="831" spans="1:37" ht="14.5" x14ac:dyDescent="0.35">
      <c r="A831" s="373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  <c r="AH831" s="141"/>
      <c r="AI831" s="141"/>
      <c r="AJ831" s="141"/>
      <c r="AK831" s="141"/>
    </row>
    <row r="832" spans="1:37" ht="14.5" x14ac:dyDescent="0.35">
      <c r="A832" s="373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  <c r="AH832" s="141"/>
      <c r="AI832" s="141"/>
      <c r="AJ832" s="141"/>
      <c r="AK832" s="141"/>
    </row>
    <row r="833" spans="1:37" ht="14.5" x14ac:dyDescent="0.35">
      <c r="A833" s="373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  <c r="AJ833" s="141"/>
      <c r="AK833" s="141"/>
    </row>
    <row r="834" spans="1:37" ht="14.5" x14ac:dyDescent="0.35">
      <c r="A834" s="373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  <c r="AH834" s="141"/>
      <c r="AI834" s="141"/>
      <c r="AJ834" s="141"/>
      <c r="AK834" s="141"/>
    </row>
    <row r="835" spans="1:37" ht="14.5" x14ac:dyDescent="0.35">
      <c r="A835" s="373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  <c r="AJ835" s="141"/>
      <c r="AK835" s="141"/>
    </row>
    <row r="836" spans="1:37" ht="14.5" x14ac:dyDescent="0.35">
      <c r="A836" s="373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  <c r="AH836" s="141"/>
      <c r="AI836" s="141"/>
      <c r="AJ836" s="141"/>
      <c r="AK836" s="141"/>
    </row>
    <row r="837" spans="1:37" ht="14.5" x14ac:dyDescent="0.35">
      <c r="A837" s="373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  <c r="AJ837" s="141"/>
      <c r="AK837" s="141"/>
    </row>
    <row r="838" spans="1:37" ht="14.5" x14ac:dyDescent="0.35">
      <c r="A838" s="373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  <c r="AH838" s="141"/>
      <c r="AI838" s="141"/>
      <c r="AJ838" s="141"/>
      <c r="AK838" s="141"/>
    </row>
    <row r="839" spans="1:37" ht="14.5" x14ac:dyDescent="0.35">
      <c r="A839" s="373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  <c r="AH839" s="141"/>
      <c r="AI839" s="141"/>
      <c r="AJ839" s="141"/>
      <c r="AK839" s="141"/>
    </row>
    <row r="840" spans="1:37" ht="14.5" x14ac:dyDescent="0.35">
      <c r="A840" s="373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  <c r="AH840" s="141"/>
      <c r="AI840" s="141"/>
      <c r="AJ840" s="141"/>
      <c r="AK840" s="141"/>
    </row>
    <row r="841" spans="1:37" ht="14.5" x14ac:dyDescent="0.35">
      <c r="A841" s="373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  <c r="AH841" s="141"/>
      <c r="AI841" s="141"/>
      <c r="AJ841" s="141"/>
      <c r="AK841" s="141"/>
    </row>
    <row r="842" spans="1:37" ht="14.5" x14ac:dyDescent="0.35">
      <c r="A842" s="373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  <c r="AJ842" s="141"/>
      <c r="AK842" s="141"/>
    </row>
    <row r="843" spans="1:37" ht="14.5" x14ac:dyDescent="0.35">
      <c r="A843" s="373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  <c r="AH843" s="141"/>
      <c r="AI843" s="141"/>
      <c r="AJ843" s="141"/>
      <c r="AK843" s="141"/>
    </row>
    <row r="844" spans="1:37" ht="14.5" x14ac:dyDescent="0.35">
      <c r="A844" s="373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  <c r="AJ844" s="141"/>
      <c r="AK844" s="141"/>
    </row>
    <row r="845" spans="1:37" ht="14.5" x14ac:dyDescent="0.35">
      <c r="A845" s="373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  <c r="AH845" s="141"/>
      <c r="AI845" s="141"/>
      <c r="AJ845" s="141"/>
      <c r="AK845" s="141"/>
    </row>
    <row r="846" spans="1:37" ht="14.5" x14ac:dyDescent="0.35">
      <c r="A846" s="373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  <c r="AH846" s="141"/>
      <c r="AI846" s="141"/>
      <c r="AJ846" s="141"/>
      <c r="AK846" s="141"/>
    </row>
    <row r="847" spans="1:37" ht="14.5" x14ac:dyDescent="0.35">
      <c r="A847" s="373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  <c r="AH847" s="141"/>
      <c r="AI847" s="141"/>
      <c r="AJ847" s="141"/>
      <c r="AK847" s="141"/>
    </row>
    <row r="848" spans="1:37" ht="14.5" x14ac:dyDescent="0.35">
      <c r="A848" s="373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  <c r="AJ848" s="141"/>
      <c r="AK848" s="141"/>
    </row>
    <row r="849" spans="1:37" ht="14.5" x14ac:dyDescent="0.35">
      <c r="A849" s="373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  <c r="AH849" s="141"/>
      <c r="AI849" s="141"/>
      <c r="AJ849" s="141"/>
      <c r="AK849" s="141"/>
    </row>
    <row r="850" spans="1:37" ht="14.5" x14ac:dyDescent="0.35">
      <c r="A850" s="373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  <c r="AH850" s="141"/>
      <c r="AI850" s="141"/>
      <c r="AJ850" s="141"/>
      <c r="AK850" s="141"/>
    </row>
    <row r="851" spans="1:37" ht="14.5" x14ac:dyDescent="0.35">
      <c r="A851" s="373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  <c r="AJ851" s="141"/>
      <c r="AK851" s="141"/>
    </row>
    <row r="852" spans="1:37" ht="14.5" x14ac:dyDescent="0.35">
      <c r="A852" s="373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  <c r="AH852" s="141"/>
      <c r="AI852" s="141"/>
      <c r="AJ852" s="141"/>
      <c r="AK852" s="141"/>
    </row>
    <row r="853" spans="1:37" ht="14.5" x14ac:dyDescent="0.35">
      <c r="A853" s="373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  <c r="AJ853" s="141"/>
      <c r="AK853" s="141"/>
    </row>
    <row r="854" spans="1:37" ht="14.5" x14ac:dyDescent="0.35">
      <c r="A854" s="373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  <c r="AH854" s="141"/>
      <c r="AI854" s="141"/>
      <c r="AJ854" s="141"/>
      <c r="AK854" s="141"/>
    </row>
    <row r="855" spans="1:37" ht="14.5" x14ac:dyDescent="0.35">
      <c r="A855" s="373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  <c r="AH855" s="141"/>
      <c r="AI855" s="141"/>
      <c r="AJ855" s="141"/>
      <c r="AK855" s="141"/>
    </row>
    <row r="856" spans="1:37" ht="14.5" x14ac:dyDescent="0.35">
      <c r="A856" s="373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  <c r="AH856" s="141"/>
      <c r="AI856" s="141"/>
      <c r="AJ856" s="141"/>
      <c r="AK856" s="141"/>
    </row>
    <row r="857" spans="1:37" ht="14.5" x14ac:dyDescent="0.35">
      <c r="A857" s="373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  <c r="AJ857" s="141"/>
      <c r="AK857" s="141"/>
    </row>
    <row r="858" spans="1:37" ht="14.5" x14ac:dyDescent="0.35">
      <c r="A858" s="373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  <c r="AH858" s="141"/>
      <c r="AI858" s="141"/>
      <c r="AJ858" s="141"/>
      <c r="AK858" s="141"/>
    </row>
    <row r="859" spans="1:37" ht="14.5" x14ac:dyDescent="0.35">
      <c r="A859" s="373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  <c r="AJ859" s="141"/>
      <c r="AK859" s="141"/>
    </row>
    <row r="860" spans="1:37" ht="14.5" x14ac:dyDescent="0.35">
      <c r="A860" s="373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  <c r="AH860" s="141"/>
      <c r="AI860" s="141"/>
      <c r="AJ860" s="141"/>
      <c r="AK860" s="141"/>
    </row>
    <row r="861" spans="1:37" ht="14.5" x14ac:dyDescent="0.35">
      <c r="A861" s="373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  <c r="AJ861" s="141"/>
      <c r="AK861" s="141"/>
    </row>
    <row r="862" spans="1:37" ht="14.5" x14ac:dyDescent="0.35">
      <c r="A862" s="373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  <c r="AH862" s="141"/>
      <c r="AI862" s="141"/>
      <c r="AJ862" s="141"/>
      <c r="AK862" s="141"/>
    </row>
    <row r="863" spans="1:37" ht="14.5" x14ac:dyDescent="0.35">
      <c r="A863" s="373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  <c r="AH863" s="141"/>
      <c r="AI863" s="141"/>
      <c r="AJ863" s="141"/>
      <c r="AK863" s="141"/>
    </row>
    <row r="864" spans="1:37" ht="14.5" x14ac:dyDescent="0.35">
      <c r="A864" s="373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  <c r="AJ864" s="141"/>
      <c r="AK864" s="141"/>
    </row>
    <row r="865" spans="1:37" ht="14.5" x14ac:dyDescent="0.35">
      <c r="A865" s="373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  <c r="AH865" s="141"/>
      <c r="AI865" s="141"/>
      <c r="AJ865" s="141"/>
      <c r="AK865" s="141"/>
    </row>
    <row r="866" spans="1:37" ht="14.5" x14ac:dyDescent="0.35">
      <c r="A866" s="373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  <c r="AJ866" s="141"/>
      <c r="AK866" s="141"/>
    </row>
    <row r="867" spans="1:37" ht="14.5" x14ac:dyDescent="0.35">
      <c r="A867" s="373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  <c r="AH867" s="141"/>
      <c r="AI867" s="141"/>
      <c r="AJ867" s="141"/>
      <c r="AK867" s="141"/>
    </row>
    <row r="868" spans="1:37" ht="14.5" x14ac:dyDescent="0.35">
      <c r="A868" s="373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  <c r="AH868" s="141"/>
      <c r="AI868" s="141"/>
      <c r="AJ868" s="141"/>
      <c r="AK868" s="141"/>
    </row>
    <row r="869" spans="1:37" ht="14.5" x14ac:dyDescent="0.35">
      <c r="A869" s="373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  <c r="AH869" s="141"/>
      <c r="AI869" s="141"/>
      <c r="AJ869" s="141"/>
      <c r="AK869" s="141"/>
    </row>
    <row r="870" spans="1:37" ht="14.5" x14ac:dyDescent="0.35">
      <c r="A870" s="373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  <c r="AH870" s="141"/>
      <c r="AI870" s="141"/>
      <c r="AJ870" s="141"/>
      <c r="AK870" s="141"/>
    </row>
    <row r="871" spans="1:37" ht="14.5" x14ac:dyDescent="0.35">
      <c r="A871" s="373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  <c r="AJ871" s="141"/>
      <c r="AK871" s="141"/>
    </row>
    <row r="872" spans="1:37" ht="14.5" x14ac:dyDescent="0.35">
      <c r="A872" s="373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  <c r="AH872" s="141"/>
      <c r="AI872" s="141"/>
      <c r="AJ872" s="141"/>
      <c r="AK872" s="141"/>
    </row>
    <row r="873" spans="1:37" ht="14.5" x14ac:dyDescent="0.35">
      <c r="A873" s="373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  <c r="AH873" s="141"/>
      <c r="AI873" s="141"/>
      <c r="AJ873" s="141"/>
      <c r="AK873" s="141"/>
    </row>
    <row r="874" spans="1:37" ht="14.5" x14ac:dyDescent="0.35">
      <c r="A874" s="373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  <c r="AH874" s="141"/>
      <c r="AI874" s="141"/>
      <c r="AJ874" s="141"/>
      <c r="AK874" s="141"/>
    </row>
    <row r="875" spans="1:37" ht="14.5" x14ac:dyDescent="0.35">
      <c r="A875" s="373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  <c r="AJ875" s="141"/>
      <c r="AK875" s="141"/>
    </row>
    <row r="876" spans="1:37" ht="14.5" x14ac:dyDescent="0.35">
      <c r="A876" s="373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  <c r="AH876" s="141"/>
      <c r="AI876" s="141"/>
      <c r="AJ876" s="141"/>
      <c r="AK876" s="141"/>
    </row>
    <row r="877" spans="1:37" ht="14.5" x14ac:dyDescent="0.35">
      <c r="A877" s="373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  <c r="AJ877" s="141"/>
      <c r="AK877" s="141"/>
    </row>
    <row r="878" spans="1:37" ht="14.5" x14ac:dyDescent="0.35">
      <c r="A878" s="373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  <c r="AH878" s="141"/>
      <c r="AI878" s="141"/>
      <c r="AJ878" s="141"/>
      <c r="AK878" s="141"/>
    </row>
    <row r="879" spans="1:37" ht="14.5" x14ac:dyDescent="0.35">
      <c r="A879" s="373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  <c r="AJ879" s="141"/>
      <c r="AK879" s="141"/>
    </row>
    <row r="880" spans="1:37" ht="14.5" x14ac:dyDescent="0.35">
      <c r="A880" s="373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  <c r="AH880" s="141"/>
      <c r="AI880" s="141"/>
      <c r="AJ880" s="141"/>
      <c r="AK880" s="141"/>
    </row>
    <row r="881" spans="1:37" ht="14.5" x14ac:dyDescent="0.35">
      <c r="A881" s="373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  <c r="AH881" s="141"/>
      <c r="AI881" s="141"/>
      <c r="AJ881" s="141"/>
      <c r="AK881" s="141"/>
    </row>
    <row r="882" spans="1:37" ht="14.5" x14ac:dyDescent="0.35">
      <c r="A882" s="373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  <c r="AH882" s="141"/>
      <c r="AI882" s="141"/>
      <c r="AJ882" s="141"/>
      <c r="AK882" s="141"/>
    </row>
    <row r="883" spans="1:37" ht="14.5" x14ac:dyDescent="0.35">
      <c r="A883" s="373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  <c r="AJ883" s="141"/>
      <c r="AK883" s="141"/>
    </row>
    <row r="884" spans="1:37" ht="14.5" x14ac:dyDescent="0.35">
      <c r="A884" s="373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  <c r="AH884" s="141"/>
      <c r="AI884" s="141"/>
      <c r="AJ884" s="141"/>
      <c r="AK884" s="141"/>
    </row>
    <row r="885" spans="1:37" ht="14.5" x14ac:dyDescent="0.35">
      <c r="A885" s="373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  <c r="AJ885" s="141"/>
      <c r="AK885" s="141"/>
    </row>
    <row r="886" spans="1:37" ht="14.5" x14ac:dyDescent="0.35">
      <c r="A886" s="373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  <c r="AH886" s="141"/>
      <c r="AI886" s="141"/>
      <c r="AJ886" s="141"/>
      <c r="AK886" s="141"/>
    </row>
    <row r="887" spans="1:37" ht="14.5" x14ac:dyDescent="0.35">
      <c r="A887" s="373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  <c r="AJ887" s="141"/>
      <c r="AK887" s="141"/>
    </row>
    <row r="888" spans="1:37" ht="14.5" x14ac:dyDescent="0.35">
      <c r="A888" s="373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  <c r="AH888" s="141"/>
      <c r="AI888" s="141"/>
      <c r="AJ888" s="141"/>
      <c r="AK888" s="141"/>
    </row>
    <row r="889" spans="1:37" ht="14.5" x14ac:dyDescent="0.35">
      <c r="A889" s="373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  <c r="AJ889" s="141"/>
      <c r="AK889" s="141"/>
    </row>
    <row r="890" spans="1:37" ht="14.5" x14ac:dyDescent="0.35">
      <c r="A890" s="373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  <c r="AH890" s="141"/>
      <c r="AI890" s="141"/>
      <c r="AJ890" s="141"/>
      <c r="AK890" s="141"/>
    </row>
    <row r="891" spans="1:37" ht="14.5" x14ac:dyDescent="0.35">
      <c r="A891" s="373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  <c r="AJ891" s="141"/>
      <c r="AK891" s="141"/>
    </row>
    <row r="892" spans="1:37" ht="14.5" x14ac:dyDescent="0.35">
      <c r="A892" s="373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  <c r="AH892" s="141"/>
      <c r="AI892" s="141"/>
      <c r="AJ892" s="141"/>
      <c r="AK892" s="141"/>
    </row>
    <row r="893" spans="1:37" ht="14.5" x14ac:dyDescent="0.35">
      <c r="A893" s="373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  <c r="AJ893" s="141"/>
      <c r="AK893" s="141"/>
    </row>
    <row r="894" spans="1:37" ht="14.5" x14ac:dyDescent="0.35">
      <c r="A894" s="373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  <c r="AH894" s="141"/>
      <c r="AI894" s="141"/>
      <c r="AJ894" s="141"/>
      <c r="AK894" s="141"/>
    </row>
    <row r="895" spans="1:37" ht="14.5" x14ac:dyDescent="0.35">
      <c r="A895" s="373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  <c r="AH895" s="141"/>
      <c r="AI895" s="141"/>
      <c r="AJ895" s="141"/>
      <c r="AK895" s="141"/>
    </row>
    <row r="896" spans="1:37" ht="14.5" x14ac:dyDescent="0.35">
      <c r="A896" s="373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  <c r="AH896" s="141"/>
      <c r="AI896" s="141"/>
      <c r="AJ896" s="141"/>
      <c r="AK896" s="141"/>
    </row>
    <row r="897" spans="1:37" ht="14.5" x14ac:dyDescent="0.35">
      <c r="A897" s="373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  <c r="AJ897" s="141"/>
      <c r="AK897" s="141"/>
    </row>
    <row r="898" spans="1:37" ht="14.5" x14ac:dyDescent="0.35">
      <c r="A898" s="373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  <c r="AH898" s="141"/>
      <c r="AI898" s="141"/>
      <c r="AJ898" s="141"/>
      <c r="AK898" s="141"/>
    </row>
    <row r="899" spans="1:37" ht="14.5" x14ac:dyDescent="0.35">
      <c r="A899" s="373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  <c r="AJ899" s="141"/>
      <c r="AK899" s="141"/>
    </row>
    <row r="900" spans="1:37" ht="14.5" x14ac:dyDescent="0.35">
      <c r="A900" s="373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  <c r="AH900" s="141"/>
      <c r="AI900" s="141"/>
      <c r="AJ900" s="141"/>
      <c r="AK900" s="141"/>
    </row>
    <row r="901" spans="1:37" ht="14.5" x14ac:dyDescent="0.35">
      <c r="A901" s="373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  <c r="AJ901" s="141"/>
      <c r="AK901" s="141"/>
    </row>
    <row r="902" spans="1:37" ht="14.5" x14ac:dyDescent="0.35">
      <c r="A902" s="373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  <c r="AH902" s="141"/>
      <c r="AI902" s="141"/>
      <c r="AJ902" s="141"/>
      <c r="AK902" s="141"/>
    </row>
    <row r="903" spans="1:37" ht="14.5" x14ac:dyDescent="0.35">
      <c r="A903" s="373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  <c r="AH903" s="141"/>
      <c r="AI903" s="141"/>
      <c r="AJ903" s="141"/>
      <c r="AK903" s="141"/>
    </row>
    <row r="904" spans="1:37" ht="14.5" x14ac:dyDescent="0.35">
      <c r="A904" s="373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  <c r="AH904" s="141"/>
      <c r="AI904" s="141"/>
      <c r="AJ904" s="141"/>
      <c r="AK904" s="141"/>
    </row>
    <row r="905" spans="1:37" ht="14.5" x14ac:dyDescent="0.35">
      <c r="A905" s="373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  <c r="AH905" s="141"/>
      <c r="AI905" s="141"/>
      <c r="AJ905" s="141"/>
      <c r="AK905" s="141"/>
    </row>
    <row r="906" spans="1:37" ht="14.5" x14ac:dyDescent="0.35">
      <c r="A906" s="373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  <c r="AH906" s="141"/>
      <c r="AI906" s="141"/>
      <c r="AJ906" s="141"/>
      <c r="AK906" s="141"/>
    </row>
    <row r="907" spans="1:37" ht="14.5" x14ac:dyDescent="0.35">
      <c r="A907" s="373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  <c r="AJ907" s="141"/>
      <c r="AK907" s="141"/>
    </row>
    <row r="908" spans="1:37" ht="14.5" x14ac:dyDescent="0.35">
      <c r="A908" s="373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  <c r="AH908" s="141"/>
      <c r="AI908" s="141"/>
      <c r="AJ908" s="141"/>
      <c r="AK908" s="141"/>
    </row>
    <row r="909" spans="1:37" ht="14.5" x14ac:dyDescent="0.35">
      <c r="A909" s="373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  <c r="AJ909" s="141"/>
      <c r="AK909" s="141"/>
    </row>
    <row r="910" spans="1:37" ht="14.5" x14ac:dyDescent="0.35">
      <c r="A910" s="373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  <c r="AH910" s="141"/>
      <c r="AI910" s="141"/>
      <c r="AJ910" s="141"/>
      <c r="AK910" s="141"/>
    </row>
    <row r="911" spans="1:37" ht="14.5" x14ac:dyDescent="0.35">
      <c r="A911" s="373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  <c r="AH911" s="141"/>
      <c r="AI911" s="141"/>
      <c r="AJ911" s="141"/>
      <c r="AK911" s="141"/>
    </row>
    <row r="912" spans="1:37" ht="14.5" x14ac:dyDescent="0.35">
      <c r="A912" s="373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  <c r="AH912" s="141"/>
      <c r="AI912" s="141"/>
      <c r="AJ912" s="141"/>
      <c r="AK912" s="141"/>
    </row>
    <row r="913" spans="1:37" ht="14.5" x14ac:dyDescent="0.35">
      <c r="A913" s="373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  <c r="AH913" s="141"/>
      <c r="AI913" s="141"/>
      <c r="AJ913" s="141"/>
      <c r="AK913" s="141"/>
    </row>
    <row r="914" spans="1:37" ht="14.5" x14ac:dyDescent="0.35">
      <c r="A914" s="373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  <c r="AH914" s="141"/>
      <c r="AI914" s="141"/>
      <c r="AJ914" s="141"/>
      <c r="AK914" s="141"/>
    </row>
    <row r="915" spans="1:37" ht="14.5" x14ac:dyDescent="0.35">
      <c r="A915" s="373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  <c r="AJ915" s="141"/>
      <c r="AK915" s="141"/>
    </row>
    <row r="916" spans="1:37" ht="14.5" x14ac:dyDescent="0.35">
      <c r="A916" s="373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  <c r="AH916" s="141"/>
      <c r="AI916" s="141"/>
      <c r="AJ916" s="141"/>
      <c r="AK916" s="141"/>
    </row>
    <row r="917" spans="1:37" ht="14.5" x14ac:dyDescent="0.35">
      <c r="A917" s="373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  <c r="AH917" s="141"/>
      <c r="AI917" s="141"/>
      <c r="AJ917" s="141"/>
      <c r="AK917" s="141"/>
    </row>
    <row r="918" spans="1:37" ht="14.5" x14ac:dyDescent="0.35">
      <c r="A918" s="373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  <c r="AH918" s="141"/>
      <c r="AI918" s="141"/>
      <c r="AJ918" s="141"/>
      <c r="AK918" s="141"/>
    </row>
    <row r="919" spans="1:37" ht="14.5" x14ac:dyDescent="0.35">
      <c r="A919" s="373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  <c r="AH919" s="141"/>
      <c r="AI919" s="141"/>
      <c r="AJ919" s="141"/>
      <c r="AK919" s="141"/>
    </row>
    <row r="920" spans="1:37" ht="14.5" x14ac:dyDescent="0.35">
      <c r="A920" s="373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  <c r="AH920" s="141"/>
      <c r="AI920" s="141"/>
      <c r="AJ920" s="141"/>
      <c r="AK920" s="141"/>
    </row>
    <row r="921" spans="1:37" ht="14.5" x14ac:dyDescent="0.35">
      <c r="A921" s="373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  <c r="AJ921" s="141"/>
      <c r="AK921" s="141"/>
    </row>
    <row r="922" spans="1:37" ht="14.5" x14ac:dyDescent="0.35">
      <c r="A922" s="373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  <c r="AH922" s="141"/>
      <c r="AI922" s="141"/>
      <c r="AJ922" s="141"/>
      <c r="AK922" s="141"/>
    </row>
    <row r="923" spans="1:37" ht="14.5" x14ac:dyDescent="0.35">
      <c r="A923" s="373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  <c r="AJ923" s="141"/>
      <c r="AK923" s="141"/>
    </row>
    <row r="924" spans="1:37" ht="14.5" x14ac:dyDescent="0.35">
      <c r="A924" s="373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  <c r="AH924" s="141"/>
      <c r="AI924" s="141"/>
      <c r="AJ924" s="141"/>
      <c r="AK924" s="141"/>
    </row>
    <row r="925" spans="1:37" ht="14.5" x14ac:dyDescent="0.35">
      <c r="A925" s="373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  <c r="AH925" s="141"/>
      <c r="AI925" s="141"/>
      <c r="AJ925" s="141"/>
      <c r="AK925" s="141"/>
    </row>
    <row r="926" spans="1:37" ht="14.5" x14ac:dyDescent="0.35">
      <c r="A926" s="373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  <c r="AH926" s="141"/>
      <c r="AI926" s="141"/>
      <c r="AJ926" s="141"/>
      <c r="AK926" s="141"/>
    </row>
    <row r="927" spans="1:37" ht="14.5" x14ac:dyDescent="0.35">
      <c r="A927" s="373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  <c r="AH927" s="141"/>
      <c r="AI927" s="141"/>
      <c r="AJ927" s="141"/>
      <c r="AK927" s="141"/>
    </row>
    <row r="928" spans="1:37" ht="14.5" x14ac:dyDescent="0.35">
      <c r="A928" s="373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  <c r="AH928" s="141"/>
      <c r="AI928" s="141"/>
      <c r="AJ928" s="141"/>
      <c r="AK928" s="141"/>
    </row>
    <row r="929" spans="1:37" ht="14.5" x14ac:dyDescent="0.35">
      <c r="A929" s="373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  <c r="AJ929" s="141"/>
      <c r="AK929" s="141"/>
    </row>
    <row r="930" spans="1:37" ht="14.5" x14ac:dyDescent="0.35">
      <c r="A930" s="373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  <c r="AH930" s="141"/>
      <c r="AI930" s="141"/>
      <c r="AJ930" s="141"/>
      <c r="AK930" s="141"/>
    </row>
    <row r="931" spans="1:37" ht="14.5" x14ac:dyDescent="0.35">
      <c r="A931" s="373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  <c r="AJ931" s="141"/>
      <c r="AK931" s="141"/>
    </row>
    <row r="932" spans="1:37" ht="14.5" x14ac:dyDescent="0.35">
      <c r="A932" s="373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  <c r="AH932" s="141"/>
      <c r="AI932" s="141"/>
      <c r="AJ932" s="141"/>
      <c r="AK932" s="141"/>
    </row>
    <row r="933" spans="1:37" ht="14.5" x14ac:dyDescent="0.35">
      <c r="A933" s="373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  <c r="AJ933" s="141"/>
      <c r="AK933" s="141"/>
    </row>
    <row r="934" spans="1:37" ht="14.5" x14ac:dyDescent="0.35">
      <c r="A934" s="373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  <c r="AH934" s="141"/>
      <c r="AI934" s="141"/>
      <c r="AJ934" s="141"/>
      <c r="AK934" s="141"/>
    </row>
    <row r="935" spans="1:37" ht="14.5" x14ac:dyDescent="0.35">
      <c r="A935" s="373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  <c r="AJ935" s="141"/>
      <c r="AK935" s="141"/>
    </row>
    <row r="936" spans="1:37" ht="14.5" x14ac:dyDescent="0.35">
      <c r="A936" s="373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  <c r="AH936" s="141"/>
      <c r="AI936" s="141"/>
      <c r="AJ936" s="141"/>
      <c r="AK936" s="141"/>
    </row>
    <row r="937" spans="1:37" ht="14.5" x14ac:dyDescent="0.35">
      <c r="A937" s="373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  <c r="AH937" s="141"/>
      <c r="AI937" s="141"/>
      <c r="AJ937" s="141"/>
      <c r="AK937" s="141"/>
    </row>
    <row r="938" spans="1:37" ht="14.5" x14ac:dyDescent="0.35">
      <c r="A938" s="373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  <c r="AH938" s="141"/>
      <c r="AI938" s="141"/>
      <c r="AJ938" s="141"/>
      <c r="AK938" s="141"/>
    </row>
    <row r="939" spans="1:37" ht="14.5" x14ac:dyDescent="0.35">
      <c r="A939" s="373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  <c r="AH939" s="141"/>
      <c r="AI939" s="141"/>
      <c r="AJ939" s="141"/>
      <c r="AK939" s="141"/>
    </row>
    <row r="940" spans="1:37" ht="14.5" x14ac:dyDescent="0.35">
      <c r="A940" s="373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  <c r="AH940" s="141"/>
      <c r="AI940" s="141"/>
      <c r="AJ940" s="141"/>
      <c r="AK940" s="141"/>
    </row>
    <row r="941" spans="1:37" ht="14.5" x14ac:dyDescent="0.35">
      <c r="A941" s="373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  <c r="AH941" s="141"/>
      <c r="AI941" s="141"/>
      <c r="AJ941" s="141"/>
      <c r="AK941" s="141"/>
    </row>
    <row r="942" spans="1:37" ht="14.5" x14ac:dyDescent="0.35">
      <c r="A942" s="373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  <c r="AJ942" s="141"/>
      <c r="AK942" s="141"/>
    </row>
    <row r="943" spans="1:37" ht="14.5" x14ac:dyDescent="0.35">
      <c r="A943" s="373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  <c r="AH943" s="141"/>
      <c r="AI943" s="141"/>
      <c r="AJ943" s="141"/>
      <c r="AK943" s="141"/>
    </row>
    <row r="944" spans="1:37" ht="14.5" x14ac:dyDescent="0.35">
      <c r="A944" s="373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  <c r="AJ944" s="141"/>
      <c r="AK944" s="141"/>
    </row>
    <row r="945" spans="1:37" ht="14.5" x14ac:dyDescent="0.35">
      <c r="A945" s="373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  <c r="AH945" s="141"/>
      <c r="AI945" s="141"/>
      <c r="AJ945" s="141"/>
      <c r="AK945" s="141"/>
    </row>
    <row r="946" spans="1:37" ht="14.5" x14ac:dyDescent="0.35">
      <c r="A946" s="373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  <c r="AJ946" s="141"/>
      <c r="AK946" s="141"/>
    </row>
    <row r="947" spans="1:37" ht="14.5" x14ac:dyDescent="0.35">
      <c r="A947" s="373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  <c r="AH947" s="141"/>
      <c r="AI947" s="141"/>
      <c r="AJ947" s="141"/>
      <c r="AK947" s="141"/>
    </row>
    <row r="948" spans="1:37" ht="14.5" x14ac:dyDescent="0.35">
      <c r="A948" s="373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/>
      <c r="AI948" s="141"/>
      <c r="AJ948" s="141"/>
      <c r="AK948" s="141"/>
    </row>
    <row r="949" spans="1:37" ht="14.5" x14ac:dyDescent="0.35">
      <c r="A949" s="373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  <c r="AH949" s="141"/>
      <c r="AI949" s="141"/>
      <c r="AJ949" s="141"/>
      <c r="AK949" s="141"/>
    </row>
    <row r="950" spans="1:37" ht="14.5" x14ac:dyDescent="0.35">
      <c r="A950" s="373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  <c r="AJ950" s="141"/>
      <c r="AK950" s="141"/>
    </row>
    <row r="951" spans="1:37" ht="14.5" x14ac:dyDescent="0.35">
      <c r="A951" s="373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  <c r="AH951" s="141"/>
      <c r="AI951" s="141"/>
      <c r="AJ951" s="141"/>
      <c r="AK951" s="141"/>
    </row>
    <row r="952" spans="1:37" ht="14.5" x14ac:dyDescent="0.35">
      <c r="A952" s="373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  <c r="AJ952" s="141"/>
      <c r="AK952" s="141"/>
    </row>
    <row r="953" spans="1:37" ht="14.5" x14ac:dyDescent="0.35">
      <c r="A953" s="373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  <c r="AH953" s="141"/>
      <c r="AI953" s="141"/>
      <c r="AJ953" s="141"/>
      <c r="AK953" s="141"/>
    </row>
    <row r="954" spans="1:37" ht="14.5" x14ac:dyDescent="0.35">
      <c r="A954" s="373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  <c r="AJ954" s="141"/>
      <c r="AK954" s="141"/>
    </row>
    <row r="955" spans="1:37" ht="14.5" x14ac:dyDescent="0.35">
      <c r="A955" s="373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  <c r="AH955" s="141"/>
      <c r="AI955" s="141"/>
      <c r="AJ955" s="141"/>
      <c r="AK955" s="141"/>
    </row>
    <row r="956" spans="1:37" ht="14.5" x14ac:dyDescent="0.35">
      <c r="A956" s="373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  <c r="AJ956" s="141"/>
      <c r="AK956" s="141"/>
    </row>
    <row r="957" spans="1:37" ht="14.5" x14ac:dyDescent="0.35">
      <c r="A957" s="373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  <c r="AH957" s="141"/>
      <c r="AI957" s="141"/>
      <c r="AJ957" s="141"/>
      <c r="AK957" s="141"/>
    </row>
    <row r="958" spans="1:37" ht="14.5" x14ac:dyDescent="0.35">
      <c r="A958" s="373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  <c r="AJ958" s="141"/>
      <c r="AK958" s="141"/>
    </row>
    <row r="959" spans="1:37" ht="14.5" x14ac:dyDescent="0.35">
      <c r="A959" s="373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  <c r="AH959" s="141"/>
      <c r="AI959" s="141"/>
      <c r="AJ959" s="141"/>
      <c r="AK959" s="141"/>
    </row>
    <row r="960" spans="1:37" ht="14.5" x14ac:dyDescent="0.35">
      <c r="A960" s="373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/>
      <c r="AI960" s="141"/>
      <c r="AJ960" s="141"/>
      <c r="AK960" s="141"/>
    </row>
    <row r="961" spans="1:37" ht="14.5" x14ac:dyDescent="0.35">
      <c r="A961" s="373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  <c r="AH961" s="141"/>
      <c r="AI961" s="141"/>
      <c r="AJ961" s="141"/>
      <c r="AK961" s="141"/>
    </row>
    <row r="962" spans="1:37" ht="14.5" x14ac:dyDescent="0.35">
      <c r="A962" s="373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  <c r="AH962" s="141"/>
      <c r="AI962" s="141"/>
      <c r="AJ962" s="141"/>
      <c r="AK962" s="141"/>
    </row>
    <row r="963" spans="1:37" ht="14.5" x14ac:dyDescent="0.35">
      <c r="A963" s="373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  <c r="AH963" s="141"/>
      <c r="AI963" s="141"/>
      <c r="AJ963" s="141"/>
      <c r="AK963" s="141"/>
    </row>
    <row r="964" spans="1:37" ht="14.5" x14ac:dyDescent="0.35">
      <c r="A964" s="373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  <c r="AJ964" s="141"/>
      <c r="AK964" s="141"/>
    </row>
    <row r="965" spans="1:37" ht="14.5" x14ac:dyDescent="0.35">
      <c r="A965" s="373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  <c r="AH965" s="141"/>
      <c r="AI965" s="141"/>
      <c r="AJ965" s="141"/>
      <c r="AK965" s="141"/>
    </row>
    <row r="966" spans="1:37" ht="14.5" x14ac:dyDescent="0.35">
      <c r="A966" s="373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  <c r="AH966" s="141"/>
      <c r="AI966" s="141"/>
      <c r="AJ966" s="141"/>
      <c r="AK966" s="141"/>
    </row>
    <row r="967" spans="1:37" ht="14.5" x14ac:dyDescent="0.35">
      <c r="A967" s="373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  <c r="AH967" s="141"/>
      <c r="AI967" s="141"/>
      <c r="AJ967" s="141"/>
      <c r="AK967" s="141"/>
    </row>
    <row r="968" spans="1:37" ht="14.5" x14ac:dyDescent="0.35">
      <c r="A968" s="373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  <c r="AJ968" s="141"/>
      <c r="AK968" s="141"/>
    </row>
    <row r="969" spans="1:37" ht="14.5" x14ac:dyDescent="0.35">
      <c r="A969" s="373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  <c r="AH969" s="141"/>
      <c r="AI969" s="141"/>
      <c r="AJ969" s="141"/>
      <c r="AK969" s="141"/>
    </row>
    <row r="970" spans="1:37" ht="14.5" x14ac:dyDescent="0.35">
      <c r="A970" s="373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  <c r="AH970" s="141"/>
      <c r="AI970" s="141"/>
      <c r="AJ970" s="141"/>
      <c r="AK970" s="141"/>
    </row>
    <row r="971" spans="1:37" ht="14.5" x14ac:dyDescent="0.35">
      <c r="A971" s="373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  <c r="AH971" s="141"/>
      <c r="AI971" s="141"/>
      <c r="AJ971" s="141"/>
      <c r="AK971" s="141"/>
    </row>
    <row r="972" spans="1:37" ht="14.5" x14ac:dyDescent="0.35">
      <c r="A972" s="373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  <c r="AH972" s="141"/>
      <c r="AI972" s="141"/>
      <c r="AJ972" s="141"/>
      <c r="AK972" s="141"/>
    </row>
    <row r="973" spans="1:37" ht="14.5" x14ac:dyDescent="0.35">
      <c r="A973" s="373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  <c r="AH973" s="141"/>
      <c r="AI973" s="141"/>
      <c r="AJ973" s="141"/>
      <c r="AK973" s="141"/>
    </row>
    <row r="974" spans="1:37" ht="14.5" x14ac:dyDescent="0.35">
      <c r="A974" s="373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  <c r="AH974" s="141"/>
      <c r="AI974" s="141"/>
      <c r="AJ974" s="141"/>
      <c r="AK974" s="141"/>
    </row>
    <row r="975" spans="1:37" ht="14.5" x14ac:dyDescent="0.35">
      <c r="A975" s="373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  <c r="AH975" s="141"/>
      <c r="AI975" s="141"/>
      <c r="AJ975" s="141"/>
      <c r="AK975" s="141"/>
    </row>
    <row r="976" spans="1:37" ht="14.5" x14ac:dyDescent="0.35">
      <c r="A976" s="373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  <c r="AH976" s="141"/>
      <c r="AI976" s="141"/>
      <c r="AJ976" s="141"/>
      <c r="AK976" s="141"/>
    </row>
    <row r="977" spans="1:37" ht="14.5" x14ac:dyDescent="0.35">
      <c r="A977" s="373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  <c r="AF977" s="141"/>
      <c r="AG977" s="141"/>
      <c r="AH977" s="141"/>
      <c r="AI977" s="141"/>
      <c r="AJ977" s="141"/>
      <c r="AK977" s="141"/>
    </row>
    <row r="978" spans="1:37" ht="14.5" x14ac:dyDescent="0.35">
      <c r="A978" s="373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  <c r="AF978" s="141"/>
      <c r="AG978" s="141"/>
      <c r="AH978" s="141"/>
      <c r="AI978" s="141"/>
      <c r="AJ978" s="141"/>
      <c r="AK978" s="141"/>
    </row>
    <row r="979" spans="1:37" ht="14.5" x14ac:dyDescent="0.35">
      <c r="A979" s="373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  <c r="AF979" s="141"/>
      <c r="AG979" s="141"/>
      <c r="AH979" s="141"/>
      <c r="AI979" s="141"/>
      <c r="AJ979" s="141"/>
      <c r="AK979" s="141"/>
    </row>
    <row r="980" spans="1:37" ht="14.5" x14ac:dyDescent="0.35">
      <c r="A980" s="373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  <c r="AF980" s="141"/>
      <c r="AG980" s="141"/>
      <c r="AH980" s="141"/>
      <c r="AI980" s="141"/>
      <c r="AJ980" s="141"/>
      <c r="AK980" s="141"/>
    </row>
    <row r="981" spans="1:37" ht="14.5" x14ac:dyDescent="0.35">
      <c r="A981" s="373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  <c r="AF981" s="141"/>
      <c r="AG981" s="141"/>
      <c r="AH981" s="141"/>
      <c r="AI981" s="141"/>
      <c r="AJ981" s="141"/>
      <c r="AK981" s="141"/>
    </row>
    <row r="982" spans="1:37" ht="14.5" x14ac:dyDescent="0.35">
      <c r="A982" s="373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  <c r="AF982" s="141"/>
      <c r="AG982" s="141"/>
      <c r="AH982" s="141"/>
      <c r="AI982" s="141"/>
      <c r="AJ982" s="141"/>
      <c r="AK982" s="141"/>
    </row>
    <row r="983" spans="1:37" ht="14.5" x14ac:dyDescent="0.35">
      <c r="A983" s="373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  <c r="AF983" s="141"/>
      <c r="AG983" s="141"/>
      <c r="AH983" s="141"/>
      <c r="AI983" s="141"/>
      <c r="AJ983" s="141"/>
      <c r="AK983" s="141"/>
    </row>
    <row r="984" spans="1:37" ht="14.5" x14ac:dyDescent="0.35">
      <c r="A984" s="373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  <c r="AF984" s="141"/>
      <c r="AG984" s="141"/>
      <c r="AH984" s="141"/>
      <c r="AI984" s="141"/>
      <c r="AJ984" s="141"/>
      <c r="AK984" s="141"/>
    </row>
    <row r="985" spans="1:37" ht="14.5" x14ac:dyDescent="0.35">
      <c r="A985" s="373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  <c r="AE985" s="141"/>
      <c r="AF985" s="141"/>
      <c r="AG985" s="141"/>
      <c r="AH985" s="141"/>
      <c r="AI985" s="141"/>
      <c r="AJ985" s="141"/>
      <c r="AK985" s="141"/>
    </row>
    <row r="986" spans="1:37" ht="14.5" x14ac:dyDescent="0.35">
      <c r="A986" s="373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  <c r="AE986" s="141"/>
      <c r="AF986" s="141"/>
      <c r="AG986" s="141"/>
      <c r="AH986" s="141"/>
      <c r="AI986" s="141"/>
      <c r="AJ986" s="141"/>
      <c r="AK986" s="141"/>
    </row>
    <row r="987" spans="1:37" ht="14.5" x14ac:dyDescent="0.35">
      <c r="A987" s="373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  <c r="AE987" s="141"/>
      <c r="AF987" s="141"/>
      <c r="AG987" s="141"/>
      <c r="AH987" s="141"/>
      <c r="AI987" s="141"/>
      <c r="AJ987" s="141"/>
      <c r="AK987" s="141"/>
    </row>
    <row r="988" spans="1:37" ht="14.5" x14ac:dyDescent="0.35">
      <c r="A988" s="373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  <c r="AE988" s="141"/>
      <c r="AF988" s="141"/>
      <c r="AG988" s="141"/>
      <c r="AH988" s="141"/>
      <c r="AI988" s="141"/>
      <c r="AJ988" s="141"/>
      <c r="AK988" s="141"/>
    </row>
    <row r="989" spans="1:37" ht="14.5" x14ac:dyDescent="0.35">
      <c r="A989" s="373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  <c r="AE989" s="141"/>
      <c r="AF989" s="141"/>
      <c r="AG989" s="141"/>
      <c r="AH989" s="141"/>
      <c r="AI989" s="141"/>
      <c r="AJ989" s="141"/>
      <c r="AK989" s="141"/>
    </row>
    <row r="990" spans="1:37" ht="14.5" x14ac:dyDescent="0.35">
      <c r="A990" s="373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  <c r="AE990" s="141"/>
      <c r="AF990" s="141"/>
      <c r="AG990" s="141"/>
      <c r="AH990" s="141"/>
      <c r="AI990" s="141"/>
      <c r="AJ990" s="141"/>
      <c r="AK990" s="141"/>
    </row>
    <row r="991" spans="1:37" ht="14.5" x14ac:dyDescent="0.35">
      <c r="A991" s="373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  <c r="AE991" s="141"/>
      <c r="AF991" s="141"/>
      <c r="AG991" s="141"/>
      <c r="AH991" s="141"/>
      <c r="AI991" s="141"/>
      <c r="AJ991" s="141"/>
      <c r="AK991" s="141"/>
    </row>
    <row r="992" spans="1:37" ht="14.5" x14ac:dyDescent="0.35">
      <c r="A992" s="373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  <c r="AE992" s="141"/>
      <c r="AF992" s="141"/>
      <c r="AG992" s="141"/>
      <c r="AH992" s="141"/>
      <c r="AI992" s="141"/>
      <c r="AJ992" s="141"/>
      <c r="AK992" s="14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L99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53125" defaultRowHeight="15" customHeight="1" x14ac:dyDescent="0.35"/>
  <cols>
    <col min="1" max="1" width="28.7265625" customWidth="1"/>
  </cols>
  <sheetData>
    <row r="1" spans="1:38" ht="14.5" x14ac:dyDescent="0.35">
      <c r="A1" s="358"/>
      <c r="B1" s="291"/>
      <c r="C1" s="291"/>
      <c r="D1" s="291"/>
      <c r="E1" s="290" t="s">
        <v>333</v>
      </c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</row>
    <row r="2" spans="1:38" ht="14.5" x14ac:dyDescent="0.35">
      <c r="A2" s="359"/>
      <c r="B2" s="360" t="s">
        <v>344</v>
      </c>
      <c r="C2" s="360" t="s">
        <v>345</v>
      </c>
      <c r="D2" s="360" t="s">
        <v>346</v>
      </c>
      <c r="E2" s="360" t="s">
        <v>347</v>
      </c>
      <c r="F2" s="360" t="s">
        <v>348</v>
      </c>
      <c r="G2" s="360" t="s">
        <v>349</v>
      </c>
      <c r="H2" s="360" t="s">
        <v>350</v>
      </c>
      <c r="I2" s="360" t="s">
        <v>351</v>
      </c>
      <c r="J2" s="360" t="s">
        <v>352</v>
      </c>
      <c r="K2" s="360" t="s">
        <v>353</v>
      </c>
      <c r="L2" s="360" t="s">
        <v>354</v>
      </c>
      <c r="M2" s="360" t="s">
        <v>355</v>
      </c>
      <c r="N2" s="360" t="s">
        <v>356</v>
      </c>
      <c r="O2" s="360" t="s">
        <v>357</v>
      </c>
      <c r="P2" s="360" t="s">
        <v>358</v>
      </c>
      <c r="Q2" s="360" t="s">
        <v>359</v>
      </c>
      <c r="R2" s="360" t="s">
        <v>360</v>
      </c>
      <c r="S2" s="360" t="s">
        <v>361</v>
      </c>
      <c r="T2" s="360" t="s">
        <v>362</v>
      </c>
      <c r="U2" s="360" t="s">
        <v>363</v>
      </c>
      <c r="V2" s="360" t="s">
        <v>364</v>
      </c>
      <c r="W2" s="360" t="s">
        <v>365</v>
      </c>
      <c r="X2" s="360" t="s">
        <v>366</v>
      </c>
      <c r="Y2" s="360" t="s">
        <v>367</v>
      </c>
      <c r="Z2" s="360" t="s">
        <v>368</v>
      </c>
      <c r="AA2" s="360" t="s">
        <v>369</v>
      </c>
      <c r="AB2" s="360" t="s">
        <v>370</v>
      </c>
      <c r="AC2" s="360" t="s">
        <v>371</v>
      </c>
      <c r="AD2" s="360" t="s">
        <v>372</v>
      </c>
      <c r="AE2" s="360" t="s">
        <v>373</v>
      </c>
      <c r="AF2" s="360" t="s">
        <v>374</v>
      </c>
      <c r="AG2" s="360" t="s">
        <v>375</v>
      </c>
      <c r="AH2" s="360" t="s">
        <v>376</v>
      </c>
      <c r="AI2" s="360" t="s">
        <v>377</v>
      </c>
      <c r="AJ2" s="360" t="s">
        <v>378</v>
      </c>
      <c r="AK2" s="360"/>
      <c r="AL2" s="360"/>
    </row>
    <row r="3" spans="1:38" ht="14.5" x14ac:dyDescent="0.35">
      <c r="A3" s="361" t="s">
        <v>301</v>
      </c>
      <c r="B3" s="294" t="s">
        <v>302</v>
      </c>
      <c r="C3" s="294" t="s">
        <v>303</v>
      </c>
      <c r="D3" s="294" t="s">
        <v>97</v>
      </c>
      <c r="E3" s="294" t="s">
        <v>99</v>
      </c>
      <c r="F3" s="294" t="s">
        <v>304</v>
      </c>
      <c r="G3" s="294" t="s">
        <v>100</v>
      </c>
      <c r="H3" s="294" t="s">
        <v>94</v>
      </c>
      <c r="I3" s="294" t="s">
        <v>104</v>
      </c>
      <c r="J3" s="294" t="s">
        <v>15</v>
      </c>
      <c r="K3" s="294" t="s">
        <v>305</v>
      </c>
      <c r="L3" s="294" t="s">
        <v>306</v>
      </c>
      <c r="M3" s="294" t="s">
        <v>307</v>
      </c>
      <c r="N3" s="294" t="s">
        <v>308</v>
      </c>
      <c r="O3" s="294" t="s">
        <v>309</v>
      </c>
      <c r="P3" s="294" t="s">
        <v>310</v>
      </c>
      <c r="Q3" s="294" t="s">
        <v>101</v>
      </c>
      <c r="R3" s="294" t="s">
        <v>102</v>
      </c>
      <c r="S3" s="294" t="s">
        <v>20</v>
      </c>
      <c r="T3" s="294" t="s">
        <v>255</v>
      </c>
      <c r="U3" s="294" t="s">
        <v>39</v>
      </c>
      <c r="V3" s="294" t="s">
        <v>61</v>
      </c>
      <c r="W3" s="294" t="s">
        <v>9</v>
      </c>
      <c r="X3" s="294" t="s">
        <v>4</v>
      </c>
      <c r="Y3" s="294" t="s">
        <v>254</v>
      </c>
      <c r="Z3" s="294" t="s">
        <v>96</v>
      </c>
      <c r="AA3" s="294" t="s">
        <v>259</v>
      </c>
      <c r="AB3" s="294" t="s">
        <v>260</v>
      </c>
      <c r="AC3" s="294" t="s">
        <v>261</v>
      </c>
      <c r="AD3" s="294" t="s">
        <v>262</v>
      </c>
      <c r="AE3" s="294" t="s">
        <v>256</v>
      </c>
      <c r="AF3" s="294" t="s">
        <v>257</v>
      </c>
      <c r="AG3" s="294" t="s">
        <v>258</v>
      </c>
      <c r="AH3" s="294" t="s">
        <v>78</v>
      </c>
      <c r="AI3" s="294" t="s">
        <v>95</v>
      </c>
      <c r="AJ3" s="294" t="s">
        <v>311</v>
      </c>
      <c r="AK3" s="294" t="s">
        <v>219</v>
      </c>
      <c r="AL3" s="295" t="s">
        <v>312</v>
      </c>
    </row>
    <row r="4" spans="1:38" ht="14.5" x14ac:dyDescent="0.35">
      <c r="A4" s="362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  <c r="AL4" s="334"/>
    </row>
    <row r="5" spans="1:38" ht="14.5" x14ac:dyDescent="0.35">
      <c r="A5" s="363" t="s">
        <v>313</v>
      </c>
      <c r="B5" s="297"/>
      <c r="C5" s="297"/>
      <c r="D5" s="298"/>
      <c r="E5" s="297"/>
      <c r="F5" s="297"/>
      <c r="G5" s="297"/>
      <c r="H5" s="297"/>
      <c r="I5" s="297"/>
      <c r="J5" s="297"/>
      <c r="K5" s="297"/>
      <c r="L5" s="297"/>
      <c r="M5" s="297"/>
      <c r="N5" s="299"/>
      <c r="O5" s="299"/>
      <c r="P5" s="299"/>
      <c r="Q5" s="300"/>
      <c r="R5" s="300"/>
      <c r="S5" s="299"/>
      <c r="T5" s="299"/>
      <c r="U5" s="297"/>
      <c r="V5" s="347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348"/>
      <c r="AK5" s="348"/>
      <c r="AL5" s="303">
        <f t="shared" ref="AL5:AL6" si="0">SUM(B5:AJ5)</f>
        <v>0</v>
      </c>
    </row>
    <row r="6" spans="1:38" ht="14.5" x14ac:dyDescent="0.35">
      <c r="A6" s="364" t="s">
        <v>314</v>
      </c>
      <c r="B6" s="305"/>
      <c r="C6" s="305"/>
      <c r="D6" s="306"/>
      <c r="E6" s="305"/>
      <c r="F6" s="305"/>
      <c r="G6" s="305"/>
      <c r="H6" s="305"/>
      <c r="I6" s="305"/>
      <c r="J6" s="305"/>
      <c r="K6" s="305"/>
      <c r="L6" s="305"/>
      <c r="M6" s="305"/>
      <c r="N6" s="307"/>
      <c r="O6" s="307"/>
      <c r="P6" s="307"/>
      <c r="Q6" s="307"/>
      <c r="R6" s="307"/>
      <c r="S6" s="307"/>
      <c r="T6" s="307"/>
      <c r="U6" s="307"/>
      <c r="V6" s="334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25"/>
      <c r="AK6" s="325"/>
      <c r="AL6" s="303">
        <f t="shared" si="0"/>
        <v>0</v>
      </c>
    </row>
    <row r="7" spans="1:38" ht="14.5" x14ac:dyDescent="0.35">
      <c r="A7" s="364" t="s">
        <v>266</v>
      </c>
      <c r="B7" s="305">
        <f t="shared" ref="B7:AJ7" si="1">B5-B6</f>
        <v>0</v>
      </c>
      <c r="C7" s="305">
        <f t="shared" si="1"/>
        <v>0</v>
      </c>
      <c r="D7" s="305">
        <f t="shared" si="1"/>
        <v>0</v>
      </c>
      <c r="E7" s="305">
        <f t="shared" si="1"/>
        <v>0</v>
      </c>
      <c r="F7" s="305">
        <f t="shared" si="1"/>
        <v>0</v>
      </c>
      <c r="G7" s="305">
        <f t="shared" si="1"/>
        <v>0</v>
      </c>
      <c r="H7" s="305">
        <f t="shared" si="1"/>
        <v>0</v>
      </c>
      <c r="I7" s="305">
        <f t="shared" si="1"/>
        <v>0</v>
      </c>
      <c r="J7" s="305">
        <f t="shared" si="1"/>
        <v>0</v>
      </c>
      <c r="K7" s="305">
        <f t="shared" si="1"/>
        <v>0</v>
      </c>
      <c r="L7" s="305">
        <f t="shared" si="1"/>
        <v>0</v>
      </c>
      <c r="M7" s="305">
        <f t="shared" si="1"/>
        <v>0</v>
      </c>
      <c r="N7" s="305">
        <f t="shared" si="1"/>
        <v>0</v>
      </c>
      <c r="O7" s="305">
        <f t="shared" si="1"/>
        <v>0</v>
      </c>
      <c r="P7" s="305">
        <f t="shared" si="1"/>
        <v>0</v>
      </c>
      <c r="Q7" s="305">
        <f t="shared" si="1"/>
        <v>0</v>
      </c>
      <c r="R7" s="305">
        <f t="shared" si="1"/>
        <v>0</v>
      </c>
      <c r="S7" s="305">
        <f t="shared" si="1"/>
        <v>0</v>
      </c>
      <c r="T7" s="305">
        <f t="shared" si="1"/>
        <v>0</v>
      </c>
      <c r="U7" s="305">
        <f t="shared" si="1"/>
        <v>0</v>
      </c>
      <c r="V7" s="305">
        <f t="shared" si="1"/>
        <v>0</v>
      </c>
      <c r="W7" s="305">
        <f t="shared" si="1"/>
        <v>0</v>
      </c>
      <c r="X7" s="305">
        <f t="shared" si="1"/>
        <v>0</v>
      </c>
      <c r="Y7" s="305">
        <f t="shared" si="1"/>
        <v>0</v>
      </c>
      <c r="Z7" s="305">
        <f t="shared" si="1"/>
        <v>0</v>
      </c>
      <c r="AA7" s="305">
        <f t="shared" si="1"/>
        <v>0</v>
      </c>
      <c r="AB7" s="305">
        <f t="shared" si="1"/>
        <v>0</v>
      </c>
      <c r="AC7" s="305">
        <f t="shared" si="1"/>
        <v>0</v>
      </c>
      <c r="AD7" s="305">
        <f t="shared" si="1"/>
        <v>0</v>
      </c>
      <c r="AE7" s="305">
        <f t="shared" si="1"/>
        <v>0</v>
      </c>
      <c r="AF7" s="305">
        <f t="shared" si="1"/>
        <v>0</v>
      </c>
      <c r="AG7" s="305">
        <f t="shared" si="1"/>
        <v>0</v>
      </c>
      <c r="AH7" s="305">
        <f t="shared" si="1"/>
        <v>0</v>
      </c>
      <c r="AI7" s="305">
        <f t="shared" si="1"/>
        <v>0</v>
      </c>
      <c r="AJ7" s="305">
        <f t="shared" si="1"/>
        <v>0</v>
      </c>
      <c r="AK7" s="305"/>
      <c r="AL7" s="305">
        <f>AL5-AL6</f>
        <v>0</v>
      </c>
    </row>
    <row r="8" spans="1:38" ht="14.5" x14ac:dyDescent="0.35">
      <c r="A8" s="365" t="s">
        <v>267</v>
      </c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50"/>
    </row>
    <row r="9" spans="1:38" ht="14.5" x14ac:dyDescent="0.35">
      <c r="A9" s="364" t="s">
        <v>90</v>
      </c>
      <c r="B9" s="305"/>
      <c r="C9" s="305"/>
      <c r="D9" s="305"/>
      <c r="E9" s="305"/>
      <c r="F9" s="305"/>
      <c r="G9" s="305"/>
      <c r="H9" s="305"/>
      <c r="I9" s="305"/>
      <c r="J9" s="305"/>
      <c r="K9" s="305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25"/>
      <c r="W9" s="307"/>
      <c r="X9" s="305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25"/>
      <c r="AK9" s="325"/>
      <c r="AL9" s="303">
        <f t="shared" ref="AL9:AL44" si="2">SUM(B9:AJ9)</f>
        <v>0</v>
      </c>
    </row>
    <row r="10" spans="1:38" ht="14.5" x14ac:dyDescent="0.35">
      <c r="A10" s="366" t="s">
        <v>91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23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23"/>
      <c r="AK10" s="323"/>
      <c r="AL10" s="303">
        <f t="shared" si="2"/>
        <v>0</v>
      </c>
    </row>
    <row r="11" spans="1:38" ht="14.5" x14ac:dyDescent="0.35">
      <c r="A11" s="367" t="s">
        <v>92</v>
      </c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25"/>
      <c r="W11" s="307"/>
      <c r="X11" s="318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25"/>
      <c r="AK11" s="325"/>
      <c r="AL11" s="303">
        <f t="shared" si="2"/>
        <v>0</v>
      </c>
    </row>
    <row r="12" spans="1:38" ht="14.5" x14ac:dyDescent="0.35">
      <c r="A12" s="366" t="s">
        <v>268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23"/>
      <c r="W12" s="314"/>
      <c r="X12" s="314"/>
      <c r="Y12" s="314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23"/>
      <c r="AK12" s="323"/>
      <c r="AL12" s="303">
        <f t="shared" si="2"/>
        <v>0</v>
      </c>
    </row>
    <row r="13" spans="1:38" ht="14.5" x14ac:dyDescent="0.35">
      <c r="A13" s="367" t="s">
        <v>55</v>
      </c>
      <c r="B13" s="307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25"/>
      <c r="W13" s="307"/>
      <c r="X13" s="305"/>
      <c r="Y13" s="307"/>
      <c r="Z13" s="307"/>
      <c r="AA13" s="307"/>
      <c r="AB13" s="307"/>
      <c r="AC13" s="307"/>
      <c r="AD13" s="351"/>
      <c r="AE13" s="307"/>
      <c r="AF13" s="307"/>
      <c r="AG13" s="307"/>
      <c r="AH13" s="307"/>
      <c r="AI13" s="307"/>
      <c r="AJ13" s="325"/>
      <c r="AK13" s="325"/>
      <c r="AL13" s="303">
        <f t="shared" si="2"/>
        <v>0</v>
      </c>
    </row>
    <row r="14" spans="1:38" ht="14.5" x14ac:dyDescent="0.35">
      <c r="A14" s="368" t="s">
        <v>269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25"/>
      <c r="W14" s="307"/>
      <c r="X14" s="325"/>
      <c r="Y14" s="307"/>
      <c r="Z14" s="325"/>
      <c r="AA14" s="325"/>
      <c r="AB14" s="307"/>
      <c r="AC14" s="307"/>
      <c r="AD14" s="307"/>
      <c r="AE14" s="307"/>
      <c r="AF14" s="307"/>
      <c r="AG14" s="307"/>
      <c r="AH14" s="307"/>
      <c r="AI14" s="307"/>
      <c r="AJ14" s="325"/>
      <c r="AK14" s="325"/>
      <c r="AL14" s="317">
        <f t="shared" si="2"/>
        <v>0</v>
      </c>
    </row>
    <row r="15" spans="1:38" ht="14.5" x14ac:dyDescent="0.35">
      <c r="A15" s="369" t="s">
        <v>57</v>
      </c>
      <c r="B15" s="314"/>
      <c r="C15" s="314"/>
      <c r="D15" s="314"/>
      <c r="E15" s="314"/>
      <c r="F15" s="314"/>
      <c r="G15" s="314"/>
      <c r="H15" s="314"/>
      <c r="I15" s="323"/>
      <c r="J15" s="314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23"/>
      <c r="W15" s="314"/>
      <c r="X15" s="314"/>
      <c r="Y15" s="314"/>
      <c r="Z15" s="323"/>
      <c r="AA15" s="323"/>
      <c r="AB15" s="314"/>
      <c r="AC15" s="314"/>
      <c r="AD15" s="314"/>
      <c r="AE15" s="314"/>
      <c r="AF15" s="314"/>
      <c r="AG15" s="314"/>
      <c r="AH15" s="314"/>
      <c r="AI15" s="314"/>
      <c r="AJ15" s="323"/>
      <c r="AK15" s="323"/>
      <c r="AL15" s="303">
        <f t="shared" si="2"/>
        <v>0</v>
      </c>
    </row>
    <row r="16" spans="1:38" ht="14.5" x14ac:dyDescent="0.35">
      <c r="A16" s="370" t="s">
        <v>270</v>
      </c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  <c r="O16" s="305"/>
      <c r="P16" s="305"/>
      <c r="Q16" s="305"/>
      <c r="R16" s="334"/>
      <c r="S16" s="305"/>
      <c r="T16" s="305"/>
      <c r="U16" s="305"/>
      <c r="V16" s="334"/>
      <c r="W16" s="305"/>
      <c r="X16" s="334"/>
      <c r="Y16" s="305"/>
      <c r="Z16" s="334"/>
      <c r="AA16" s="334"/>
      <c r="AB16" s="305"/>
      <c r="AC16" s="305"/>
      <c r="AD16" s="305"/>
      <c r="AE16" s="305"/>
      <c r="AF16" s="305"/>
      <c r="AG16" s="305"/>
      <c r="AH16" s="305"/>
      <c r="AI16" s="305"/>
      <c r="AJ16" s="334"/>
      <c r="AK16" s="334"/>
      <c r="AL16" s="303">
        <f t="shared" si="2"/>
        <v>0</v>
      </c>
    </row>
    <row r="17" spans="1:38" ht="14.5" x14ac:dyDescent="0.35">
      <c r="A17" s="366" t="s">
        <v>315</v>
      </c>
      <c r="B17" s="314"/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23"/>
      <c r="N17" s="314"/>
      <c r="O17" s="314"/>
      <c r="P17" s="314"/>
      <c r="Q17" s="314"/>
      <c r="R17" s="314"/>
      <c r="S17" s="314"/>
      <c r="T17" s="314"/>
      <c r="U17" s="314"/>
      <c r="V17" s="323"/>
      <c r="W17" s="314"/>
      <c r="X17" s="314"/>
      <c r="Y17" s="314"/>
      <c r="Z17" s="314"/>
      <c r="AA17" s="314"/>
      <c r="AB17" s="323"/>
      <c r="AC17" s="314"/>
      <c r="AD17" s="314"/>
      <c r="AE17" s="314"/>
      <c r="AF17" s="314"/>
      <c r="AG17" s="314"/>
      <c r="AH17" s="314"/>
      <c r="AI17" s="314"/>
      <c r="AJ17" s="323"/>
      <c r="AK17" s="323"/>
      <c r="AL17" s="303">
        <f t="shared" si="2"/>
        <v>0</v>
      </c>
    </row>
    <row r="18" spans="1:38" ht="14.5" x14ac:dyDescent="0.35">
      <c r="A18" s="370" t="s">
        <v>272</v>
      </c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34"/>
      <c r="W18" s="305"/>
      <c r="X18" s="334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  <c r="AJ18" s="334"/>
      <c r="AK18" s="334"/>
      <c r="AL18" s="303">
        <f t="shared" si="2"/>
        <v>0</v>
      </c>
    </row>
    <row r="19" spans="1:38" ht="14.5" x14ac:dyDescent="0.35">
      <c r="A19" s="369" t="s">
        <v>273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23"/>
      <c r="W19" s="314"/>
      <c r="X19" s="323"/>
      <c r="Y19" s="314"/>
      <c r="Z19" s="323"/>
      <c r="AA19" s="323"/>
      <c r="AB19" s="314"/>
      <c r="AC19" s="314"/>
      <c r="AD19" s="314"/>
      <c r="AE19" s="314"/>
      <c r="AF19" s="314"/>
      <c r="AG19" s="314"/>
      <c r="AH19" s="314"/>
      <c r="AI19" s="314"/>
      <c r="AJ19" s="323"/>
      <c r="AK19" s="323"/>
      <c r="AL19" s="303">
        <f t="shared" si="2"/>
        <v>0</v>
      </c>
    </row>
    <row r="20" spans="1:38" ht="14.5" x14ac:dyDescent="0.35">
      <c r="A20" s="368" t="s">
        <v>274</v>
      </c>
      <c r="B20" s="307"/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25"/>
      <c r="W20" s="307"/>
      <c r="X20" s="334"/>
      <c r="Y20" s="307"/>
      <c r="Z20" s="307"/>
      <c r="AA20" s="307"/>
      <c r="AB20" s="307"/>
      <c r="AC20" s="307"/>
      <c r="AD20" s="307"/>
      <c r="AE20" s="307"/>
      <c r="AF20" s="307"/>
      <c r="AG20" s="307"/>
      <c r="AH20" s="307"/>
      <c r="AI20" s="307"/>
      <c r="AJ20" s="325"/>
      <c r="AK20" s="325"/>
      <c r="AL20" s="303">
        <f t="shared" si="2"/>
        <v>0</v>
      </c>
    </row>
    <row r="21" spans="1:38" ht="14.5" x14ac:dyDescent="0.35">
      <c r="A21" s="366" t="s">
        <v>275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23"/>
      <c r="W21" s="314"/>
      <c r="X21" s="323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23"/>
      <c r="AK21" s="323"/>
      <c r="AL21" s="303">
        <f t="shared" si="2"/>
        <v>0</v>
      </c>
    </row>
    <row r="22" spans="1:38" ht="14.5" x14ac:dyDescent="0.35">
      <c r="A22" s="364" t="s">
        <v>316</v>
      </c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03">
        <f t="shared" si="2"/>
        <v>0</v>
      </c>
    </row>
    <row r="23" spans="1:38" ht="14.5" x14ac:dyDescent="0.35">
      <c r="A23" s="366" t="s">
        <v>277</v>
      </c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23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23"/>
      <c r="AK23" s="323"/>
      <c r="AL23" s="303">
        <f t="shared" si="2"/>
        <v>0</v>
      </c>
    </row>
    <row r="24" spans="1:38" ht="15.5" x14ac:dyDescent="0.35">
      <c r="A24" s="367" t="s">
        <v>278</v>
      </c>
      <c r="B24" s="325"/>
      <c r="C24" s="307"/>
      <c r="D24" s="325"/>
      <c r="E24" s="325"/>
      <c r="F24" s="325"/>
      <c r="G24" s="325"/>
      <c r="H24" s="325"/>
      <c r="I24" s="325"/>
      <c r="J24" s="325"/>
      <c r="K24" s="325"/>
      <c r="L24" s="325"/>
      <c r="M24" s="307"/>
      <c r="N24" s="307"/>
      <c r="O24" s="326"/>
      <c r="P24" s="325"/>
      <c r="Q24" s="307"/>
      <c r="R24" s="291"/>
      <c r="S24" s="307"/>
      <c r="T24" s="307"/>
      <c r="U24" s="307"/>
      <c r="V24" s="325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325"/>
      <c r="AK24" s="325"/>
      <c r="AL24" s="303">
        <f t="shared" si="2"/>
        <v>0</v>
      </c>
    </row>
    <row r="25" spans="1:38" ht="14.5" x14ac:dyDescent="0.35">
      <c r="A25" s="366" t="s">
        <v>279</v>
      </c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23"/>
      <c r="W25" s="314"/>
      <c r="X25" s="323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23"/>
      <c r="AK25" s="323"/>
      <c r="AL25" s="303">
        <f t="shared" si="2"/>
        <v>0</v>
      </c>
    </row>
    <row r="26" spans="1:38" ht="14.5" x14ac:dyDescent="0.35">
      <c r="A26" s="367" t="s">
        <v>280</v>
      </c>
      <c r="B26" s="307"/>
      <c r="C26" s="307"/>
      <c r="D26" s="307"/>
      <c r="E26" s="307"/>
      <c r="F26" s="307"/>
      <c r="G26" s="307"/>
      <c r="H26" s="307"/>
      <c r="I26" s="307"/>
      <c r="J26" s="307"/>
      <c r="K26" s="325"/>
      <c r="L26" s="307"/>
      <c r="M26" s="307"/>
      <c r="N26" s="307"/>
      <c r="O26" s="325"/>
      <c r="P26" s="307"/>
      <c r="Q26" s="307"/>
      <c r="R26" s="325"/>
      <c r="S26" s="325"/>
      <c r="T26" s="307"/>
      <c r="U26" s="325"/>
      <c r="V26" s="325"/>
      <c r="W26" s="327"/>
      <c r="X26" s="325"/>
      <c r="Y26" s="325"/>
      <c r="Z26" s="307"/>
      <c r="AA26" s="307"/>
      <c r="AB26" s="307"/>
      <c r="AC26" s="307"/>
      <c r="AD26" s="307"/>
      <c r="AE26" s="307"/>
      <c r="AF26" s="307"/>
      <c r="AG26" s="307"/>
      <c r="AH26" s="325"/>
      <c r="AI26" s="325"/>
      <c r="AJ26" s="325"/>
      <c r="AK26" s="325"/>
      <c r="AL26" s="303">
        <f t="shared" si="2"/>
        <v>0</v>
      </c>
    </row>
    <row r="27" spans="1:38" ht="14.5" x14ac:dyDescent="0.35">
      <c r="A27" s="366" t="s">
        <v>281</v>
      </c>
      <c r="B27" s="314"/>
      <c r="C27" s="323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/>
      <c r="Q27" s="314"/>
      <c r="R27" s="314"/>
      <c r="S27" s="314"/>
      <c r="T27" s="323"/>
      <c r="U27" s="314"/>
      <c r="V27" s="323"/>
      <c r="W27" s="314"/>
      <c r="X27" s="323"/>
      <c r="Y27" s="314"/>
      <c r="Z27" s="323"/>
      <c r="AA27" s="314"/>
      <c r="AB27" s="314"/>
      <c r="AC27" s="314"/>
      <c r="AD27" s="314"/>
      <c r="AE27" s="314"/>
      <c r="AF27" s="314"/>
      <c r="AG27" s="314"/>
      <c r="AH27" s="314"/>
      <c r="AI27" s="314"/>
      <c r="AJ27" s="323"/>
      <c r="AK27" s="323"/>
      <c r="AL27" s="303">
        <f t="shared" si="2"/>
        <v>0</v>
      </c>
    </row>
    <row r="28" spans="1:38" ht="14.5" x14ac:dyDescent="0.35">
      <c r="A28" s="367" t="s">
        <v>282</v>
      </c>
      <c r="B28" s="307"/>
      <c r="C28" s="307"/>
      <c r="D28" s="307"/>
      <c r="E28" s="307"/>
      <c r="F28" s="325"/>
      <c r="G28" s="325"/>
      <c r="H28" s="325"/>
      <c r="I28" s="307"/>
      <c r="J28" s="307"/>
      <c r="K28" s="325"/>
      <c r="L28" s="325"/>
      <c r="M28" s="325"/>
      <c r="N28" s="325"/>
      <c r="O28" s="325"/>
      <c r="P28" s="307"/>
      <c r="Q28" s="307"/>
      <c r="R28" s="325"/>
      <c r="S28" s="307"/>
      <c r="T28" s="307"/>
      <c r="U28" s="307"/>
      <c r="V28" s="325"/>
      <c r="W28" s="307"/>
      <c r="X28" s="325"/>
      <c r="Y28" s="307"/>
      <c r="Z28" s="307"/>
      <c r="AA28" s="307"/>
      <c r="AB28" s="325"/>
      <c r="AC28" s="307"/>
      <c r="AD28" s="307"/>
      <c r="AE28" s="307"/>
      <c r="AF28" s="307"/>
      <c r="AG28" s="307"/>
      <c r="AH28" s="327"/>
      <c r="AI28" s="327"/>
      <c r="AJ28" s="325"/>
      <c r="AK28" s="325"/>
      <c r="AL28" s="303">
        <f t="shared" si="2"/>
        <v>0</v>
      </c>
    </row>
    <row r="29" spans="1:38" ht="14.5" x14ac:dyDescent="0.35">
      <c r="A29" s="366" t="s">
        <v>317</v>
      </c>
      <c r="B29" s="314"/>
      <c r="C29" s="314"/>
      <c r="D29" s="314"/>
      <c r="E29" s="314"/>
      <c r="F29" s="314"/>
      <c r="G29" s="314"/>
      <c r="H29" s="314"/>
      <c r="I29" s="323"/>
      <c r="J29" s="314"/>
      <c r="K29" s="314"/>
      <c r="L29" s="323"/>
      <c r="M29" s="314"/>
      <c r="N29" s="314"/>
      <c r="O29" s="314"/>
      <c r="P29" s="314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14"/>
      <c r="AI29" s="314"/>
      <c r="AJ29" s="323"/>
      <c r="AK29" s="323"/>
      <c r="AL29" s="303">
        <f t="shared" si="2"/>
        <v>0</v>
      </c>
    </row>
    <row r="30" spans="1:38" ht="14.5" x14ac:dyDescent="0.35">
      <c r="A30" s="367" t="s">
        <v>284</v>
      </c>
      <c r="B30" s="325"/>
      <c r="C30" s="325"/>
      <c r="D30" s="307"/>
      <c r="E30" s="325"/>
      <c r="F30" s="325"/>
      <c r="G30" s="325"/>
      <c r="H30" s="307"/>
      <c r="I30" s="307"/>
      <c r="J30" s="307"/>
      <c r="K30" s="307"/>
      <c r="L30" s="307"/>
      <c r="M30" s="307"/>
      <c r="N30" s="325"/>
      <c r="O30" s="325"/>
      <c r="P30" s="307"/>
      <c r="Q30" s="325"/>
      <c r="R30" s="325"/>
      <c r="S30" s="325"/>
      <c r="T30" s="307"/>
      <c r="U30" s="325"/>
      <c r="V30" s="325"/>
      <c r="W30" s="325"/>
      <c r="X30" s="325"/>
      <c r="Y30" s="325"/>
      <c r="Z30" s="307"/>
      <c r="AA30" s="325"/>
      <c r="AB30" s="307"/>
      <c r="AC30" s="307"/>
      <c r="AD30" s="325"/>
      <c r="AE30" s="325"/>
      <c r="AF30" s="307"/>
      <c r="AG30" s="307"/>
      <c r="AH30" s="307"/>
      <c r="AI30" s="307"/>
      <c r="AJ30" s="325"/>
      <c r="AK30" s="325"/>
      <c r="AL30" s="303">
        <f t="shared" si="2"/>
        <v>0</v>
      </c>
    </row>
    <row r="31" spans="1:38" ht="14.5" x14ac:dyDescent="0.35">
      <c r="A31" s="366" t="s">
        <v>318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14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14"/>
      <c r="AC31" s="323"/>
      <c r="AD31" s="323"/>
      <c r="AE31" s="323"/>
      <c r="AF31" s="323"/>
      <c r="AG31" s="323"/>
      <c r="AH31" s="323"/>
      <c r="AI31" s="323"/>
      <c r="AJ31" s="323"/>
      <c r="AK31" s="323"/>
      <c r="AL31" s="303">
        <f t="shared" si="2"/>
        <v>0</v>
      </c>
    </row>
    <row r="32" spans="1:38" ht="14.5" x14ac:dyDescent="0.35">
      <c r="A32" s="367" t="s">
        <v>286</v>
      </c>
      <c r="B32" s="307"/>
      <c r="C32" s="307"/>
      <c r="D32" s="307"/>
      <c r="E32" s="307"/>
      <c r="F32" s="307"/>
      <c r="G32" s="307"/>
      <c r="H32" s="307"/>
      <c r="I32" s="307"/>
      <c r="J32" s="307"/>
      <c r="K32" s="325"/>
      <c r="L32" s="307"/>
      <c r="M32" s="307"/>
      <c r="N32" s="307"/>
      <c r="O32" s="307"/>
      <c r="P32" s="307"/>
      <c r="Q32" s="307"/>
      <c r="R32" s="325"/>
      <c r="S32" s="307"/>
      <c r="T32" s="307"/>
      <c r="U32" s="307"/>
      <c r="V32" s="325"/>
      <c r="W32" s="307"/>
      <c r="X32" s="325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25"/>
      <c r="AK32" s="325"/>
      <c r="AL32" s="303">
        <f t="shared" si="2"/>
        <v>0</v>
      </c>
    </row>
    <row r="33" spans="1:38" ht="14.5" x14ac:dyDescent="0.35">
      <c r="A33" s="366" t="s">
        <v>287</v>
      </c>
      <c r="B33" s="314"/>
      <c r="C33" s="323"/>
      <c r="D33" s="323"/>
      <c r="E33" s="323"/>
      <c r="F33" s="323"/>
      <c r="G33" s="323"/>
      <c r="H33" s="314"/>
      <c r="I33" s="314"/>
      <c r="J33" s="314"/>
      <c r="K33" s="314"/>
      <c r="L33" s="323"/>
      <c r="M33" s="323"/>
      <c r="N33" s="323"/>
      <c r="O33" s="323"/>
      <c r="P33" s="314"/>
      <c r="Q33" s="323"/>
      <c r="R33" s="323"/>
      <c r="S33" s="314"/>
      <c r="T33" s="323"/>
      <c r="U33" s="323"/>
      <c r="V33" s="323"/>
      <c r="W33" s="323"/>
      <c r="X33" s="323"/>
      <c r="Y33" s="314"/>
      <c r="Z33" s="314"/>
      <c r="AA33" s="314"/>
      <c r="AB33" s="314"/>
      <c r="AC33" s="314"/>
      <c r="AD33" s="323"/>
      <c r="AE33" s="323"/>
      <c r="AF33" s="323"/>
      <c r="AG33" s="323"/>
      <c r="AH33" s="323"/>
      <c r="AI33" s="323"/>
      <c r="AJ33" s="323"/>
      <c r="AK33" s="323"/>
      <c r="AL33" s="303">
        <f t="shared" si="2"/>
        <v>0</v>
      </c>
    </row>
    <row r="34" spans="1:38" ht="14.5" x14ac:dyDescent="0.35">
      <c r="A34" s="367" t="s">
        <v>319</v>
      </c>
      <c r="B34" s="307"/>
      <c r="C34" s="307"/>
      <c r="D34" s="307"/>
      <c r="E34" s="307"/>
      <c r="F34" s="307"/>
      <c r="G34" s="307"/>
      <c r="H34" s="325"/>
      <c r="I34" s="325"/>
      <c r="J34" s="307"/>
      <c r="K34" s="325"/>
      <c r="L34" s="325"/>
      <c r="M34" s="307"/>
      <c r="N34" s="307"/>
      <c r="O34" s="325"/>
      <c r="P34" s="325"/>
      <c r="Q34" s="307"/>
      <c r="R34" s="307"/>
      <c r="S34" s="325"/>
      <c r="T34" s="307"/>
      <c r="U34" s="307"/>
      <c r="V34" s="325"/>
      <c r="W34" s="307"/>
      <c r="X34" s="307"/>
      <c r="Y34" s="325"/>
      <c r="Z34" s="325"/>
      <c r="AA34" s="307"/>
      <c r="AB34" s="327"/>
      <c r="AC34" s="307"/>
      <c r="AD34" s="307"/>
      <c r="AE34" s="307"/>
      <c r="AF34" s="307"/>
      <c r="AG34" s="307"/>
      <c r="AH34" s="325"/>
      <c r="AI34" s="325"/>
      <c r="AJ34" s="325"/>
      <c r="AK34" s="325"/>
      <c r="AL34" s="303">
        <f t="shared" si="2"/>
        <v>0</v>
      </c>
    </row>
    <row r="35" spans="1:38" ht="14.5" x14ac:dyDescent="0.35">
      <c r="A35" s="366" t="s">
        <v>289</v>
      </c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23"/>
      <c r="W35" s="314"/>
      <c r="X35" s="330"/>
      <c r="Y35" s="323"/>
      <c r="Z35" s="323"/>
      <c r="AA35" s="323"/>
      <c r="AB35" s="323"/>
      <c r="AC35" s="323"/>
      <c r="AD35" s="323"/>
      <c r="AE35" s="323"/>
      <c r="AF35" s="323"/>
      <c r="AG35" s="323"/>
      <c r="AH35" s="314"/>
      <c r="AI35" s="314"/>
      <c r="AJ35" s="323"/>
      <c r="AK35" s="323"/>
      <c r="AL35" s="303">
        <f t="shared" si="2"/>
        <v>0</v>
      </c>
    </row>
    <row r="36" spans="1:38" ht="14.5" x14ac:dyDescent="0.35">
      <c r="A36" s="364" t="s">
        <v>320</v>
      </c>
      <c r="B36" s="305"/>
      <c r="C36" s="305"/>
      <c r="D36" s="305"/>
      <c r="E36" s="305"/>
      <c r="F36" s="305"/>
      <c r="G36" s="305"/>
      <c r="H36" s="305"/>
      <c r="I36" s="305"/>
      <c r="J36" s="334"/>
      <c r="K36" s="305"/>
      <c r="L36" s="305"/>
      <c r="M36" s="305"/>
      <c r="N36" s="307"/>
      <c r="O36" s="307"/>
      <c r="P36" s="325"/>
      <c r="Q36" s="307"/>
      <c r="R36" s="307"/>
      <c r="S36" s="307"/>
      <c r="T36" s="307"/>
      <c r="U36" s="307"/>
      <c r="V36" s="325"/>
      <c r="W36" s="307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07"/>
      <c r="AI36" s="307"/>
      <c r="AJ36" s="325"/>
      <c r="AK36" s="325"/>
      <c r="AL36" s="303">
        <f t="shared" si="2"/>
        <v>0</v>
      </c>
    </row>
    <row r="37" spans="1:38" ht="14.5" x14ac:dyDescent="0.35">
      <c r="A37" s="366" t="s">
        <v>291</v>
      </c>
      <c r="B37" s="314"/>
      <c r="C37" s="323"/>
      <c r="D37" s="314"/>
      <c r="E37" s="314"/>
      <c r="F37" s="323"/>
      <c r="G37" s="314"/>
      <c r="H37" s="314"/>
      <c r="I37" s="314"/>
      <c r="J37" s="323"/>
      <c r="K37" s="314"/>
      <c r="L37" s="314"/>
      <c r="M37" s="314"/>
      <c r="N37" s="314"/>
      <c r="O37" s="314"/>
      <c r="P37" s="314"/>
      <c r="Q37" s="314"/>
      <c r="R37" s="323"/>
      <c r="S37" s="323"/>
      <c r="T37" s="314"/>
      <c r="U37" s="314"/>
      <c r="V37" s="323"/>
      <c r="W37" s="314"/>
      <c r="X37" s="330"/>
      <c r="Y37" s="323"/>
      <c r="Z37" s="323"/>
      <c r="AA37" s="323"/>
      <c r="AB37" s="323"/>
      <c r="AC37" s="331"/>
      <c r="AD37" s="331"/>
      <c r="AE37" s="331"/>
      <c r="AF37" s="331"/>
      <c r="AG37" s="331"/>
      <c r="AH37" s="333"/>
      <c r="AI37" s="333"/>
      <c r="AJ37" s="331"/>
      <c r="AK37" s="331"/>
      <c r="AL37" s="303">
        <f t="shared" si="2"/>
        <v>0</v>
      </c>
    </row>
    <row r="38" spans="1:38" ht="14.5" x14ac:dyDescent="0.35">
      <c r="A38" s="364" t="s">
        <v>292</v>
      </c>
      <c r="B38" s="305"/>
      <c r="C38" s="305"/>
      <c r="D38" s="307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7"/>
      <c r="P38" s="305"/>
      <c r="Q38" s="305"/>
      <c r="R38" s="305"/>
      <c r="S38" s="305"/>
      <c r="T38" s="305"/>
      <c r="U38" s="305"/>
      <c r="V38" s="334"/>
      <c r="W38" s="305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05"/>
      <c r="AI38" s="305"/>
      <c r="AJ38" s="334"/>
      <c r="AK38" s="334"/>
      <c r="AL38" s="303">
        <f t="shared" si="2"/>
        <v>0</v>
      </c>
    </row>
    <row r="39" spans="1:38" ht="14.5" x14ac:dyDescent="0.35">
      <c r="A39" s="366" t="s">
        <v>321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23"/>
      <c r="W39" s="314"/>
      <c r="X39" s="323"/>
      <c r="Y39" s="323"/>
      <c r="Z39" s="323"/>
      <c r="AA39" s="323"/>
      <c r="AB39" s="323"/>
      <c r="AC39" s="331"/>
      <c r="AD39" s="331"/>
      <c r="AE39" s="331"/>
      <c r="AF39" s="331"/>
      <c r="AG39" s="331"/>
      <c r="AH39" s="333"/>
      <c r="AI39" s="333"/>
      <c r="AJ39" s="331"/>
      <c r="AK39" s="331"/>
      <c r="AL39" s="303">
        <f t="shared" si="2"/>
        <v>0</v>
      </c>
    </row>
    <row r="40" spans="1:38" ht="14.5" x14ac:dyDescent="0.35">
      <c r="A40" s="364" t="s">
        <v>322</v>
      </c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  <c r="Z40" s="334"/>
      <c r="AA40" s="334"/>
      <c r="AB40" s="334"/>
      <c r="AC40" s="334"/>
      <c r="AD40" s="334"/>
      <c r="AE40" s="334"/>
      <c r="AF40" s="334"/>
      <c r="AG40" s="334"/>
      <c r="AH40" s="334"/>
      <c r="AI40" s="334"/>
      <c r="AJ40" s="334"/>
      <c r="AK40" s="334"/>
      <c r="AL40" s="303">
        <f t="shared" si="2"/>
        <v>0</v>
      </c>
    </row>
    <row r="41" spans="1:38" ht="14.5" x14ac:dyDescent="0.35">
      <c r="A41" s="371" t="s">
        <v>323</v>
      </c>
      <c r="B41" s="336">
        <f t="shared" ref="B41:AK41" si="3">SUM(B9:B40)</f>
        <v>0</v>
      </c>
      <c r="C41" s="336">
        <f t="shared" si="3"/>
        <v>0</v>
      </c>
      <c r="D41" s="336">
        <f t="shared" si="3"/>
        <v>0</v>
      </c>
      <c r="E41" s="336">
        <f t="shared" si="3"/>
        <v>0</v>
      </c>
      <c r="F41" s="336">
        <f t="shared" si="3"/>
        <v>0</v>
      </c>
      <c r="G41" s="336">
        <f t="shared" si="3"/>
        <v>0</v>
      </c>
      <c r="H41" s="336">
        <f t="shared" si="3"/>
        <v>0</v>
      </c>
      <c r="I41" s="336">
        <f t="shared" si="3"/>
        <v>0</v>
      </c>
      <c r="J41" s="336">
        <f t="shared" si="3"/>
        <v>0</v>
      </c>
      <c r="K41" s="336">
        <f t="shared" si="3"/>
        <v>0</v>
      </c>
      <c r="L41" s="336">
        <f t="shared" si="3"/>
        <v>0</v>
      </c>
      <c r="M41" s="336">
        <f t="shared" si="3"/>
        <v>0</v>
      </c>
      <c r="N41" s="336">
        <f t="shared" si="3"/>
        <v>0</v>
      </c>
      <c r="O41" s="336">
        <f t="shared" si="3"/>
        <v>0</v>
      </c>
      <c r="P41" s="336">
        <f t="shared" si="3"/>
        <v>0</v>
      </c>
      <c r="Q41" s="336">
        <f t="shared" si="3"/>
        <v>0</v>
      </c>
      <c r="R41" s="336">
        <f t="shared" si="3"/>
        <v>0</v>
      </c>
      <c r="S41" s="336">
        <f t="shared" si="3"/>
        <v>0</v>
      </c>
      <c r="T41" s="336">
        <f t="shared" si="3"/>
        <v>0</v>
      </c>
      <c r="U41" s="336">
        <f t="shared" si="3"/>
        <v>0</v>
      </c>
      <c r="V41" s="336">
        <f t="shared" si="3"/>
        <v>0</v>
      </c>
      <c r="W41" s="336">
        <f t="shared" si="3"/>
        <v>0</v>
      </c>
      <c r="X41" s="336">
        <f t="shared" si="3"/>
        <v>0</v>
      </c>
      <c r="Y41" s="336">
        <f t="shared" si="3"/>
        <v>0</v>
      </c>
      <c r="Z41" s="336">
        <f t="shared" si="3"/>
        <v>0</v>
      </c>
      <c r="AA41" s="336">
        <f t="shared" si="3"/>
        <v>0</v>
      </c>
      <c r="AB41" s="336">
        <f t="shared" si="3"/>
        <v>0</v>
      </c>
      <c r="AC41" s="336">
        <f t="shared" si="3"/>
        <v>0</v>
      </c>
      <c r="AD41" s="336">
        <f t="shared" si="3"/>
        <v>0</v>
      </c>
      <c r="AE41" s="336">
        <f t="shared" si="3"/>
        <v>0</v>
      </c>
      <c r="AF41" s="336">
        <f t="shared" si="3"/>
        <v>0</v>
      </c>
      <c r="AG41" s="336">
        <f t="shared" si="3"/>
        <v>0</v>
      </c>
      <c r="AH41" s="336">
        <f t="shared" si="3"/>
        <v>0</v>
      </c>
      <c r="AI41" s="336">
        <f t="shared" si="3"/>
        <v>0</v>
      </c>
      <c r="AJ41" s="336">
        <f t="shared" si="3"/>
        <v>0</v>
      </c>
      <c r="AK41" s="336">
        <f t="shared" si="3"/>
        <v>0</v>
      </c>
      <c r="AL41" s="303">
        <f t="shared" si="2"/>
        <v>0</v>
      </c>
    </row>
    <row r="42" spans="1:38" ht="14.5" x14ac:dyDescent="0.35">
      <c r="A42" s="364" t="s">
        <v>8</v>
      </c>
      <c r="B42" s="305">
        <f t="shared" ref="B42:AK42" si="4">B5-B6-B41</f>
        <v>0</v>
      </c>
      <c r="C42" s="305">
        <f t="shared" si="4"/>
        <v>0</v>
      </c>
      <c r="D42" s="305">
        <f t="shared" si="4"/>
        <v>0</v>
      </c>
      <c r="E42" s="305">
        <f t="shared" si="4"/>
        <v>0</v>
      </c>
      <c r="F42" s="305">
        <f t="shared" si="4"/>
        <v>0</v>
      </c>
      <c r="G42" s="305">
        <f t="shared" si="4"/>
        <v>0</v>
      </c>
      <c r="H42" s="305">
        <f t="shared" si="4"/>
        <v>0</v>
      </c>
      <c r="I42" s="305">
        <f t="shared" si="4"/>
        <v>0</v>
      </c>
      <c r="J42" s="305">
        <f t="shared" si="4"/>
        <v>0</v>
      </c>
      <c r="K42" s="305">
        <f t="shared" si="4"/>
        <v>0</v>
      </c>
      <c r="L42" s="305">
        <f t="shared" si="4"/>
        <v>0</v>
      </c>
      <c r="M42" s="305">
        <f t="shared" si="4"/>
        <v>0</v>
      </c>
      <c r="N42" s="305">
        <f t="shared" si="4"/>
        <v>0</v>
      </c>
      <c r="O42" s="305">
        <f t="shared" si="4"/>
        <v>0</v>
      </c>
      <c r="P42" s="305">
        <f t="shared" si="4"/>
        <v>0</v>
      </c>
      <c r="Q42" s="305">
        <f t="shared" si="4"/>
        <v>0</v>
      </c>
      <c r="R42" s="305">
        <f t="shared" si="4"/>
        <v>0</v>
      </c>
      <c r="S42" s="305">
        <f t="shared" si="4"/>
        <v>0</v>
      </c>
      <c r="T42" s="305">
        <f t="shared" si="4"/>
        <v>0</v>
      </c>
      <c r="U42" s="305">
        <f t="shared" si="4"/>
        <v>0</v>
      </c>
      <c r="V42" s="305">
        <f t="shared" si="4"/>
        <v>0</v>
      </c>
      <c r="W42" s="305">
        <f t="shared" si="4"/>
        <v>0</v>
      </c>
      <c r="X42" s="305">
        <f t="shared" si="4"/>
        <v>0</v>
      </c>
      <c r="Y42" s="305">
        <f t="shared" si="4"/>
        <v>0</v>
      </c>
      <c r="Z42" s="305">
        <f t="shared" si="4"/>
        <v>0</v>
      </c>
      <c r="AA42" s="305">
        <f t="shared" si="4"/>
        <v>0</v>
      </c>
      <c r="AB42" s="305">
        <f t="shared" si="4"/>
        <v>0</v>
      </c>
      <c r="AC42" s="305">
        <f t="shared" si="4"/>
        <v>0</v>
      </c>
      <c r="AD42" s="305">
        <f t="shared" si="4"/>
        <v>0</v>
      </c>
      <c r="AE42" s="305">
        <f t="shared" si="4"/>
        <v>0</v>
      </c>
      <c r="AF42" s="305">
        <f t="shared" si="4"/>
        <v>0</v>
      </c>
      <c r="AG42" s="305">
        <f t="shared" si="4"/>
        <v>0</v>
      </c>
      <c r="AH42" s="305">
        <f t="shared" si="4"/>
        <v>0</v>
      </c>
      <c r="AI42" s="305">
        <f t="shared" si="4"/>
        <v>0</v>
      </c>
      <c r="AJ42" s="305">
        <f t="shared" si="4"/>
        <v>0</v>
      </c>
      <c r="AK42" s="305">
        <f t="shared" si="4"/>
        <v>0</v>
      </c>
      <c r="AL42" s="303">
        <f t="shared" si="2"/>
        <v>0</v>
      </c>
    </row>
    <row r="43" spans="1:38" ht="14.5" x14ac:dyDescent="0.35">
      <c r="A43" s="364" t="s">
        <v>325</v>
      </c>
      <c r="B43" s="305">
        <f t="shared" ref="B43:AC43" si="5">B42*20%</f>
        <v>0</v>
      </c>
      <c r="C43" s="305">
        <f t="shared" si="5"/>
        <v>0</v>
      </c>
      <c r="D43" s="305">
        <f t="shared" si="5"/>
        <v>0</v>
      </c>
      <c r="E43" s="305">
        <f t="shared" si="5"/>
        <v>0</v>
      </c>
      <c r="F43" s="305">
        <f t="shared" si="5"/>
        <v>0</v>
      </c>
      <c r="G43" s="305">
        <f t="shared" si="5"/>
        <v>0</v>
      </c>
      <c r="H43" s="305">
        <f t="shared" si="5"/>
        <v>0</v>
      </c>
      <c r="I43" s="305">
        <f t="shared" si="5"/>
        <v>0</v>
      </c>
      <c r="J43" s="305">
        <f t="shared" si="5"/>
        <v>0</v>
      </c>
      <c r="K43" s="305">
        <f t="shared" si="5"/>
        <v>0</v>
      </c>
      <c r="L43" s="305">
        <f t="shared" si="5"/>
        <v>0</v>
      </c>
      <c r="M43" s="305">
        <f t="shared" si="5"/>
        <v>0</v>
      </c>
      <c r="N43" s="305">
        <f t="shared" si="5"/>
        <v>0</v>
      </c>
      <c r="O43" s="305">
        <f t="shared" si="5"/>
        <v>0</v>
      </c>
      <c r="P43" s="305">
        <f t="shared" si="5"/>
        <v>0</v>
      </c>
      <c r="Q43" s="305">
        <f t="shared" si="5"/>
        <v>0</v>
      </c>
      <c r="R43" s="305">
        <f t="shared" si="5"/>
        <v>0</v>
      </c>
      <c r="S43" s="305">
        <f t="shared" si="5"/>
        <v>0</v>
      </c>
      <c r="T43" s="305">
        <f t="shared" si="5"/>
        <v>0</v>
      </c>
      <c r="U43" s="305">
        <f t="shared" si="5"/>
        <v>0</v>
      </c>
      <c r="V43" s="305">
        <f t="shared" si="5"/>
        <v>0</v>
      </c>
      <c r="W43" s="305">
        <f t="shared" si="5"/>
        <v>0</v>
      </c>
      <c r="X43" s="305">
        <f t="shared" si="5"/>
        <v>0</v>
      </c>
      <c r="Y43" s="305">
        <f t="shared" si="5"/>
        <v>0</v>
      </c>
      <c r="Z43" s="305">
        <f t="shared" si="5"/>
        <v>0</v>
      </c>
      <c r="AA43" s="305">
        <f t="shared" si="5"/>
        <v>0</v>
      </c>
      <c r="AB43" s="305">
        <f t="shared" si="5"/>
        <v>0</v>
      </c>
      <c r="AC43" s="305">
        <f t="shared" si="5"/>
        <v>0</v>
      </c>
      <c r="AD43" s="305">
        <f t="shared" ref="AD43:AE43" si="6">AD6-AD7-AD42</f>
        <v>0</v>
      </c>
      <c r="AE43" s="305">
        <f t="shared" si="6"/>
        <v>0</v>
      </c>
      <c r="AF43" s="305">
        <f t="shared" ref="AF43:AK43" si="7">AF42*20%</f>
        <v>0</v>
      </c>
      <c r="AG43" s="305">
        <f t="shared" si="7"/>
        <v>0</v>
      </c>
      <c r="AH43" s="305">
        <f t="shared" si="7"/>
        <v>0</v>
      </c>
      <c r="AI43" s="305">
        <f t="shared" si="7"/>
        <v>0</v>
      </c>
      <c r="AJ43" s="305">
        <f t="shared" si="7"/>
        <v>0</v>
      </c>
      <c r="AK43" s="305">
        <f t="shared" si="7"/>
        <v>0</v>
      </c>
      <c r="AL43" s="303">
        <f t="shared" si="2"/>
        <v>0</v>
      </c>
    </row>
    <row r="44" spans="1:38" ht="14.5" x14ac:dyDescent="0.35">
      <c r="A44" s="364" t="s">
        <v>81</v>
      </c>
      <c r="B44" s="305">
        <f t="shared" ref="B44:AC44" si="8">B42*80%</f>
        <v>0</v>
      </c>
      <c r="C44" s="305">
        <f t="shared" si="8"/>
        <v>0</v>
      </c>
      <c r="D44" s="305">
        <f t="shared" si="8"/>
        <v>0</v>
      </c>
      <c r="E44" s="305">
        <f t="shared" si="8"/>
        <v>0</v>
      </c>
      <c r="F44" s="305">
        <f t="shared" si="8"/>
        <v>0</v>
      </c>
      <c r="G44" s="305">
        <f t="shared" si="8"/>
        <v>0</v>
      </c>
      <c r="H44" s="305">
        <f t="shared" si="8"/>
        <v>0</v>
      </c>
      <c r="I44" s="305">
        <f t="shared" si="8"/>
        <v>0</v>
      </c>
      <c r="J44" s="305">
        <f t="shared" si="8"/>
        <v>0</v>
      </c>
      <c r="K44" s="305">
        <f t="shared" si="8"/>
        <v>0</v>
      </c>
      <c r="L44" s="305">
        <f t="shared" si="8"/>
        <v>0</v>
      </c>
      <c r="M44" s="305">
        <f t="shared" si="8"/>
        <v>0</v>
      </c>
      <c r="N44" s="305">
        <f t="shared" si="8"/>
        <v>0</v>
      </c>
      <c r="O44" s="305">
        <f t="shared" si="8"/>
        <v>0</v>
      </c>
      <c r="P44" s="305">
        <f t="shared" si="8"/>
        <v>0</v>
      </c>
      <c r="Q44" s="305">
        <f t="shared" si="8"/>
        <v>0</v>
      </c>
      <c r="R44" s="305">
        <f t="shared" si="8"/>
        <v>0</v>
      </c>
      <c r="S44" s="305">
        <f t="shared" si="8"/>
        <v>0</v>
      </c>
      <c r="T44" s="305">
        <f t="shared" si="8"/>
        <v>0</v>
      </c>
      <c r="U44" s="305">
        <f t="shared" si="8"/>
        <v>0</v>
      </c>
      <c r="V44" s="305">
        <f t="shared" si="8"/>
        <v>0</v>
      </c>
      <c r="W44" s="305">
        <f t="shared" si="8"/>
        <v>0</v>
      </c>
      <c r="X44" s="305">
        <f t="shared" si="8"/>
        <v>0</v>
      </c>
      <c r="Y44" s="305">
        <f t="shared" si="8"/>
        <v>0</v>
      </c>
      <c r="Z44" s="305">
        <f t="shared" si="8"/>
        <v>0</v>
      </c>
      <c r="AA44" s="305">
        <f t="shared" si="8"/>
        <v>0</v>
      </c>
      <c r="AB44" s="305">
        <f t="shared" si="8"/>
        <v>0</v>
      </c>
      <c r="AC44" s="305">
        <f t="shared" si="8"/>
        <v>0</v>
      </c>
      <c r="AD44" s="305">
        <f t="shared" ref="AD44:AE44" si="9">AD7-AD8-AD43</f>
        <v>0</v>
      </c>
      <c r="AE44" s="305">
        <f t="shared" si="9"/>
        <v>0</v>
      </c>
      <c r="AF44" s="305">
        <f t="shared" ref="AF44:AK44" si="10">AF42*80%</f>
        <v>0</v>
      </c>
      <c r="AG44" s="305">
        <f t="shared" si="10"/>
        <v>0</v>
      </c>
      <c r="AH44" s="305">
        <f t="shared" si="10"/>
        <v>0</v>
      </c>
      <c r="AI44" s="305">
        <f t="shared" si="10"/>
        <v>0</v>
      </c>
      <c r="AJ44" s="305">
        <f t="shared" si="10"/>
        <v>0</v>
      </c>
      <c r="AK44" s="305">
        <f t="shared" si="10"/>
        <v>0</v>
      </c>
      <c r="AL44" s="303">
        <f t="shared" si="2"/>
        <v>0</v>
      </c>
    </row>
    <row r="45" spans="1:38" ht="14.5" x14ac:dyDescent="0.35">
      <c r="A45" s="362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  <c r="Z45" s="334"/>
      <c r="AA45" s="334"/>
      <c r="AB45" s="334"/>
      <c r="AC45" s="334"/>
      <c r="AD45" s="334"/>
      <c r="AE45" s="334"/>
      <c r="AF45" s="334"/>
      <c r="AG45" s="334"/>
      <c r="AH45" s="334"/>
      <c r="AI45" s="334"/>
      <c r="AJ45" s="334"/>
      <c r="AK45" s="334"/>
      <c r="AL45" s="350"/>
    </row>
    <row r="46" spans="1:38" ht="11.25" customHeight="1" x14ac:dyDescent="0.35">
      <c r="A46" s="358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</row>
    <row r="47" spans="1:38" ht="14.5" x14ac:dyDescent="0.35">
      <c r="A47" s="358"/>
      <c r="B47" s="291"/>
      <c r="C47" s="289"/>
      <c r="D47" s="289"/>
      <c r="E47" s="291" t="s">
        <v>327</v>
      </c>
      <c r="F47" s="289"/>
      <c r="G47" s="289"/>
      <c r="H47" s="291" t="s">
        <v>328</v>
      </c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</row>
    <row r="48" spans="1:38" ht="14.5" x14ac:dyDescent="0.35">
      <c r="A48" s="358"/>
      <c r="B48" s="338" t="s">
        <v>329</v>
      </c>
      <c r="C48" s="289"/>
      <c r="D48" s="289"/>
      <c r="E48" s="338" t="s">
        <v>330</v>
      </c>
      <c r="F48" s="289"/>
      <c r="G48" s="289"/>
      <c r="H48" s="338" t="s">
        <v>331</v>
      </c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</row>
    <row r="49" spans="1:38" ht="14.5" x14ac:dyDescent="0.35">
      <c r="A49" s="358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33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</row>
    <row r="50" spans="1:38" ht="14.5" x14ac:dyDescent="0.35">
      <c r="A50" s="358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</row>
    <row r="51" spans="1:38" ht="14.5" x14ac:dyDescent="0.35">
      <c r="A51" s="358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</row>
    <row r="52" spans="1:38" ht="14.5" x14ac:dyDescent="0.35">
      <c r="A52" s="372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</row>
    <row r="53" spans="1:38" ht="14.5" x14ac:dyDescent="0.35">
      <c r="A53" s="373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</row>
    <row r="54" spans="1:38" ht="14.5" x14ac:dyDescent="0.35">
      <c r="A54" s="373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</row>
    <row r="55" spans="1:38" ht="14.5" x14ac:dyDescent="0.35">
      <c r="A55" s="373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</row>
    <row r="56" spans="1:38" ht="14.5" x14ac:dyDescent="0.35">
      <c r="A56" s="373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</row>
    <row r="57" spans="1:38" ht="14.5" x14ac:dyDescent="0.35">
      <c r="A57" s="373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</row>
    <row r="58" spans="1:38" ht="14.5" x14ac:dyDescent="0.35">
      <c r="A58" s="373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</row>
    <row r="59" spans="1:38" ht="14.5" x14ac:dyDescent="0.35">
      <c r="A59" s="373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</row>
    <row r="60" spans="1:38" ht="14.5" x14ac:dyDescent="0.35">
      <c r="A60" s="373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</row>
    <row r="61" spans="1:38" ht="14.5" x14ac:dyDescent="0.35">
      <c r="A61" s="373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</row>
    <row r="62" spans="1:38" ht="14.5" x14ac:dyDescent="0.35">
      <c r="A62" s="373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</row>
    <row r="63" spans="1:38" ht="14.5" x14ac:dyDescent="0.35">
      <c r="A63" s="373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</row>
    <row r="64" spans="1:38" ht="14.5" x14ac:dyDescent="0.35">
      <c r="A64" s="373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</row>
    <row r="65" spans="1:38" ht="14.5" x14ac:dyDescent="0.35">
      <c r="A65" s="373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</row>
    <row r="66" spans="1:38" ht="14.5" x14ac:dyDescent="0.35">
      <c r="A66" s="373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</row>
    <row r="67" spans="1:38" ht="14.5" x14ac:dyDescent="0.35">
      <c r="A67" s="373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</row>
    <row r="68" spans="1:38" ht="14.5" x14ac:dyDescent="0.35">
      <c r="A68" s="373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</row>
    <row r="69" spans="1:38" ht="14.5" x14ac:dyDescent="0.35">
      <c r="A69" s="373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</row>
    <row r="70" spans="1:38" ht="14.5" x14ac:dyDescent="0.35">
      <c r="A70" s="373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</row>
    <row r="71" spans="1:38" ht="14.5" x14ac:dyDescent="0.35">
      <c r="A71" s="373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</row>
    <row r="72" spans="1:38" ht="14.5" x14ac:dyDescent="0.35">
      <c r="A72" s="373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</row>
    <row r="73" spans="1:38" ht="14.5" x14ac:dyDescent="0.35">
      <c r="A73" s="373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</row>
    <row r="74" spans="1:38" ht="14.5" x14ac:dyDescent="0.35">
      <c r="A74" s="373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</row>
    <row r="75" spans="1:38" ht="14.5" x14ac:dyDescent="0.35">
      <c r="A75" s="373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</row>
    <row r="76" spans="1:38" ht="14.5" x14ac:dyDescent="0.35">
      <c r="A76" s="373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</row>
    <row r="77" spans="1:38" ht="14.5" x14ac:dyDescent="0.35">
      <c r="A77" s="373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</row>
    <row r="78" spans="1:38" ht="14.5" x14ac:dyDescent="0.35">
      <c r="A78" s="374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141"/>
      <c r="AG78" s="141"/>
      <c r="AH78" s="141"/>
      <c r="AI78" s="141"/>
      <c r="AJ78" s="141"/>
      <c r="AK78" s="141"/>
      <c r="AL78" s="141"/>
    </row>
    <row r="79" spans="1:38" ht="14.5" x14ac:dyDescent="0.35">
      <c r="A79" s="375"/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141"/>
      <c r="AG79" s="141"/>
      <c r="AH79" s="141"/>
      <c r="AI79" s="141"/>
      <c r="AJ79" s="141"/>
      <c r="AK79" s="141"/>
      <c r="AL79" s="141"/>
    </row>
    <row r="80" spans="1:38" ht="14.5" x14ac:dyDescent="0.35">
      <c r="A80" s="375"/>
      <c r="B80" s="343"/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141"/>
      <c r="AG80" s="141"/>
      <c r="AH80" s="141"/>
      <c r="AI80" s="141"/>
      <c r="AJ80" s="141"/>
      <c r="AK80" s="141"/>
      <c r="AL80" s="141"/>
    </row>
    <row r="81" spans="1:38" ht="14.5" x14ac:dyDescent="0.35">
      <c r="A81" s="375"/>
      <c r="B81" s="343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141"/>
      <c r="AG81" s="141"/>
      <c r="AH81" s="141"/>
      <c r="AI81" s="141"/>
      <c r="AJ81" s="141"/>
      <c r="AK81" s="141"/>
      <c r="AL81" s="141"/>
    </row>
    <row r="82" spans="1:38" ht="14.5" x14ac:dyDescent="0.35">
      <c r="A82" s="375"/>
      <c r="B82" s="343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141"/>
      <c r="AG82" s="141"/>
      <c r="AH82" s="141"/>
      <c r="AI82" s="141"/>
      <c r="AJ82" s="141"/>
      <c r="AK82" s="141"/>
      <c r="AL82" s="141"/>
    </row>
    <row r="83" spans="1:38" ht="14.5" x14ac:dyDescent="0.35">
      <c r="A83" s="375"/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141"/>
      <c r="AG83" s="141"/>
      <c r="AH83" s="141"/>
      <c r="AI83" s="141"/>
      <c r="AJ83" s="141"/>
      <c r="AK83" s="141"/>
      <c r="AL83" s="141"/>
    </row>
    <row r="84" spans="1:38" ht="14.5" x14ac:dyDescent="0.35">
      <c r="A84" s="375"/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141"/>
      <c r="AG84" s="141"/>
      <c r="AH84" s="141"/>
      <c r="AI84" s="141"/>
      <c r="AJ84" s="141"/>
      <c r="AK84" s="141"/>
      <c r="AL84" s="141"/>
    </row>
    <row r="85" spans="1:38" ht="14.5" x14ac:dyDescent="0.35">
      <c r="A85" s="375"/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141"/>
      <c r="AG85" s="141"/>
      <c r="AH85" s="141"/>
      <c r="AI85" s="141"/>
      <c r="AJ85" s="141"/>
      <c r="AK85" s="141"/>
      <c r="AL85" s="141"/>
    </row>
    <row r="86" spans="1:38" ht="14.5" x14ac:dyDescent="0.35">
      <c r="A86" s="375"/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141"/>
      <c r="AG86" s="141"/>
      <c r="AH86" s="141"/>
      <c r="AI86" s="141"/>
      <c r="AJ86" s="141"/>
      <c r="AK86" s="141"/>
      <c r="AL86" s="141"/>
    </row>
    <row r="87" spans="1:38" ht="14.5" x14ac:dyDescent="0.35">
      <c r="A87" s="375"/>
      <c r="B87" s="343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141"/>
      <c r="AG87" s="141"/>
      <c r="AH87" s="141"/>
      <c r="AI87" s="141"/>
      <c r="AJ87" s="141"/>
      <c r="AK87" s="141"/>
      <c r="AL87" s="141"/>
    </row>
    <row r="88" spans="1:38" ht="14.5" x14ac:dyDescent="0.35">
      <c r="A88" s="375"/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141"/>
      <c r="AG88" s="141"/>
      <c r="AH88" s="141"/>
      <c r="AI88" s="141"/>
      <c r="AJ88" s="141"/>
      <c r="AK88" s="141"/>
      <c r="AL88" s="141"/>
    </row>
    <row r="89" spans="1:38" ht="14.5" x14ac:dyDescent="0.35">
      <c r="A89" s="375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141"/>
      <c r="AG89" s="141"/>
      <c r="AH89" s="141"/>
      <c r="AI89" s="141"/>
      <c r="AJ89" s="141"/>
      <c r="AK89" s="141"/>
      <c r="AL89" s="141"/>
    </row>
    <row r="90" spans="1:38" ht="14.5" x14ac:dyDescent="0.35">
      <c r="A90" s="375"/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141"/>
      <c r="AG90" s="141"/>
      <c r="AH90" s="141"/>
      <c r="AI90" s="141"/>
      <c r="AJ90" s="141"/>
      <c r="AK90" s="141"/>
      <c r="AL90" s="141"/>
    </row>
    <row r="91" spans="1:38" ht="14.5" x14ac:dyDescent="0.35">
      <c r="A91" s="375"/>
      <c r="B91" s="343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141"/>
      <c r="AG91" s="141"/>
      <c r="AH91" s="141"/>
      <c r="AI91" s="141"/>
      <c r="AJ91" s="141"/>
      <c r="AK91" s="141"/>
      <c r="AL91" s="141"/>
    </row>
    <row r="92" spans="1:38" ht="14.5" x14ac:dyDescent="0.35">
      <c r="A92" s="375"/>
      <c r="B92" s="343"/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  <c r="AC92" s="343"/>
      <c r="AD92" s="343"/>
      <c r="AE92" s="343"/>
      <c r="AF92" s="141"/>
      <c r="AG92" s="141"/>
      <c r="AH92" s="141"/>
      <c r="AI92" s="141"/>
      <c r="AJ92" s="141"/>
      <c r="AK92" s="141"/>
      <c r="AL92" s="141"/>
    </row>
    <row r="93" spans="1:38" ht="14.5" x14ac:dyDescent="0.35">
      <c r="A93" s="375"/>
      <c r="B93" s="343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141"/>
      <c r="AG93" s="141"/>
      <c r="AH93" s="141"/>
      <c r="AI93" s="141"/>
      <c r="AJ93" s="141"/>
      <c r="AK93" s="141"/>
      <c r="AL93" s="141"/>
    </row>
    <row r="94" spans="1:38" ht="14.5" x14ac:dyDescent="0.35">
      <c r="A94" s="375"/>
      <c r="B94" s="343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141"/>
      <c r="AG94" s="141"/>
      <c r="AH94" s="141"/>
      <c r="AI94" s="141"/>
      <c r="AJ94" s="141"/>
      <c r="AK94" s="141"/>
      <c r="AL94" s="141"/>
    </row>
    <row r="95" spans="1:38" ht="14.5" x14ac:dyDescent="0.35">
      <c r="A95" s="375"/>
      <c r="B95" s="343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141"/>
      <c r="AG95" s="141"/>
      <c r="AH95" s="141"/>
      <c r="AI95" s="141"/>
      <c r="AJ95" s="141"/>
      <c r="AK95" s="141"/>
      <c r="AL95" s="141"/>
    </row>
    <row r="96" spans="1:38" ht="14.5" x14ac:dyDescent="0.35">
      <c r="A96" s="375"/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141"/>
      <c r="AG96" s="141"/>
      <c r="AH96" s="141"/>
      <c r="AI96" s="141"/>
      <c r="AJ96" s="141"/>
      <c r="AK96" s="141"/>
      <c r="AL96" s="141"/>
    </row>
    <row r="97" spans="1:38" ht="14.5" x14ac:dyDescent="0.35">
      <c r="A97" s="375"/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141"/>
      <c r="AG97" s="141"/>
      <c r="AH97" s="141"/>
      <c r="AI97" s="141"/>
      <c r="AJ97" s="141"/>
      <c r="AK97" s="141"/>
      <c r="AL97" s="141"/>
    </row>
    <row r="98" spans="1:38" ht="14.5" x14ac:dyDescent="0.35">
      <c r="A98" s="375"/>
      <c r="B98" s="343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141"/>
      <c r="AG98" s="141"/>
      <c r="AH98" s="141"/>
      <c r="AI98" s="141"/>
      <c r="AJ98" s="141"/>
      <c r="AK98" s="141"/>
      <c r="AL98" s="141"/>
    </row>
    <row r="99" spans="1:38" ht="14.5" x14ac:dyDescent="0.35">
      <c r="A99" s="375"/>
      <c r="B99" s="343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141"/>
      <c r="AG99" s="141"/>
      <c r="AH99" s="141"/>
      <c r="AI99" s="141"/>
      <c r="AJ99" s="141"/>
      <c r="AK99" s="141"/>
      <c r="AL99" s="141"/>
    </row>
    <row r="100" spans="1:38" ht="14.5" x14ac:dyDescent="0.35">
      <c r="A100" s="375"/>
      <c r="B100" s="343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141"/>
      <c r="AG100" s="141"/>
      <c r="AH100" s="141"/>
      <c r="AI100" s="141"/>
      <c r="AJ100" s="141"/>
      <c r="AK100" s="141"/>
      <c r="AL100" s="141"/>
    </row>
    <row r="101" spans="1:38" ht="14.5" x14ac:dyDescent="0.35">
      <c r="A101" s="375"/>
      <c r="B101" s="343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141"/>
      <c r="AG101" s="141"/>
      <c r="AH101" s="141"/>
      <c r="AI101" s="141"/>
      <c r="AJ101" s="141"/>
      <c r="AK101" s="141"/>
      <c r="AL101" s="141"/>
    </row>
    <row r="102" spans="1:38" ht="14.5" x14ac:dyDescent="0.35">
      <c r="A102" s="375"/>
      <c r="B102" s="343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141"/>
      <c r="AG102" s="141"/>
      <c r="AH102" s="141"/>
      <c r="AI102" s="141"/>
      <c r="AJ102" s="141"/>
      <c r="AK102" s="141"/>
      <c r="AL102" s="141"/>
    </row>
    <row r="103" spans="1:38" ht="14.5" x14ac:dyDescent="0.35">
      <c r="A103" s="375"/>
      <c r="B103" s="343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141"/>
      <c r="AG103" s="141"/>
      <c r="AH103" s="141"/>
      <c r="AI103" s="141"/>
      <c r="AJ103" s="141"/>
      <c r="AK103" s="141"/>
      <c r="AL103" s="141"/>
    </row>
    <row r="104" spans="1:38" ht="14.5" x14ac:dyDescent="0.35">
      <c r="A104" s="375"/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141"/>
      <c r="AG104" s="141"/>
      <c r="AH104" s="141"/>
      <c r="AI104" s="141"/>
      <c r="AJ104" s="141"/>
      <c r="AK104" s="141"/>
      <c r="AL104" s="141"/>
    </row>
    <row r="105" spans="1:38" ht="14.5" x14ac:dyDescent="0.35">
      <c r="A105" s="375"/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141"/>
      <c r="AG105" s="141"/>
      <c r="AH105" s="141"/>
      <c r="AI105" s="141"/>
      <c r="AJ105" s="141"/>
      <c r="AK105" s="141"/>
      <c r="AL105" s="141"/>
    </row>
    <row r="106" spans="1:38" ht="14.5" x14ac:dyDescent="0.35">
      <c r="A106" s="375"/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141"/>
      <c r="AG106" s="141"/>
      <c r="AH106" s="141"/>
      <c r="AI106" s="141"/>
      <c r="AJ106" s="141"/>
      <c r="AK106" s="141"/>
      <c r="AL106" s="141"/>
    </row>
    <row r="107" spans="1:38" ht="14.5" x14ac:dyDescent="0.35">
      <c r="A107" s="375"/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141"/>
      <c r="AG107" s="141"/>
      <c r="AH107" s="141"/>
      <c r="AI107" s="141"/>
      <c r="AJ107" s="141"/>
      <c r="AK107" s="141"/>
      <c r="AL107" s="141"/>
    </row>
    <row r="108" spans="1:38" ht="14.5" x14ac:dyDescent="0.35">
      <c r="A108" s="375"/>
      <c r="B108" s="343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141"/>
      <c r="AG108" s="141"/>
      <c r="AH108" s="141"/>
      <c r="AI108" s="141"/>
      <c r="AJ108" s="141"/>
      <c r="AK108" s="141"/>
      <c r="AL108" s="141"/>
    </row>
    <row r="109" spans="1:38" ht="14.5" x14ac:dyDescent="0.35">
      <c r="A109" s="375"/>
      <c r="B109" s="343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141"/>
      <c r="AG109" s="141"/>
      <c r="AH109" s="141"/>
      <c r="AI109" s="141"/>
      <c r="AJ109" s="141"/>
      <c r="AK109" s="141"/>
      <c r="AL109" s="141"/>
    </row>
    <row r="110" spans="1:38" ht="14.5" x14ac:dyDescent="0.35">
      <c r="A110" s="375"/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  <c r="AB110" s="343"/>
      <c r="AC110" s="343"/>
      <c r="AD110" s="343"/>
      <c r="AE110" s="343"/>
      <c r="AF110" s="141"/>
      <c r="AG110" s="141"/>
      <c r="AH110" s="141"/>
      <c r="AI110" s="141"/>
      <c r="AJ110" s="141"/>
      <c r="AK110" s="141"/>
      <c r="AL110" s="141"/>
    </row>
    <row r="111" spans="1:38" ht="14.5" x14ac:dyDescent="0.35">
      <c r="A111" s="375"/>
      <c r="B111" s="343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343"/>
      <c r="AE111" s="343"/>
      <c r="AF111" s="141"/>
      <c r="AG111" s="141"/>
      <c r="AH111" s="141"/>
      <c r="AI111" s="141"/>
      <c r="AJ111" s="141"/>
      <c r="AK111" s="141"/>
      <c r="AL111" s="141"/>
    </row>
    <row r="112" spans="1:38" ht="14.5" x14ac:dyDescent="0.35">
      <c r="A112" s="375"/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  <c r="AB112" s="343"/>
      <c r="AC112" s="343"/>
      <c r="AD112" s="343"/>
      <c r="AE112" s="343"/>
      <c r="AF112" s="141"/>
      <c r="AG112" s="141"/>
      <c r="AH112" s="141"/>
      <c r="AI112" s="141"/>
      <c r="AJ112" s="141"/>
      <c r="AK112" s="141"/>
      <c r="AL112" s="141"/>
    </row>
    <row r="113" spans="1:38" ht="14.5" x14ac:dyDescent="0.35">
      <c r="A113" s="375"/>
      <c r="B113" s="343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  <c r="AB113" s="343"/>
      <c r="AC113" s="343"/>
      <c r="AD113" s="343"/>
      <c r="AE113" s="343"/>
      <c r="AF113" s="141"/>
      <c r="AG113" s="141"/>
      <c r="AH113" s="141"/>
      <c r="AI113" s="141"/>
      <c r="AJ113" s="141"/>
      <c r="AK113" s="141"/>
      <c r="AL113" s="141"/>
    </row>
    <row r="114" spans="1:38" ht="14.5" x14ac:dyDescent="0.35">
      <c r="A114" s="375"/>
      <c r="B114" s="343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141"/>
      <c r="AG114" s="141"/>
      <c r="AH114" s="141"/>
      <c r="AI114" s="141"/>
      <c r="AJ114" s="141"/>
      <c r="AK114" s="141"/>
      <c r="AL114" s="141"/>
    </row>
    <row r="115" spans="1:38" ht="14.5" x14ac:dyDescent="0.35">
      <c r="A115" s="375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141"/>
      <c r="AG115" s="141"/>
      <c r="AH115" s="141"/>
      <c r="AI115" s="141"/>
      <c r="AJ115" s="141"/>
      <c r="AK115" s="141"/>
      <c r="AL115" s="141"/>
    </row>
    <row r="116" spans="1:38" ht="14.5" x14ac:dyDescent="0.35">
      <c r="A116" s="375"/>
      <c r="B116" s="343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141"/>
      <c r="AG116" s="141"/>
      <c r="AH116" s="141"/>
      <c r="AI116" s="141"/>
      <c r="AJ116" s="141"/>
      <c r="AK116" s="141"/>
      <c r="AL116" s="141"/>
    </row>
    <row r="117" spans="1:38" ht="14.5" x14ac:dyDescent="0.35">
      <c r="A117" s="375"/>
      <c r="B117" s="343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141"/>
      <c r="AG117" s="141"/>
      <c r="AH117" s="141"/>
      <c r="AI117" s="141"/>
      <c r="AJ117" s="141"/>
      <c r="AK117" s="141"/>
      <c r="AL117" s="141"/>
    </row>
    <row r="118" spans="1:38" ht="14.5" x14ac:dyDescent="0.35">
      <c r="A118" s="375"/>
      <c r="B118" s="343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141"/>
      <c r="AG118" s="141"/>
      <c r="AH118" s="141"/>
      <c r="AI118" s="141"/>
      <c r="AJ118" s="141"/>
      <c r="AK118" s="141"/>
      <c r="AL118" s="141"/>
    </row>
    <row r="119" spans="1:38" ht="14.5" x14ac:dyDescent="0.35">
      <c r="A119" s="375"/>
      <c r="B119" s="343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141"/>
      <c r="AG119" s="141"/>
      <c r="AH119" s="141"/>
      <c r="AI119" s="141"/>
      <c r="AJ119" s="141"/>
      <c r="AK119" s="141"/>
      <c r="AL119" s="141"/>
    </row>
    <row r="120" spans="1:38" ht="14.5" x14ac:dyDescent="0.35">
      <c r="A120" s="375"/>
      <c r="B120" s="343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141"/>
      <c r="AG120" s="141"/>
      <c r="AH120" s="141"/>
      <c r="AI120" s="141"/>
      <c r="AJ120" s="141"/>
      <c r="AK120" s="141"/>
      <c r="AL120" s="141"/>
    </row>
    <row r="121" spans="1:38" ht="14.5" x14ac:dyDescent="0.35">
      <c r="A121" s="375"/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141"/>
      <c r="AG121" s="141"/>
      <c r="AH121" s="141"/>
      <c r="AI121" s="141"/>
      <c r="AJ121" s="141"/>
      <c r="AK121" s="141"/>
      <c r="AL121" s="141"/>
    </row>
    <row r="122" spans="1:38" ht="14.5" x14ac:dyDescent="0.35">
      <c r="A122" s="375"/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141"/>
      <c r="AG122" s="141"/>
      <c r="AH122" s="141"/>
      <c r="AI122" s="141"/>
      <c r="AJ122" s="141"/>
      <c r="AK122" s="141"/>
      <c r="AL122" s="141"/>
    </row>
    <row r="123" spans="1:38" ht="14.5" x14ac:dyDescent="0.35">
      <c r="A123" s="375"/>
      <c r="B123" s="343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141"/>
      <c r="AG123" s="141"/>
      <c r="AH123" s="141"/>
      <c r="AI123" s="141"/>
      <c r="AJ123" s="141"/>
      <c r="AK123" s="141"/>
      <c r="AL123" s="141"/>
    </row>
    <row r="124" spans="1:38" ht="14.5" x14ac:dyDescent="0.35">
      <c r="A124" s="375"/>
      <c r="B124" s="343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141"/>
      <c r="AG124" s="141"/>
      <c r="AH124" s="141"/>
      <c r="AI124" s="141"/>
      <c r="AJ124" s="141"/>
      <c r="AK124" s="141"/>
      <c r="AL124" s="141"/>
    </row>
    <row r="125" spans="1:38" ht="14.5" x14ac:dyDescent="0.35">
      <c r="A125" s="375"/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141"/>
      <c r="AG125" s="141"/>
      <c r="AH125" s="141"/>
      <c r="AI125" s="141"/>
      <c r="AJ125" s="141"/>
      <c r="AK125" s="141"/>
      <c r="AL125" s="141"/>
    </row>
    <row r="126" spans="1:38" ht="14.5" x14ac:dyDescent="0.35">
      <c r="A126" s="375"/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141"/>
      <c r="AG126" s="141"/>
      <c r="AH126" s="141"/>
      <c r="AI126" s="141"/>
      <c r="AJ126" s="141"/>
      <c r="AK126" s="141"/>
      <c r="AL126" s="141"/>
    </row>
    <row r="127" spans="1:38" ht="14.5" x14ac:dyDescent="0.35">
      <c r="A127" s="375"/>
      <c r="B127" s="343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141"/>
      <c r="AG127" s="141"/>
      <c r="AH127" s="141"/>
      <c r="AI127" s="141"/>
      <c r="AJ127" s="141"/>
      <c r="AK127" s="141"/>
      <c r="AL127" s="141"/>
    </row>
    <row r="128" spans="1:38" ht="14.5" x14ac:dyDescent="0.35">
      <c r="A128" s="375"/>
      <c r="B128" s="343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141"/>
      <c r="AG128" s="141"/>
      <c r="AH128" s="141"/>
      <c r="AI128" s="141"/>
      <c r="AJ128" s="141"/>
      <c r="AK128" s="141"/>
      <c r="AL128" s="141"/>
    </row>
    <row r="129" spans="1:38" ht="14.5" x14ac:dyDescent="0.35">
      <c r="A129" s="375"/>
      <c r="B129" s="343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141"/>
      <c r="AG129" s="141"/>
      <c r="AH129" s="141"/>
      <c r="AI129" s="141"/>
      <c r="AJ129" s="141"/>
      <c r="AK129" s="141"/>
      <c r="AL129" s="141"/>
    </row>
    <row r="130" spans="1:38" ht="14.5" x14ac:dyDescent="0.35">
      <c r="A130" s="375"/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141"/>
      <c r="AG130" s="141"/>
      <c r="AH130" s="141"/>
      <c r="AI130" s="141"/>
      <c r="AJ130" s="141"/>
      <c r="AK130" s="141"/>
      <c r="AL130" s="141"/>
    </row>
    <row r="131" spans="1:38" ht="14.5" x14ac:dyDescent="0.35">
      <c r="A131" s="375"/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141"/>
      <c r="AG131" s="141"/>
      <c r="AH131" s="141"/>
      <c r="AI131" s="141"/>
      <c r="AJ131" s="141"/>
      <c r="AK131" s="141"/>
      <c r="AL131" s="141"/>
    </row>
    <row r="132" spans="1:38" ht="14.5" x14ac:dyDescent="0.35">
      <c r="A132" s="375"/>
      <c r="B132" s="343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141"/>
      <c r="AG132" s="141"/>
      <c r="AH132" s="141"/>
      <c r="AI132" s="141"/>
      <c r="AJ132" s="141"/>
      <c r="AK132" s="141"/>
      <c r="AL132" s="141"/>
    </row>
    <row r="133" spans="1:38" ht="14.5" x14ac:dyDescent="0.35">
      <c r="A133" s="375"/>
      <c r="B133" s="343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141"/>
      <c r="AG133" s="141"/>
      <c r="AH133" s="141"/>
      <c r="AI133" s="141"/>
      <c r="AJ133" s="141"/>
      <c r="AK133" s="141"/>
      <c r="AL133" s="141"/>
    </row>
    <row r="134" spans="1:38" ht="14.5" x14ac:dyDescent="0.35">
      <c r="A134" s="375"/>
      <c r="B134" s="343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141"/>
      <c r="AG134" s="141"/>
      <c r="AH134" s="141"/>
      <c r="AI134" s="141"/>
      <c r="AJ134" s="141"/>
      <c r="AK134" s="141"/>
      <c r="AL134" s="141"/>
    </row>
    <row r="135" spans="1:38" ht="14.5" x14ac:dyDescent="0.35">
      <c r="A135" s="375"/>
      <c r="B135" s="343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141"/>
      <c r="AG135" s="141"/>
      <c r="AH135" s="141"/>
      <c r="AI135" s="141"/>
      <c r="AJ135" s="141"/>
      <c r="AK135" s="141"/>
      <c r="AL135" s="141"/>
    </row>
    <row r="136" spans="1:38" ht="14.5" x14ac:dyDescent="0.35">
      <c r="A136" s="375"/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141"/>
      <c r="AG136" s="141"/>
      <c r="AH136" s="141"/>
      <c r="AI136" s="141"/>
      <c r="AJ136" s="141"/>
      <c r="AK136" s="141"/>
      <c r="AL136" s="141"/>
    </row>
    <row r="137" spans="1:38" ht="14.5" x14ac:dyDescent="0.35">
      <c r="A137" s="375"/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141"/>
      <c r="AG137" s="141"/>
      <c r="AH137" s="141"/>
      <c r="AI137" s="141"/>
      <c r="AJ137" s="141"/>
      <c r="AK137" s="141"/>
      <c r="AL137" s="141"/>
    </row>
    <row r="138" spans="1:38" ht="14.5" x14ac:dyDescent="0.35">
      <c r="A138" s="375"/>
      <c r="B138" s="343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141"/>
      <c r="AG138" s="141"/>
      <c r="AH138" s="141"/>
      <c r="AI138" s="141"/>
      <c r="AJ138" s="141"/>
      <c r="AK138" s="141"/>
      <c r="AL138" s="141"/>
    </row>
    <row r="139" spans="1:38" ht="14.5" x14ac:dyDescent="0.35">
      <c r="A139" s="375"/>
      <c r="B139" s="343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141"/>
      <c r="AG139" s="141"/>
      <c r="AH139" s="141"/>
      <c r="AI139" s="141"/>
      <c r="AJ139" s="141"/>
      <c r="AK139" s="141"/>
      <c r="AL139" s="141"/>
    </row>
    <row r="140" spans="1:38" ht="14.5" x14ac:dyDescent="0.35">
      <c r="A140" s="375"/>
      <c r="B140" s="343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141"/>
      <c r="AG140" s="141"/>
      <c r="AH140" s="141"/>
      <c r="AI140" s="141"/>
      <c r="AJ140" s="141"/>
      <c r="AK140" s="141"/>
      <c r="AL140" s="141"/>
    </row>
    <row r="141" spans="1:38" ht="14.5" x14ac:dyDescent="0.35">
      <c r="A141" s="375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141"/>
      <c r="AG141" s="141"/>
      <c r="AH141" s="141"/>
      <c r="AI141" s="141"/>
      <c r="AJ141" s="141"/>
      <c r="AK141" s="141"/>
      <c r="AL141" s="141"/>
    </row>
    <row r="142" spans="1:38" ht="14.5" x14ac:dyDescent="0.35">
      <c r="A142" s="375"/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141"/>
      <c r="AG142" s="141"/>
      <c r="AH142" s="141"/>
      <c r="AI142" s="141"/>
      <c r="AJ142" s="141"/>
      <c r="AK142" s="141"/>
      <c r="AL142" s="141"/>
    </row>
    <row r="143" spans="1:38" ht="14.5" x14ac:dyDescent="0.35">
      <c r="A143" s="375"/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141"/>
      <c r="AG143" s="141"/>
      <c r="AH143" s="141"/>
      <c r="AI143" s="141"/>
      <c r="AJ143" s="141"/>
      <c r="AK143" s="141"/>
      <c r="AL143" s="141"/>
    </row>
    <row r="144" spans="1:38" ht="14.5" x14ac:dyDescent="0.35">
      <c r="A144" s="375"/>
      <c r="B144" s="343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141"/>
      <c r="AG144" s="141"/>
      <c r="AH144" s="141"/>
      <c r="AI144" s="141"/>
      <c r="AJ144" s="141"/>
      <c r="AK144" s="141"/>
      <c r="AL144" s="141"/>
    </row>
    <row r="145" spans="1:38" ht="14.5" x14ac:dyDescent="0.35">
      <c r="A145" s="375"/>
      <c r="B145" s="343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141"/>
      <c r="AG145" s="141"/>
      <c r="AH145" s="141"/>
      <c r="AI145" s="141"/>
      <c r="AJ145" s="141"/>
      <c r="AK145" s="141"/>
      <c r="AL145" s="141"/>
    </row>
    <row r="146" spans="1:38" ht="14.5" x14ac:dyDescent="0.35">
      <c r="A146" s="375"/>
      <c r="B146" s="343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141"/>
      <c r="AG146" s="141"/>
      <c r="AH146" s="141"/>
      <c r="AI146" s="141"/>
      <c r="AJ146" s="141"/>
      <c r="AK146" s="141"/>
      <c r="AL146" s="141"/>
    </row>
    <row r="147" spans="1:38" ht="14.5" x14ac:dyDescent="0.35">
      <c r="A147" s="375"/>
      <c r="B147" s="343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141"/>
      <c r="AG147" s="141"/>
      <c r="AH147" s="141"/>
      <c r="AI147" s="141"/>
      <c r="AJ147" s="141"/>
      <c r="AK147" s="141"/>
      <c r="AL147" s="141"/>
    </row>
    <row r="148" spans="1:38" ht="14.5" x14ac:dyDescent="0.35">
      <c r="A148" s="375"/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141"/>
      <c r="AG148" s="141"/>
      <c r="AH148" s="141"/>
      <c r="AI148" s="141"/>
      <c r="AJ148" s="141"/>
      <c r="AK148" s="141"/>
      <c r="AL148" s="141"/>
    </row>
    <row r="149" spans="1:38" ht="14.5" x14ac:dyDescent="0.35">
      <c r="A149" s="375"/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3"/>
      <c r="AF149" s="141"/>
      <c r="AG149" s="141"/>
      <c r="AH149" s="141"/>
      <c r="AI149" s="141"/>
      <c r="AJ149" s="141"/>
      <c r="AK149" s="141"/>
      <c r="AL149" s="141"/>
    </row>
    <row r="150" spans="1:38" ht="14.5" x14ac:dyDescent="0.35">
      <c r="A150" s="375"/>
      <c r="B150" s="343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3"/>
      <c r="AF150" s="141"/>
      <c r="AG150" s="141"/>
      <c r="AH150" s="141"/>
      <c r="AI150" s="141"/>
      <c r="AJ150" s="141"/>
      <c r="AK150" s="141"/>
      <c r="AL150" s="141"/>
    </row>
    <row r="151" spans="1:38" ht="14.5" x14ac:dyDescent="0.35">
      <c r="A151" s="375"/>
      <c r="B151" s="343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3"/>
      <c r="AF151" s="141"/>
      <c r="AG151" s="141"/>
      <c r="AH151" s="141"/>
      <c r="AI151" s="141"/>
      <c r="AJ151" s="141"/>
      <c r="AK151" s="141"/>
      <c r="AL151" s="141"/>
    </row>
    <row r="152" spans="1:38" ht="14.5" x14ac:dyDescent="0.35">
      <c r="A152" s="375"/>
      <c r="B152" s="343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3"/>
      <c r="AF152" s="141"/>
      <c r="AG152" s="141"/>
      <c r="AH152" s="141"/>
      <c r="AI152" s="141"/>
      <c r="AJ152" s="141"/>
      <c r="AK152" s="141"/>
      <c r="AL152" s="141"/>
    </row>
    <row r="153" spans="1:38" ht="14.5" x14ac:dyDescent="0.35">
      <c r="A153" s="375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141"/>
      <c r="AG153" s="141"/>
      <c r="AH153" s="141"/>
      <c r="AI153" s="141"/>
      <c r="AJ153" s="141"/>
      <c r="AK153" s="141"/>
      <c r="AL153" s="141"/>
    </row>
    <row r="154" spans="1:38" ht="14.5" x14ac:dyDescent="0.35">
      <c r="A154" s="375"/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3"/>
      <c r="AF154" s="141"/>
      <c r="AG154" s="141"/>
      <c r="AH154" s="141"/>
      <c r="AI154" s="141"/>
      <c r="AJ154" s="141"/>
      <c r="AK154" s="141"/>
      <c r="AL154" s="141"/>
    </row>
    <row r="155" spans="1:38" ht="14.5" x14ac:dyDescent="0.35">
      <c r="A155" s="375"/>
      <c r="B155" s="343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3"/>
      <c r="W155" s="343"/>
      <c r="X155" s="343"/>
      <c r="Y155" s="343"/>
      <c r="Z155" s="343"/>
      <c r="AA155" s="343"/>
      <c r="AB155" s="343"/>
      <c r="AC155" s="343"/>
      <c r="AD155" s="343"/>
      <c r="AE155" s="343"/>
      <c r="AF155" s="141"/>
      <c r="AG155" s="141"/>
      <c r="AH155" s="141"/>
      <c r="AI155" s="141"/>
      <c r="AJ155" s="141"/>
      <c r="AK155" s="141"/>
      <c r="AL155" s="141"/>
    </row>
    <row r="156" spans="1:38" ht="14.5" x14ac:dyDescent="0.35">
      <c r="A156" s="375"/>
      <c r="B156" s="343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3"/>
      <c r="AB156" s="343"/>
      <c r="AC156" s="343"/>
      <c r="AD156" s="343"/>
      <c r="AE156" s="343"/>
      <c r="AF156" s="141"/>
      <c r="AG156" s="141"/>
      <c r="AH156" s="141"/>
      <c r="AI156" s="141"/>
      <c r="AJ156" s="141"/>
      <c r="AK156" s="141"/>
      <c r="AL156" s="141"/>
    </row>
    <row r="157" spans="1:38" ht="14.5" x14ac:dyDescent="0.35">
      <c r="A157" s="375"/>
      <c r="B157" s="343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3"/>
      <c r="W157" s="343"/>
      <c r="X157" s="343"/>
      <c r="Y157" s="343"/>
      <c r="Z157" s="343"/>
      <c r="AA157" s="343"/>
      <c r="AB157" s="343"/>
      <c r="AC157" s="343"/>
      <c r="AD157" s="343"/>
      <c r="AE157" s="343"/>
      <c r="AF157" s="141"/>
      <c r="AG157" s="141"/>
      <c r="AH157" s="141"/>
      <c r="AI157" s="141"/>
      <c r="AJ157" s="141"/>
      <c r="AK157" s="141"/>
      <c r="AL157" s="141"/>
    </row>
    <row r="158" spans="1:38" ht="14.5" x14ac:dyDescent="0.35">
      <c r="A158" s="375"/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343"/>
      <c r="AB158" s="343"/>
      <c r="AC158" s="343"/>
      <c r="AD158" s="343"/>
      <c r="AE158" s="343"/>
      <c r="AF158" s="141"/>
      <c r="AG158" s="141"/>
      <c r="AH158" s="141"/>
      <c r="AI158" s="141"/>
      <c r="AJ158" s="141"/>
      <c r="AK158" s="141"/>
      <c r="AL158" s="141"/>
    </row>
    <row r="159" spans="1:38" ht="14.5" x14ac:dyDescent="0.35">
      <c r="A159" s="375"/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343"/>
      <c r="AB159" s="343"/>
      <c r="AC159" s="343"/>
      <c r="AD159" s="343"/>
      <c r="AE159" s="343"/>
      <c r="AF159" s="141"/>
      <c r="AG159" s="141"/>
      <c r="AH159" s="141"/>
      <c r="AI159" s="141"/>
      <c r="AJ159" s="141"/>
      <c r="AK159" s="141"/>
      <c r="AL159" s="141"/>
    </row>
    <row r="160" spans="1:38" ht="14.5" x14ac:dyDescent="0.35">
      <c r="A160" s="375"/>
      <c r="B160" s="343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141"/>
      <c r="AG160" s="141"/>
      <c r="AH160" s="141"/>
      <c r="AI160" s="141"/>
      <c r="AJ160" s="141"/>
      <c r="AK160" s="141"/>
      <c r="AL160" s="141"/>
    </row>
    <row r="161" spans="1:38" ht="14.5" x14ac:dyDescent="0.35">
      <c r="A161" s="375"/>
      <c r="B161" s="343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141"/>
      <c r="AG161" s="141"/>
      <c r="AH161" s="141"/>
      <c r="AI161" s="141"/>
      <c r="AJ161" s="141"/>
      <c r="AK161" s="141"/>
      <c r="AL161" s="141"/>
    </row>
    <row r="162" spans="1:38" ht="14.5" x14ac:dyDescent="0.35">
      <c r="A162" s="375"/>
      <c r="B162" s="343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3"/>
      <c r="W162" s="343"/>
      <c r="X162" s="343"/>
      <c r="Y162" s="343"/>
      <c r="Z162" s="343"/>
      <c r="AA162" s="343"/>
      <c r="AB162" s="343"/>
      <c r="AC162" s="343"/>
      <c r="AD162" s="343"/>
      <c r="AE162" s="343"/>
      <c r="AF162" s="141"/>
      <c r="AG162" s="141"/>
      <c r="AH162" s="141"/>
      <c r="AI162" s="141"/>
      <c r="AJ162" s="141"/>
      <c r="AK162" s="141"/>
      <c r="AL162" s="141"/>
    </row>
    <row r="163" spans="1:38" ht="14.5" x14ac:dyDescent="0.35">
      <c r="A163" s="375"/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141"/>
      <c r="AG163" s="141"/>
      <c r="AH163" s="141"/>
      <c r="AI163" s="141"/>
      <c r="AJ163" s="141"/>
      <c r="AK163" s="141"/>
      <c r="AL163" s="141"/>
    </row>
    <row r="164" spans="1:38" ht="14.5" x14ac:dyDescent="0.35">
      <c r="A164" s="375"/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141"/>
      <c r="AG164" s="141"/>
      <c r="AH164" s="141"/>
      <c r="AI164" s="141"/>
      <c r="AJ164" s="141"/>
      <c r="AK164" s="141"/>
      <c r="AL164" s="141"/>
    </row>
    <row r="165" spans="1:38" ht="14.5" x14ac:dyDescent="0.35">
      <c r="A165" s="375"/>
      <c r="B165" s="343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3"/>
      <c r="W165" s="343"/>
      <c r="X165" s="343"/>
      <c r="Y165" s="343"/>
      <c r="Z165" s="343"/>
      <c r="AA165" s="343"/>
      <c r="AB165" s="343"/>
      <c r="AC165" s="343"/>
      <c r="AD165" s="343"/>
      <c r="AE165" s="343"/>
      <c r="AF165" s="141"/>
      <c r="AG165" s="141"/>
      <c r="AH165" s="141"/>
      <c r="AI165" s="141"/>
      <c r="AJ165" s="141"/>
      <c r="AK165" s="141"/>
      <c r="AL165" s="141"/>
    </row>
    <row r="166" spans="1:38" ht="14.5" x14ac:dyDescent="0.35">
      <c r="A166" s="375"/>
      <c r="B166" s="343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3"/>
      <c r="W166" s="343"/>
      <c r="X166" s="343"/>
      <c r="Y166" s="343"/>
      <c r="Z166" s="343"/>
      <c r="AA166" s="343"/>
      <c r="AB166" s="343"/>
      <c r="AC166" s="343"/>
      <c r="AD166" s="343"/>
      <c r="AE166" s="343"/>
      <c r="AF166" s="141"/>
      <c r="AG166" s="141"/>
      <c r="AH166" s="141"/>
      <c r="AI166" s="141"/>
      <c r="AJ166" s="141"/>
      <c r="AK166" s="141"/>
      <c r="AL166" s="141"/>
    </row>
    <row r="167" spans="1:38" ht="14.5" x14ac:dyDescent="0.35">
      <c r="A167" s="375"/>
      <c r="B167" s="343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3"/>
      <c r="W167" s="343"/>
      <c r="X167" s="343"/>
      <c r="Y167" s="343"/>
      <c r="Z167" s="343"/>
      <c r="AA167" s="343"/>
      <c r="AB167" s="343"/>
      <c r="AC167" s="343"/>
      <c r="AD167" s="343"/>
      <c r="AE167" s="343"/>
      <c r="AF167" s="141"/>
      <c r="AG167" s="141"/>
      <c r="AH167" s="141"/>
      <c r="AI167" s="141"/>
      <c r="AJ167" s="141"/>
      <c r="AK167" s="141"/>
      <c r="AL167" s="141"/>
    </row>
    <row r="168" spans="1:38" ht="14.5" x14ac:dyDescent="0.35">
      <c r="A168" s="375"/>
      <c r="B168" s="343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141"/>
      <c r="AG168" s="141"/>
      <c r="AH168" s="141"/>
      <c r="AI168" s="141"/>
      <c r="AJ168" s="141"/>
      <c r="AK168" s="141"/>
      <c r="AL168" s="141"/>
    </row>
    <row r="169" spans="1:38" ht="14.5" x14ac:dyDescent="0.35">
      <c r="A169" s="375"/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141"/>
      <c r="AG169" s="141"/>
      <c r="AH169" s="141"/>
      <c r="AI169" s="141"/>
      <c r="AJ169" s="141"/>
      <c r="AK169" s="141"/>
      <c r="AL169" s="141"/>
    </row>
    <row r="170" spans="1:38" ht="14.5" x14ac:dyDescent="0.35">
      <c r="A170" s="375"/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141"/>
      <c r="AG170" s="141"/>
      <c r="AH170" s="141"/>
      <c r="AI170" s="141"/>
      <c r="AJ170" s="141"/>
      <c r="AK170" s="141"/>
      <c r="AL170" s="141"/>
    </row>
    <row r="171" spans="1:38" ht="14.5" x14ac:dyDescent="0.35">
      <c r="A171" s="375"/>
      <c r="B171" s="343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3"/>
      <c r="W171" s="343"/>
      <c r="X171" s="343"/>
      <c r="Y171" s="343"/>
      <c r="Z171" s="343"/>
      <c r="AA171" s="343"/>
      <c r="AB171" s="343"/>
      <c r="AC171" s="343"/>
      <c r="AD171" s="343"/>
      <c r="AE171" s="343"/>
      <c r="AF171" s="141"/>
      <c r="AG171" s="141"/>
      <c r="AH171" s="141"/>
      <c r="AI171" s="141"/>
      <c r="AJ171" s="141"/>
      <c r="AK171" s="141"/>
      <c r="AL171" s="141"/>
    </row>
    <row r="172" spans="1:38" ht="14.5" x14ac:dyDescent="0.35">
      <c r="A172" s="375"/>
      <c r="B172" s="343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3"/>
      <c r="W172" s="343"/>
      <c r="X172" s="343"/>
      <c r="Y172" s="343"/>
      <c r="Z172" s="343"/>
      <c r="AA172" s="343"/>
      <c r="AB172" s="343"/>
      <c r="AC172" s="343"/>
      <c r="AD172" s="343"/>
      <c r="AE172" s="343"/>
      <c r="AF172" s="141"/>
      <c r="AG172" s="141"/>
      <c r="AH172" s="141"/>
      <c r="AI172" s="141"/>
      <c r="AJ172" s="141"/>
      <c r="AK172" s="141"/>
      <c r="AL172" s="141"/>
    </row>
    <row r="173" spans="1:38" ht="14.5" x14ac:dyDescent="0.35">
      <c r="A173" s="375"/>
      <c r="B173" s="343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3"/>
      <c r="W173" s="343"/>
      <c r="X173" s="343"/>
      <c r="Y173" s="343"/>
      <c r="Z173" s="343"/>
      <c r="AA173" s="343"/>
      <c r="AB173" s="343"/>
      <c r="AC173" s="343"/>
      <c r="AD173" s="343"/>
      <c r="AE173" s="343"/>
      <c r="AF173" s="141"/>
      <c r="AG173" s="141"/>
      <c r="AH173" s="141"/>
      <c r="AI173" s="141"/>
      <c r="AJ173" s="141"/>
      <c r="AK173" s="141"/>
      <c r="AL173" s="141"/>
    </row>
    <row r="174" spans="1:38" ht="14.5" x14ac:dyDescent="0.35">
      <c r="A174" s="375"/>
      <c r="B174" s="343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3"/>
      <c r="W174" s="343"/>
      <c r="X174" s="343"/>
      <c r="Y174" s="343"/>
      <c r="Z174" s="343"/>
      <c r="AA174" s="343"/>
      <c r="AB174" s="343"/>
      <c r="AC174" s="343"/>
      <c r="AD174" s="343"/>
      <c r="AE174" s="343"/>
      <c r="AF174" s="141"/>
      <c r="AG174" s="141"/>
      <c r="AH174" s="141"/>
      <c r="AI174" s="141"/>
      <c r="AJ174" s="141"/>
      <c r="AK174" s="141"/>
      <c r="AL174" s="141"/>
    </row>
    <row r="175" spans="1:38" ht="14.5" x14ac:dyDescent="0.35">
      <c r="A175" s="375"/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141"/>
      <c r="AG175" s="141"/>
      <c r="AH175" s="141"/>
      <c r="AI175" s="141"/>
      <c r="AJ175" s="141"/>
      <c r="AK175" s="141"/>
      <c r="AL175" s="141"/>
    </row>
    <row r="176" spans="1:38" ht="14.5" x14ac:dyDescent="0.35">
      <c r="A176" s="375"/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141"/>
      <c r="AG176" s="141"/>
      <c r="AH176" s="141"/>
      <c r="AI176" s="141"/>
      <c r="AJ176" s="141"/>
      <c r="AK176" s="141"/>
      <c r="AL176" s="141"/>
    </row>
    <row r="177" spans="1:38" ht="14.5" x14ac:dyDescent="0.35">
      <c r="A177" s="375"/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141"/>
      <c r="AG177" s="141"/>
      <c r="AH177" s="141"/>
      <c r="AI177" s="141"/>
      <c r="AJ177" s="141"/>
      <c r="AK177" s="141"/>
      <c r="AL177" s="141"/>
    </row>
    <row r="178" spans="1:38" ht="14.5" x14ac:dyDescent="0.35">
      <c r="A178" s="375"/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141"/>
      <c r="AG178" s="141"/>
      <c r="AH178" s="141"/>
      <c r="AI178" s="141"/>
      <c r="AJ178" s="141"/>
      <c r="AK178" s="141"/>
      <c r="AL178" s="141"/>
    </row>
    <row r="179" spans="1:38" ht="14.5" x14ac:dyDescent="0.35">
      <c r="A179" s="375"/>
      <c r="B179" s="343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3"/>
      <c r="W179" s="343"/>
      <c r="X179" s="343"/>
      <c r="Y179" s="343"/>
      <c r="Z179" s="343"/>
      <c r="AA179" s="343"/>
      <c r="AB179" s="343"/>
      <c r="AC179" s="343"/>
      <c r="AD179" s="343"/>
      <c r="AE179" s="343"/>
      <c r="AF179" s="141"/>
      <c r="AG179" s="141"/>
      <c r="AH179" s="141"/>
      <c r="AI179" s="141"/>
      <c r="AJ179" s="141"/>
      <c r="AK179" s="141"/>
      <c r="AL179" s="141"/>
    </row>
    <row r="180" spans="1:38" ht="14.5" x14ac:dyDescent="0.35">
      <c r="A180" s="375"/>
      <c r="B180" s="343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343"/>
      <c r="AE180" s="343"/>
      <c r="AF180" s="141"/>
      <c r="AG180" s="141"/>
      <c r="AH180" s="141"/>
      <c r="AI180" s="141"/>
      <c r="AJ180" s="141"/>
      <c r="AK180" s="141"/>
      <c r="AL180" s="141"/>
    </row>
    <row r="181" spans="1:38" ht="14.5" x14ac:dyDescent="0.35">
      <c r="A181" s="375"/>
      <c r="B181" s="343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3"/>
      <c r="AF181" s="141"/>
      <c r="AG181" s="141"/>
      <c r="AH181" s="141"/>
      <c r="AI181" s="141"/>
      <c r="AJ181" s="141"/>
      <c r="AK181" s="141"/>
      <c r="AL181" s="141"/>
    </row>
    <row r="182" spans="1:38" ht="14.5" x14ac:dyDescent="0.35">
      <c r="A182" s="375"/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141"/>
      <c r="AG182" s="141"/>
      <c r="AH182" s="141"/>
      <c r="AI182" s="141"/>
      <c r="AJ182" s="141"/>
      <c r="AK182" s="141"/>
      <c r="AL182" s="141"/>
    </row>
    <row r="183" spans="1:38" ht="14.5" x14ac:dyDescent="0.35">
      <c r="A183" s="375"/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3"/>
      <c r="AF183" s="141"/>
      <c r="AG183" s="141"/>
      <c r="AH183" s="141"/>
      <c r="AI183" s="141"/>
      <c r="AJ183" s="141"/>
      <c r="AK183" s="141"/>
      <c r="AL183" s="141"/>
    </row>
    <row r="184" spans="1:38" ht="14.5" x14ac:dyDescent="0.35">
      <c r="A184" s="375"/>
      <c r="B184" s="343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343"/>
      <c r="AB184" s="343"/>
      <c r="AC184" s="343"/>
      <c r="AD184" s="343"/>
      <c r="AE184" s="343"/>
      <c r="AF184" s="141"/>
      <c r="AG184" s="141"/>
      <c r="AH184" s="141"/>
      <c r="AI184" s="141"/>
      <c r="AJ184" s="141"/>
      <c r="AK184" s="141"/>
      <c r="AL184" s="141"/>
    </row>
    <row r="185" spans="1:38" ht="14.5" x14ac:dyDescent="0.35">
      <c r="A185" s="375"/>
      <c r="B185" s="343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3"/>
      <c r="W185" s="343"/>
      <c r="X185" s="343"/>
      <c r="Y185" s="343"/>
      <c r="Z185" s="343"/>
      <c r="AA185" s="343"/>
      <c r="AB185" s="343"/>
      <c r="AC185" s="343"/>
      <c r="AD185" s="343"/>
      <c r="AE185" s="343"/>
      <c r="AF185" s="141"/>
      <c r="AG185" s="141"/>
      <c r="AH185" s="141"/>
      <c r="AI185" s="141"/>
      <c r="AJ185" s="141"/>
      <c r="AK185" s="141"/>
      <c r="AL185" s="141"/>
    </row>
    <row r="186" spans="1:38" ht="14.5" x14ac:dyDescent="0.35">
      <c r="A186" s="375"/>
      <c r="B186" s="343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3"/>
      <c r="W186" s="343"/>
      <c r="X186" s="343"/>
      <c r="Y186" s="343"/>
      <c r="Z186" s="343"/>
      <c r="AA186" s="343"/>
      <c r="AB186" s="343"/>
      <c r="AC186" s="343"/>
      <c r="AD186" s="343"/>
      <c r="AE186" s="343"/>
      <c r="AF186" s="141"/>
      <c r="AG186" s="141"/>
      <c r="AH186" s="141"/>
      <c r="AI186" s="141"/>
      <c r="AJ186" s="141"/>
      <c r="AK186" s="141"/>
      <c r="AL186" s="141"/>
    </row>
    <row r="187" spans="1:38" ht="14.5" x14ac:dyDescent="0.35">
      <c r="A187" s="375"/>
      <c r="B187" s="343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141"/>
      <c r="AG187" s="141"/>
      <c r="AH187" s="141"/>
      <c r="AI187" s="141"/>
      <c r="AJ187" s="141"/>
      <c r="AK187" s="141"/>
      <c r="AL187" s="141"/>
    </row>
    <row r="188" spans="1:38" ht="14.5" x14ac:dyDescent="0.35">
      <c r="A188" s="375"/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343"/>
      <c r="AB188" s="343"/>
      <c r="AC188" s="343"/>
      <c r="AD188" s="343"/>
      <c r="AE188" s="343"/>
      <c r="AF188" s="141"/>
      <c r="AG188" s="141"/>
      <c r="AH188" s="141"/>
      <c r="AI188" s="141"/>
      <c r="AJ188" s="141"/>
      <c r="AK188" s="141"/>
      <c r="AL188" s="141"/>
    </row>
    <row r="189" spans="1:38" ht="14.5" x14ac:dyDescent="0.35">
      <c r="A189" s="375"/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141"/>
      <c r="AG189" s="141"/>
      <c r="AH189" s="141"/>
      <c r="AI189" s="141"/>
      <c r="AJ189" s="141"/>
      <c r="AK189" s="141"/>
      <c r="AL189" s="141"/>
    </row>
    <row r="190" spans="1:38" ht="14.5" x14ac:dyDescent="0.35">
      <c r="A190" s="375"/>
      <c r="B190" s="343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141"/>
      <c r="AG190" s="141"/>
      <c r="AH190" s="141"/>
      <c r="AI190" s="141"/>
      <c r="AJ190" s="141"/>
      <c r="AK190" s="141"/>
      <c r="AL190" s="141"/>
    </row>
    <row r="191" spans="1:38" ht="14.5" x14ac:dyDescent="0.35">
      <c r="A191" s="375"/>
      <c r="B191" s="343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141"/>
      <c r="AG191" s="141"/>
      <c r="AH191" s="141"/>
      <c r="AI191" s="141"/>
      <c r="AJ191" s="141"/>
      <c r="AK191" s="141"/>
      <c r="AL191" s="141"/>
    </row>
    <row r="192" spans="1:38" ht="14.5" x14ac:dyDescent="0.35">
      <c r="A192" s="375"/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343"/>
      <c r="AB192" s="343"/>
      <c r="AC192" s="343"/>
      <c r="AD192" s="343"/>
      <c r="AE192" s="343"/>
      <c r="AF192" s="141"/>
      <c r="AG192" s="141"/>
      <c r="AH192" s="141"/>
      <c r="AI192" s="141"/>
      <c r="AJ192" s="141"/>
      <c r="AK192" s="141"/>
      <c r="AL192" s="141"/>
    </row>
    <row r="193" spans="1:38" ht="14.5" x14ac:dyDescent="0.35">
      <c r="A193" s="375"/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343"/>
      <c r="AB193" s="343"/>
      <c r="AC193" s="343"/>
      <c r="AD193" s="343"/>
      <c r="AE193" s="343"/>
      <c r="AF193" s="141"/>
      <c r="AG193" s="141"/>
      <c r="AH193" s="141"/>
      <c r="AI193" s="141"/>
      <c r="AJ193" s="141"/>
      <c r="AK193" s="141"/>
      <c r="AL193" s="141"/>
    </row>
    <row r="194" spans="1:38" ht="14.5" x14ac:dyDescent="0.35">
      <c r="A194" s="375"/>
      <c r="B194" s="343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343"/>
      <c r="AB194" s="343"/>
      <c r="AC194" s="343"/>
      <c r="AD194" s="343"/>
      <c r="AE194" s="343"/>
      <c r="AF194" s="141"/>
      <c r="AG194" s="141"/>
      <c r="AH194" s="141"/>
      <c r="AI194" s="141"/>
      <c r="AJ194" s="141"/>
      <c r="AK194" s="141"/>
      <c r="AL194" s="141"/>
    </row>
    <row r="195" spans="1:38" ht="14.5" x14ac:dyDescent="0.35">
      <c r="A195" s="375"/>
      <c r="B195" s="343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3"/>
      <c r="W195" s="343"/>
      <c r="X195" s="343"/>
      <c r="Y195" s="343"/>
      <c r="Z195" s="343"/>
      <c r="AA195" s="343"/>
      <c r="AB195" s="343"/>
      <c r="AC195" s="343"/>
      <c r="AD195" s="343"/>
      <c r="AE195" s="343"/>
      <c r="AF195" s="141"/>
      <c r="AG195" s="141"/>
      <c r="AH195" s="141"/>
      <c r="AI195" s="141"/>
      <c r="AJ195" s="141"/>
      <c r="AK195" s="141"/>
      <c r="AL195" s="141"/>
    </row>
    <row r="196" spans="1:38" ht="14.5" x14ac:dyDescent="0.35">
      <c r="A196" s="375"/>
      <c r="B196" s="343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141"/>
      <c r="AG196" s="141"/>
      <c r="AH196" s="141"/>
      <c r="AI196" s="141"/>
      <c r="AJ196" s="141"/>
      <c r="AK196" s="141"/>
      <c r="AL196" s="141"/>
    </row>
    <row r="197" spans="1:38" ht="14.5" x14ac:dyDescent="0.35">
      <c r="A197" s="375"/>
      <c r="B197" s="343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3"/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141"/>
      <c r="AG197" s="141"/>
      <c r="AH197" s="141"/>
      <c r="AI197" s="141"/>
      <c r="AJ197" s="141"/>
      <c r="AK197" s="141"/>
      <c r="AL197" s="141"/>
    </row>
    <row r="198" spans="1:38" ht="14.5" x14ac:dyDescent="0.35">
      <c r="A198" s="375"/>
      <c r="B198" s="343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141"/>
      <c r="AG198" s="141"/>
      <c r="AH198" s="141"/>
      <c r="AI198" s="141"/>
      <c r="AJ198" s="141"/>
      <c r="AK198" s="141"/>
      <c r="AL198" s="141"/>
    </row>
    <row r="199" spans="1:38" ht="14.5" x14ac:dyDescent="0.35">
      <c r="A199" s="375"/>
      <c r="B199" s="343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141"/>
      <c r="AG199" s="141"/>
      <c r="AH199" s="141"/>
      <c r="AI199" s="141"/>
      <c r="AJ199" s="141"/>
      <c r="AK199" s="141"/>
      <c r="AL199" s="141"/>
    </row>
    <row r="200" spans="1:38" ht="14.5" x14ac:dyDescent="0.35">
      <c r="A200" s="375"/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141"/>
      <c r="AG200" s="141"/>
      <c r="AH200" s="141"/>
      <c r="AI200" s="141"/>
      <c r="AJ200" s="141"/>
      <c r="AK200" s="141"/>
      <c r="AL200" s="141"/>
    </row>
    <row r="201" spans="1:38" ht="14.5" x14ac:dyDescent="0.35">
      <c r="A201" s="375"/>
      <c r="B201" s="343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141"/>
      <c r="AG201" s="141"/>
      <c r="AH201" s="141"/>
      <c r="AI201" s="141"/>
      <c r="AJ201" s="141"/>
      <c r="AK201" s="141"/>
      <c r="AL201" s="141"/>
    </row>
    <row r="202" spans="1:38" ht="14.5" x14ac:dyDescent="0.35">
      <c r="A202" s="375"/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343"/>
      <c r="AB202" s="343"/>
      <c r="AC202" s="343"/>
      <c r="AD202" s="343"/>
      <c r="AE202" s="343"/>
      <c r="AF202" s="141"/>
      <c r="AG202" s="141"/>
      <c r="AH202" s="141"/>
      <c r="AI202" s="141"/>
      <c r="AJ202" s="141"/>
      <c r="AK202" s="141"/>
      <c r="AL202" s="141"/>
    </row>
    <row r="203" spans="1:38" ht="14.5" x14ac:dyDescent="0.35">
      <c r="A203" s="375"/>
      <c r="B203" s="343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141"/>
      <c r="AG203" s="141"/>
      <c r="AH203" s="141"/>
      <c r="AI203" s="141"/>
      <c r="AJ203" s="141"/>
      <c r="AK203" s="141"/>
      <c r="AL203" s="141"/>
    </row>
    <row r="204" spans="1:38" ht="14.5" x14ac:dyDescent="0.35">
      <c r="A204" s="375"/>
      <c r="B204" s="343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3"/>
      <c r="W204" s="343"/>
      <c r="X204" s="343"/>
      <c r="Y204" s="343"/>
      <c r="Z204" s="343"/>
      <c r="AA204" s="343"/>
      <c r="AB204" s="343"/>
      <c r="AC204" s="343"/>
      <c r="AD204" s="343"/>
      <c r="AE204" s="343"/>
      <c r="AF204" s="141"/>
      <c r="AG204" s="141"/>
      <c r="AH204" s="141"/>
      <c r="AI204" s="141"/>
      <c r="AJ204" s="141"/>
      <c r="AK204" s="141"/>
      <c r="AL204" s="141"/>
    </row>
    <row r="205" spans="1:38" ht="14.5" x14ac:dyDescent="0.35">
      <c r="A205" s="375"/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141"/>
      <c r="AG205" s="141"/>
      <c r="AH205" s="141"/>
      <c r="AI205" s="141"/>
      <c r="AJ205" s="141"/>
      <c r="AK205" s="141"/>
      <c r="AL205" s="141"/>
    </row>
    <row r="206" spans="1:38" ht="14.5" x14ac:dyDescent="0.35">
      <c r="A206" s="375"/>
      <c r="B206" s="343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141"/>
      <c r="AG206" s="141"/>
      <c r="AH206" s="141"/>
      <c r="AI206" s="141"/>
      <c r="AJ206" s="141"/>
      <c r="AK206" s="141"/>
      <c r="AL206" s="141"/>
    </row>
    <row r="207" spans="1:38" ht="14.5" x14ac:dyDescent="0.35">
      <c r="A207" s="375"/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141"/>
      <c r="AG207" s="141"/>
      <c r="AH207" s="141"/>
      <c r="AI207" s="141"/>
      <c r="AJ207" s="141"/>
      <c r="AK207" s="141"/>
      <c r="AL207" s="141"/>
    </row>
    <row r="208" spans="1:38" ht="14.5" x14ac:dyDescent="0.35">
      <c r="A208" s="375"/>
      <c r="B208" s="343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141"/>
      <c r="AG208" s="141"/>
      <c r="AH208" s="141"/>
      <c r="AI208" s="141"/>
      <c r="AJ208" s="141"/>
      <c r="AK208" s="141"/>
      <c r="AL208" s="141"/>
    </row>
    <row r="209" spans="1:38" ht="14.5" x14ac:dyDescent="0.35">
      <c r="A209" s="375"/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343"/>
      <c r="AB209" s="343"/>
      <c r="AC209" s="343"/>
      <c r="AD209" s="343"/>
      <c r="AE209" s="343"/>
      <c r="AF209" s="141"/>
      <c r="AG209" s="141"/>
      <c r="AH209" s="141"/>
      <c r="AI209" s="141"/>
      <c r="AJ209" s="141"/>
      <c r="AK209" s="141"/>
      <c r="AL209" s="141"/>
    </row>
    <row r="210" spans="1:38" ht="14.5" x14ac:dyDescent="0.35">
      <c r="A210" s="375"/>
      <c r="B210" s="343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141"/>
      <c r="AG210" s="141"/>
      <c r="AH210" s="141"/>
      <c r="AI210" s="141"/>
      <c r="AJ210" s="141"/>
      <c r="AK210" s="141"/>
      <c r="AL210" s="141"/>
    </row>
    <row r="211" spans="1:38" ht="14.5" x14ac:dyDescent="0.35">
      <c r="A211" s="375"/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343"/>
      <c r="AB211" s="343"/>
      <c r="AC211" s="343"/>
      <c r="AD211" s="343"/>
      <c r="AE211" s="343"/>
      <c r="AF211" s="141"/>
      <c r="AG211" s="141"/>
      <c r="AH211" s="141"/>
      <c r="AI211" s="141"/>
      <c r="AJ211" s="141"/>
      <c r="AK211" s="141"/>
      <c r="AL211" s="141"/>
    </row>
    <row r="212" spans="1:38" ht="14.5" x14ac:dyDescent="0.35">
      <c r="A212" s="375"/>
      <c r="B212" s="343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3"/>
      <c r="W212" s="343"/>
      <c r="X212" s="343"/>
      <c r="Y212" s="343"/>
      <c r="Z212" s="343"/>
      <c r="AA212" s="343"/>
      <c r="AB212" s="343"/>
      <c r="AC212" s="343"/>
      <c r="AD212" s="343"/>
      <c r="AE212" s="343"/>
      <c r="AF212" s="141"/>
      <c r="AG212" s="141"/>
      <c r="AH212" s="141"/>
      <c r="AI212" s="141"/>
      <c r="AJ212" s="141"/>
      <c r="AK212" s="141"/>
      <c r="AL212" s="141"/>
    </row>
    <row r="213" spans="1:38" ht="14.5" x14ac:dyDescent="0.35">
      <c r="A213" s="375"/>
      <c r="B213" s="343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3"/>
      <c r="W213" s="343"/>
      <c r="X213" s="343"/>
      <c r="Y213" s="343"/>
      <c r="Z213" s="343"/>
      <c r="AA213" s="343"/>
      <c r="AB213" s="343"/>
      <c r="AC213" s="343"/>
      <c r="AD213" s="343"/>
      <c r="AE213" s="343"/>
      <c r="AF213" s="141"/>
      <c r="AG213" s="141"/>
      <c r="AH213" s="141"/>
      <c r="AI213" s="141"/>
      <c r="AJ213" s="141"/>
      <c r="AK213" s="141"/>
      <c r="AL213" s="141"/>
    </row>
    <row r="214" spans="1:38" ht="14.5" x14ac:dyDescent="0.35">
      <c r="A214" s="375"/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343"/>
      <c r="AB214" s="343"/>
      <c r="AC214" s="343"/>
      <c r="AD214" s="343"/>
      <c r="AE214" s="343"/>
      <c r="AF214" s="141"/>
      <c r="AG214" s="141"/>
      <c r="AH214" s="141"/>
      <c r="AI214" s="141"/>
      <c r="AJ214" s="141"/>
      <c r="AK214" s="141"/>
      <c r="AL214" s="141"/>
    </row>
    <row r="215" spans="1:38" ht="14.5" x14ac:dyDescent="0.35">
      <c r="A215" s="375"/>
      <c r="B215" s="343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  <c r="AB215" s="343"/>
      <c r="AC215" s="343"/>
      <c r="AD215" s="343"/>
      <c r="AE215" s="343"/>
      <c r="AF215" s="141"/>
      <c r="AG215" s="141"/>
      <c r="AH215" s="141"/>
      <c r="AI215" s="141"/>
      <c r="AJ215" s="141"/>
      <c r="AK215" s="141"/>
      <c r="AL215" s="141"/>
    </row>
    <row r="216" spans="1:38" ht="14.5" x14ac:dyDescent="0.35">
      <c r="A216" s="375"/>
      <c r="B216" s="343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  <c r="AB216" s="343"/>
      <c r="AC216" s="343"/>
      <c r="AD216" s="343"/>
      <c r="AE216" s="343"/>
      <c r="AF216" s="141"/>
      <c r="AG216" s="141"/>
      <c r="AH216" s="141"/>
      <c r="AI216" s="141"/>
      <c r="AJ216" s="141"/>
      <c r="AK216" s="141"/>
      <c r="AL216" s="141"/>
    </row>
    <row r="217" spans="1:38" ht="14.5" x14ac:dyDescent="0.35">
      <c r="A217" s="375"/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343"/>
      <c r="AB217" s="343"/>
      <c r="AC217" s="343"/>
      <c r="AD217" s="343"/>
      <c r="AE217" s="343"/>
      <c r="AF217" s="141"/>
      <c r="AG217" s="141"/>
      <c r="AH217" s="141"/>
      <c r="AI217" s="141"/>
      <c r="AJ217" s="141"/>
      <c r="AK217" s="141"/>
      <c r="AL217" s="141"/>
    </row>
    <row r="218" spans="1:38" ht="14.5" x14ac:dyDescent="0.35">
      <c r="A218" s="375"/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343"/>
      <c r="AB218" s="343"/>
      <c r="AC218" s="343"/>
      <c r="AD218" s="343"/>
      <c r="AE218" s="343"/>
      <c r="AF218" s="141"/>
      <c r="AG218" s="141"/>
      <c r="AH218" s="141"/>
      <c r="AI218" s="141"/>
      <c r="AJ218" s="141"/>
      <c r="AK218" s="141"/>
      <c r="AL218" s="141"/>
    </row>
    <row r="219" spans="1:38" ht="14.5" x14ac:dyDescent="0.35">
      <c r="A219" s="375"/>
      <c r="B219" s="343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3"/>
      <c r="W219" s="343"/>
      <c r="X219" s="343"/>
      <c r="Y219" s="343"/>
      <c r="Z219" s="343"/>
      <c r="AA219" s="343"/>
      <c r="AB219" s="343"/>
      <c r="AC219" s="343"/>
      <c r="AD219" s="343"/>
      <c r="AE219" s="343"/>
      <c r="AF219" s="141"/>
      <c r="AG219" s="141"/>
      <c r="AH219" s="141"/>
      <c r="AI219" s="141"/>
      <c r="AJ219" s="141"/>
      <c r="AK219" s="141"/>
      <c r="AL219" s="141"/>
    </row>
    <row r="220" spans="1:38" ht="14.5" x14ac:dyDescent="0.35">
      <c r="A220" s="375"/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141"/>
      <c r="AG220" s="141"/>
      <c r="AH220" s="141"/>
      <c r="AI220" s="141"/>
      <c r="AJ220" s="141"/>
      <c r="AK220" s="141"/>
      <c r="AL220" s="141"/>
    </row>
    <row r="221" spans="1:38" ht="14.5" x14ac:dyDescent="0.35">
      <c r="A221" s="375"/>
      <c r="B221" s="343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141"/>
      <c r="AG221" s="141"/>
      <c r="AH221" s="141"/>
      <c r="AI221" s="141"/>
      <c r="AJ221" s="141"/>
      <c r="AK221" s="141"/>
      <c r="AL221" s="141"/>
    </row>
    <row r="222" spans="1:38" ht="14.5" x14ac:dyDescent="0.35">
      <c r="A222" s="375"/>
      <c r="B222" s="343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343"/>
      <c r="AB222" s="343"/>
      <c r="AC222" s="343"/>
      <c r="AD222" s="343"/>
      <c r="AE222" s="343"/>
      <c r="AF222" s="141"/>
      <c r="AG222" s="141"/>
      <c r="AH222" s="141"/>
      <c r="AI222" s="141"/>
      <c r="AJ222" s="141"/>
      <c r="AK222" s="141"/>
      <c r="AL222" s="141"/>
    </row>
    <row r="223" spans="1:38" ht="14.5" x14ac:dyDescent="0.35">
      <c r="A223" s="375"/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343"/>
      <c r="AB223" s="343"/>
      <c r="AC223" s="343"/>
      <c r="AD223" s="343"/>
      <c r="AE223" s="343"/>
      <c r="AF223" s="141"/>
      <c r="AG223" s="141"/>
      <c r="AH223" s="141"/>
      <c r="AI223" s="141"/>
      <c r="AJ223" s="141"/>
      <c r="AK223" s="141"/>
      <c r="AL223" s="141"/>
    </row>
    <row r="224" spans="1:38" ht="14.5" x14ac:dyDescent="0.35">
      <c r="A224" s="375"/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343"/>
      <c r="AB224" s="343"/>
      <c r="AC224" s="343"/>
      <c r="AD224" s="343"/>
      <c r="AE224" s="343"/>
      <c r="AF224" s="141"/>
      <c r="AG224" s="141"/>
      <c r="AH224" s="141"/>
      <c r="AI224" s="141"/>
      <c r="AJ224" s="141"/>
      <c r="AK224" s="141"/>
      <c r="AL224" s="141"/>
    </row>
    <row r="225" spans="1:38" ht="14.5" x14ac:dyDescent="0.35">
      <c r="A225" s="375"/>
      <c r="B225" s="343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3"/>
      <c r="W225" s="343"/>
      <c r="X225" s="343"/>
      <c r="Y225" s="343"/>
      <c r="Z225" s="343"/>
      <c r="AA225" s="343"/>
      <c r="AB225" s="343"/>
      <c r="AC225" s="343"/>
      <c r="AD225" s="343"/>
      <c r="AE225" s="343"/>
      <c r="AF225" s="141"/>
      <c r="AG225" s="141"/>
      <c r="AH225" s="141"/>
      <c r="AI225" s="141"/>
      <c r="AJ225" s="141"/>
      <c r="AK225" s="141"/>
      <c r="AL225" s="141"/>
    </row>
    <row r="226" spans="1:38" ht="14.5" x14ac:dyDescent="0.35">
      <c r="A226" s="375"/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343"/>
      <c r="AB226" s="343"/>
      <c r="AC226" s="343"/>
      <c r="AD226" s="343"/>
      <c r="AE226" s="343"/>
      <c r="AF226" s="141"/>
      <c r="AG226" s="141"/>
      <c r="AH226" s="141"/>
      <c r="AI226" s="141"/>
      <c r="AJ226" s="141"/>
      <c r="AK226" s="141"/>
      <c r="AL226" s="141"/>
    </row>
    <row r="227" spans="1:38" ht="14.5" x14ac:dyDescent="0.35">
      <c r="A227" s="375"/>
      <c r="B227" s="343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141"/>
      <c r="AG227" s="141"/>
      <c r="AH227" s="141"/>
      <c r="AI227" s="141"/>
      <c r="AJ227" s="141"/>
      <c r="AK227" s="141"/>
      <c r="AL227" s="141"/>
    </row>
    <row r="228" spans="1:38" ht="14.5" x14ac:dyDescent="0.35">
      <c r="A228" s="375"/>
      <c r="B228" s="343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141"/>
      <c r="AG228" s="141"/>
      <c r="AH228" s="141"/>
      <c r="AI228" s="141"/>
      <c r="AJ228" s="141"/>
      <c r="AK228" s="141"/>
      <c r="AL228" s="141"/>
    </row>
    <row r="229" spans="1:38" ht="14.5" x14ac:dyDescent="0.35">
      <c r="A229" s="375"/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141"/>
      <c r="AG229" s="141"/>
      <c r="AH229" s="141"/>
      <c r="AI229" s="141"/>
      <c r="AJ229" s="141"/>
      <c r="AK229" s="141"/>
      <c r="AL229" s="141"/>
    </row>
    <row r="230" spans="1:38" ht="14.5" x14ac:dyDescent="0.35">
      <c r="A230" s="375"/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141"/>
      <c r="AG230" s="141"/>
      <c r="AH230" s="141"/>
      <c r="AI230" s="141"/>
      <c r="AJ230" s="141"/>
      <c r="AK230" s="141"/>
      <c r="AL230" s="141"/>
    </row>
    <row r="231" spans="1:38" ht="14.5" x14ac:dyDescent="0.35">
      <c r="A231" s="375"/>
      <c r="B231" s="343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343"/>
      <c r="AB231" s="343"/>
      <c r="AC231" s="343"/>
      <c r="AD231" s="343"/>
      <c r="AE231" s="343"/>
      <c r="AF231" s="141"/>
      <c r="AG231" s="141"/>
      <c r="AH231" s="141"/>
      <c r="AI231" s="141"/>
      <c r="AJ231" s="141"/>
      <c r="AK231" s="141"/>
      <c r="AL231" s="141"/>
    </row>
    <row r="232" spans="1:38" ht="14.5" x14ac:dyDescent="0.35">
      <c r="A232" s="375"/>
      <c r="B232" s="343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43"/>
      <c r="AC232" s="343"/>
      <c r="AD232" s="343"/>
      <c r="AE232" s="343"/>
      <c r="AF232" s="141"/>
      <c r="AG232" s="141"/>
      <c r="AH232" s="141"/>
      <c r="AI232" s="141"/>
      <c r="AJ232" s="141"/>
      <c r="AK232" s="141"/>
      <c r="AL232" s="141"/>
    </row>
    <row r="233" spans="1:38" ht="14.5" x14ac:dyDescent="0.35">
      <c r="A233" s="375"/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343"/>
      <c r="AB233" s="343"/>
      <c r="AC233" s="343"/>
      <c r="AD233" s="343"/>
      <c r="AE233" s="343"/>
      <c r="AF233" s="141"/>
      <c r="AG233" s="141"/>
      <c r="AH233" s="141"/>
      <c r="AI233" s="141"/>
      <c r="AJ233" s="141"/>
      <c r="AK233" s="141"/>
      <c r="AL233" s="141"/>
    </row>
    <row r="234" spans="1:38" ht="14.5" x14ac:dyDescent="0.35">
      <c r="A234" s="375"/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343"/>
      <c r="AB234" s="343"/>
      <c r="AC234" s="343"/>
      <c r="AD234" s="343"/>
      <c r="AE234" s="343"/>
      <c r="AF234" s="141"/>
      <c r="AG234" s="141"/>
      <c r="AH234" s="141"/>
      <c r="AI234" s="141"/>
      <c r="AJ234" s="141"/>
      <c r="AK234" s="141"/>
      <c r="AL234" s="141"/>
    </row>
    <row r="235" spans="1:38" ht="14.5" x14ac:dyDescent="0.35">
      <c r="A235" s="375"/>
      <c r="B235" s="343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141"/>
      <c r="AG235" s="141"/>
      <c r="AH235" s="141"/>
      <c r="AI235" s="141"/>
      <c r="AJ235" s="141"/>
      <c r="AK235" s="141"/>
      <c r="AL235" s="141"/>
    </row>
    <row r="236" spans="1:38" ht="14.5" x14ac:dyDescent="0.35">
      <c r="A236" s="375"/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141"/>
      <c r="AG236" s="141"/>
      <c r="AH236" s="141"/>
      <c r="AI236" s="141"/>
      <c r="AJ236" s="141"/>
      <c r="AK236" s="141"/>
      <c r="AL236" s="141"/>
    </row>
    <row r="237" spans="1:38" ht="14.5" x14ac:dyDescent="0.35">
      <c r="A237" s="375"/>
      <c r="B237" s="343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141"/>
      <c r="AG237" s="141"/>
      <c r="AH237" s="141"/>
      <c r="AI237" s="141"/>
      <c r="AJ237" s="141"/>
      <c r="AK237" s="141"/>
      <c r="AL237" s="141"/>
    </row>
    <row r="238" spans="1:38" ht="14.5" x14ac:dyDescent="0.35">
      <c r="A238" s="375"/>
      <c r="B238" s="343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141"/>
      <c r="AG238" s="141"/>
      <c r="AH238" s="141"/>
      <c r="AI238" s="141"/>
      <c r="AJ238" s="141"/>
      <c r="AK238" s="141"/>
      <c r="AL238" s="141"/>
    </row>
    <row r="239" spans="1:38" ht="14.5" x14ac:dyDescent="0.35">
      <c r="A239" s="375"/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343"/>
      <c r="AB239" s="343"/>
      <c r="AC239" s="343"/>
      <c r="AD239" s="343"/>
      <c r="AE239" s="343"/>
      <c r="AF239" s="141"/>
      <c r="AG239" s="141"/>
      <c r="AH239" s="141"/>
      <c r="AI239" s="141"/>
      <c r="AJ239" s="141"/>
      <c r="AK239" s="141"/>
      <c r="AL239" s="141"/>
    </row>
    <row r="240" spans="1:38" ht="14.5" x14ac:dyDescent="0.35">
      <c r="A240" s="375"/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343"/>
      <c r="AB240" s="343"/>
      <c r="AC240" s="343"/>
      <c r="AD240" s="343"/>
      <c r="AE240" s="343"/>
      <c r="AF240" s="141"/>
      <c r="AG240" s="141"/>
      <c r="AH240" s="141"/>
      <c r="AI240" s="141"/>
      <c r="AJ240" s="141"/>
      <c r="AK240" s="141"/>
      <c r="AL240" s="141"/>
    </row>
    <row r="241" spans="1:38" ht="14.5" x14ac:dyDescent="0.35">
      <c r="A241" s="375"/>
      <c r="B241" s="343"/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  <c r="O241" s="343"/>
      <c r="P241" s="343"/>
      <c r="Q241" s="343"/>
      <c r="R241" s="343"/>
      <c r="S241" s="343"/>
      <c r="T241" s="343"/>
      <c r="U241" s="343"/>
      <c r="V241" s="343"/>
      <c r="W241" s="343"/>
      <c r="X241" s="343"/>
      <c r="Y241" s="343"/>
      <c r="Z241" s="343"/>
      <c r="AA241" s="343"/>
      <c r="AB241" s="343"/>
      <c r="AC241" s="343"/>
      <c r="AD241" s="343"/>
      <c r="AE241" s="343"/>
      <c r="AF241" s="141"/>
      <c r="AG241" s="141"/>
      <c r="AH241" s="141"/>
      <c r="AI241" s="141"/>
      <c r="AJ241" s="141"/>
      <c r="AK241" s="141"/>
      <c r="AL241" s="141"/>
    </row>
    <row r="242" spans="1:38" ht="14.5" x14ac:dyDescent="0.35">
      <c r="A242" s="375"/>
      <c r="B242" s="343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3"/>
      <c r="R242" s="343"/>
      <c r="S242" s="343"/>
      <c r="T242" s="343"/>
      <c r="U242" s="343"/>
      <c r="V242" s="343"/>
      <c r="W242" s="343"/>
      <c r="X242" s="343"/>
      <c r="Y242" s="343"/>
      <c r="Z242" s="343"/>
      <c r="AA242" s="343"/>
      <c r="AB242" s="343"/>
      <c r="AC242" s="343"/>
      <c r="AD242" s="343"/>
      <c r="AE242" s="343"/>
      <c r="AF242" s="141"/>
      <c r="AG242" s="141"/>
      <c r="AH242" s="141"/>
      <c r="AI242" s="141"/>
      <c r="AJ242" s="141"/>
      <c r="AK242" s="141"/>
      <c r="AL242" s="141"/>
    </row>
    <row r="243" spans="1:38" ht="14.5" x14ac:dyDescent="0.35">
      <c r="A243" s="375"/>
      <c r="B243" s="343"/>
      <c r="C243" s="343"/>
      <c r="D243" s="343"/>
      <c r="E243" s="343"/>
      <c r="F243" s="343"/>
      <c r="G243" s="343"/>
      <c r="H243" s="343"/>
      <c r="I243" s="343"/>
      <c r="J243" s="343"/>
      <c r="K243" s="343"/>
      <c r="L243" s="343"/>
      <c r="M243" s="343"/>
      <c r="N243" s="343"/>
      <c r="O243" s="343"/>
      <c r="P243" s="343"/>
      <c r="Q243" s="343"/>
      <c r="R243" s="343"/>
      <c r="S243" s="343"/>
      <c r="T243" s="343"/>
      <c r="U243" s="343"/>
      <c r="V243" s="343"/>
      <c r="W243" s="343"/>
      <c r="X243" s="343"/>
      <c r="Y243" s="343"/>
      <c r="Z243" s="343"/>
      <c r="AA243" s="343"/>
      <c r="AB243" s="343"/>
      <c r="AC243" s="343"/>
      <c r="AD243" s="343"/>
      <c r="AE243" s="343"/>
      <c r="AF243" s="141"/>
      <c r="AG243" s="141"/>
      <c r="AH243" s="141"/>
      <c r="AI243" s="141"/>
      <c r="AJ243" s="141"/>
      <c r="AK243" s="141"/>
      <c r="AL243" s="141"/>
    </row>
    <row r="244" spans="1:38" ht="14.5" x14ac:dyDescent="0.35">
      <c r="A244" s="375"/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3"/>
      <c r="R244" s="343"/>
      <c r="S244" s="343"/>
      <c r="T244" s="343"/>
      <c r="U244" s="343"/>
      <c r="V244" s="343"/>
      <c r="W244" s="343"/>
      <c r="X244" s="343"/>
      <c r="Y244" s="343"/>
      <c r="Z244" s="343"/>
      <c r="AA244" s="343"/>
      <c r="AB244" s="343"/>
      <c r="AC244" s="343"/>
      <c r="AD244" s="343"/>
      <c r="AE244" s="343"/>
      <c r="AF244" s="141"/>
      <c r="AG244" s="141"/>
      <c r="AH244" s="141"/>
      <c r="AI244" s="141"/>
      <c r="AJ244" s="141"/>
      <c r="AK244" s="141"/>
      <c r="AL244" s="141"/>
    </row>
    <row r="245" spans="1:38" ht="14.5" x14ac:dyDescent="0.35">
      <c r="A245" s="375"/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3"/>
      <c r="R245" s="343"/>
      <c r="S245" s="343"/>
      <c r="T245" s="343"/>
      <c r="U245" s="343"/>
      <c r="V245" s="343"/>
      <c r="W245" s="343"/>
      <c r="X245" s="343"/>
      <c r="Y245" s="343"/>
      <c r="Z245" s="343"/>
      <c r="AA245" s="343"/>
      <c r="AB245" s="343"/>
      <c r="AC245" s="343"/>
      <c r="AD245" s="343"/>
      <c r="AE245" s="343"/>
      <c r="AF245" s="141"/>
      <c r="AG245" s="141"/>
      <c r="AH245" s="141"/>
      <c r="AI245" s="141"/>
      <c r="AJ245" s="141"/>
      <c r="AK245" s="141"/>
      <c r="AL245" s="141"/>
    </row>
    <row r="246" spans="1:38" ht="14.5" x14ac:dyDescent="0.35">
      <c r="A246" s="375"/>
      <c r="B246" s="343"/>
      <c r="C246" s="343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  <c r="O246" s="343"/>
      <c r="P246" s="343"/>
      <c r="Q246" s="343"/>
      <c r="R246" s="343"/>
      <c r="S246" s="343"/>
      <c r="T246" s="343"/>
      <c r="U246" s="343"/>
      <c r="V246" s="343"/>
      <c r="W246" s="343"/>
      <c r="X246" s="343"/>
      <c r="Y246" s="343"/>
      <c r="Z246" s="343"/>
      <c r="AA246" s="343"/>
      <c r="AB246" s="343"/>
      <c r="AC246" s="343"/>
      <c r="AD246" s="343"/>
      <c r="AE246" s="343"/>
      <c r="AF246" s="141"/>
      <c r="AG246" s="141"/>
      <c r="AH246" s="141"/>
      <c r="AI246" s="141"/>
      <c r="AJ246" s="141"/>
      <c r="AK246" s="141"/>
      <c r="AL246" s="141"/>
    </row>
    <row r="247" spans="1:38" ht="14.5" x14ac:dyDescent="0.35">
      <c r="A247" s="375"/>
      <c r="B247" s="343"/>
      <c r="C247" s="343"/>
      <c r="D247" s="343"/>
      <c r="E247" s="343"/>
      <c r="F247" s="343"/>
      <c r="G247" s="343"/>
      <c r="H247" s="343"/>
      <c r="I247" s="343"/>
      <c r="J247" s="343"/>
      <c r="K247" s="343"/>
      <c r="L247" s="343"/>
      <c r="M247" s="343"/>
      <c r="N247" s="343"/>
      <c r="O247" s="343"/>
      <c r="P247" s="343"/>
      <c r="Q247" s="343"/>
      <c r="R247" s="343"/>
      <c r="S247" s="343"/>
      <c r="T247" s="343"/>
      <c r="U247" s="343"/>
      <c r="V247" s="343"/>
      <c r="W247" s="343"/>
      <c r="X247" s="343"/>
      <c r="Y247" s="343"/>
      <c r="Z247" s="343"/>
      <c r="AA247" s="343"/>
      <c r="AB247" s="343"/>
      <c r="AC247" s="343"/>
      <c r="AD247" s="343"/>
      <c r="AE247" s="343"/>
      <c r="AF247" s="141"/>
      <c r="AG247" s="141"/>
      <c r="AH247" s="141"/>
      <c r="AI247" s="141"/>
      <c r="AJ247" s="141"/>
      <c r="AK247" s="141"/>
      <c r="AL247" s="141"/>
    </row>
    <row r="248" spans="1:38" ht="14.5" x14ac:dyDescent="0.35">
      <c r="A248" s="375"/>
      <c r="B248" s="343"/>
      <c r="C248" s="343"/>
      <c r="D248" s="343"/>
      <c r="E248" s="343"/>
      <c r="F248" s="343"/>
      <c r="G248" s="343"/>
      <c r="H248" s="343"/>
      <c r="I248" s="343"/>
      <c r="J248" s="343"/>
      <c r="K248" s="343"/>
      <c r="L248" s="343"/>
      <c r="M248" s="343"/>
      <c r="N248" s="343"/>
      <c r="O248" s="343"/>
      <c r="P248" s="343"/>
      <c r="Q248" s="343"/>
      <c r="R248" s="343"/>
      <c r="S248" s="343"/>
      <c r="T248" s="343"/>
      <c r="U248" s="343"/>
      <c r="V248" s="343"/>
      <c r="W248" s="343"/>
      <c r="X248" s="343"/>
      <c r="Y248" s="343"/>
      <c r="Z248" s="343"/>
      <c r="AA248" s="343"/>
      <c r="AB248" s="343"/>
      <c r="AC248" s="343"/>
      <c r="AD248" s="343"/>
      <c r="AE248" s="343"/>
      <c r="AF248" s="141"/>
      <c r="AG248" s="141"/>
      <c r="AH248" s="141"/>
      <c r="AI248" s="141"/>
      <c r="AJ248" s="141"/>
      <c r="AK248" s="141"/>
      <c r="AL248" s="141"/>
    </row>
    <row r="249" spans="1:38" ht="14.5" x14ac:dyDescent="0.35">
      <c r="A249" s="373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  <c r="AL249" s="141"/>
    </row>
    <row r="250" spans="1:38" ht="14.5" x14ac:dyDescent="0.35">
      <c r="A250" s="373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  <c r="AJ250" s="141"/>
      <c r="AK250" s="141"/>
      <c r="AL250" s="141"/>
    </row>
    <row r="251" spans="1:38" ht="14.5" x14ac:dyDescent="0.35">
      <c r="A251" s="373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  <c r="AL251" s="141"/>
    </row>
    <row r="252" spans="1:38" ht="14.5" x14ac:dyDescent="0.35">
      <c r="A252" s="373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  <c r="AL252" s="141"/>
    </row>
    <row r="253" spans="1:38" ht="14.5" x14ac:dyDescent="0.35">
      <c r="A253" s="373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  <c r="AL253" s="141"/>
    </row>
    <row r="254" spans="1:38" ht="14.5" x14ac:dyDescent="0.35">
      <c r="A254" s="373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  <c r="AL254" s="141"/>
    </row>
    <row r="255" spans="1:38" ht="14.5" x14ac:dyDescent="0.35">
      <c r="A255" s="373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  <c r="AL255" s="141"/>
    </row>
    <row r="256" spans="1:38" ht="14.5" x14ac:dyDescent="0.35">
      <c r="A256" s="373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  <c r="AL256" s="141"/>
    </row>
    <row r="257" spans="1:38" ht="14.5" x14ac:dyDescent="0.35">
      <c r="A257" s="373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  <c r="AL257" s="141"/>
    </row>
    <row r="258" spans="1:38" ht="14.5" x14ac:dyDescent="0.35">
      <c r="A258" s="373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  <c r="AL258" s="141"/>
    </row>
    <row r="259" spans="1:38" ht="14.5" x14ac:dyDescent="0.35">
      <c r="A259" s="373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  <c r="AJ259" s="141"/>
      <c r="AK259" s="141"/>
      <c r="AL259" s="141"/>
    </row>
    <row r="260" spans="1:38" ht="14.5" x14ac:dyDescent="0.35">
      <c r="A260" s="373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  <c r="AL260" s="141"/>
    </row>
    <row r="261" spans="1:38" ht="14.5" x14ac:dyDescent="0.35">
      <c r="A261" s="373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  <c r="AL261" s="141"/>
    </row>
    <row r="262" spans="1:38" ht="14.5" x14ac:dyDescent="0.35">
      <c r="A262" s="373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  <c r="AL262" s="141"/>
    </row>
    <row r="263" spans="1:38" ht="14.5" x14ac:dyDescent="0.35">
      <c r="A263" s="373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  <c r="AL263" s="141"/>
    </row>
    <row r="264" spans="1:38" ht="14.5" x14ac:dyDescent="0.35">
      <c r="A264" s="373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  <c r="AL264" s="141"/>
    </row>
    <row r="265" spans="1:38" ht="14.5" x14ac:dyDescent="0.35">
      <c r="A265" s="373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  <c r="AL265" s="141"/>
    </row>
    <row r="266" spans="1:38" ht="14.5" x14ac:dyDescent="0.35">
      <c r="A266" s="373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  <c r="AL266" s="141"/>
    </row>
    <row r="267" spans="1:38" ht="14.5" x14ac:dyDescent="0.35">
      <c r="A267" s="373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  <c r="AL267" s="141"/>
    </row>
    <row r="268" spans="1:38" ht="14.5" x14ac:dyDescent="0.35">
      <c r="A268" s="373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  <c r="AL268" s="141"/>
    </row>
    <row r="269" spans="1:38" ht="14.5" x14ac:dyDescent="0.35">
      <c r="A269" s="373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  <c r="AL269" s="141"/>
    </row>
    <row r="270" spans="1:38" ht="14.5" x14ac:dyDescent="0.35">
      <c r="A270" s="373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  <c r="AL270" s="141"/>
    </row>
    <row r="271" spans="1:38" ht="14.5" x14ac:dyDescent="0.35">
      <c r="A271" s="373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  <c r="AL271" s="141"/>
    </row>
    <row r="272" spans="1:38" ht="14.5" x14ac:dyDescent="0.35">
      <c r="A272" s="373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  <c r="AL272" s="141"/>
    </row>
    <row r="273" spans="1:38" ht="14.5" x14ac:dyDescent="0.35">
      <c r="A273" s="373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  <c r="AL273" s="141"/>
    </row>
    <row r="274" spans="1:38" ht="14.5" x14ac:dyDescent="0.35">
      <c r="A274" s="373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  <c r="AL274" s="141"/>
    </row>
    <row r="275" spans="1:38" ht="14.5" x14ac:dyDescent="0.35">
      <c r="A275" s="373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  <c r="AL275" s="141"/>
    </row>
    <row r="276" spans="1:38" ht="14.5" x14ac:dyDescent="0.35">
      <c r="A276" s="373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  <c r="AL276" s="141"/>
    </row>
    <row r="277" spans="1:38" ht="14.5" x14ac:dyDescent="0.35">
      <c r="A277" s="373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  <c r="AL277" s="141"/>
    </row>
    <row r="278" spans="1:38" ht="14.5" x14ac:dyDescent="0.35">
      <c r="A278" s="373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  <c r="AL278" s="141"/>
    </row>
    <row r="279" spans="1:38" ht="14.5" x14ac:dyDescent="0.35">
      <c r="A279" s="373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  <c r="AL279" s="141"/>
    </row>
    <row r="280" spans="1:38" ht="14.5" x14ac:dyDescent="0.35">
      <c r="A280" s="373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  <c r="AL280" s="141"/>
    </row>
    <row r="281" spans="1:38" ht="14.5" x14ac:dyDescent="0.35">
      <c r="A281" s="373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  <c r="AL281" s="141"/>
    </row>
    <row r="282" spans="1:38" ht="14.5" x14ac:dyDescent="0.35">
      <c r="A282" s="373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  <c r="AL282" s="141"/>
    </row>
    <row r="283" spans="1:38" ht="14.5" x14ac:dyDescent="0.35">
      <c r="A283" s="373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  <c r="AL283" s="141"/>
    </row>
    <row r="284" spans="1:38" ht="14.5" x14ac:dyDescent="0.35">
      <c r="A284" s="373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  <c r="AL284" s="141"/>
    </row>
    <row r="285" spans="1:38" ht="14.5" x14ac:dyDescent="0.35">
      <c r="A285" s="373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  <c r="AL285" s="141"/>
    </row>
    <row r="286" spans="1:38" ht="14.5" x14ac:dyDescent="0.35">
      <c r="A286" s="373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  <c r="AL286" s="141"/>
    </row>
    <row r="287" spans="1:38" ht="14.5" x14ac:dyDescent="0.35">
      <c r="A287" s="373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  <c r="AL287" s="141"/>
    </row>
    <row r="288" spans="1:38" ht="14.5" x14ac:dyDescent="0.35">
      <c r="A288" s="373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  <c r="AL288" s="141"/>
    </row>
    <row r="289" spans="1:38" ht="14.5" x14ac:dyDescent="0.35">
      <c r="A289" s="373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  <c r="AL289" s="141"/>
    </row>
    <row r="290" spans="1:38" ht="14.5" x14ac:dyDescent="0.35">
      <c r="A290" s="373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  <c r="AL290" s="141"/>
    </row>
    <row r="291" spans="1:38" ht="14.5" x14ac:dyDescent="0.35">
      <c r="A291" s="373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  <c r="AL291" s="141"/>
    </row>
    <row r="292" spans="1:38" ht="14.5" x14ac:dyDescent="0.35">
      <c r="A292" s="373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  <c r="AL292" s="141"/>
    </row>
    <row r="293" spans="1:38" ht="14.5" x14ac:dyDescent="0.35">
      <c r="A293" s="373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  <c r="AL293" s="141"/>
    </row>
    <row r="294" spans="1:38" ht="14.5" x14ac:dyDescent="0.35">
      <c r="A294" s="373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  <c r="AL294" s="141"/>
    </row>
    <row r="295" spans="1:38" ht="14.5" x14ac:dyDescent="0.35">
      <c r="A295" s="373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  <c r="AL295" s="141"/>
    </row>
    <row r="296" spans="1:38" ht="14.5" x14ac:dyDescent="0.35">
      <c r="A296" s="373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  <c r="AL296" s="141"/>
    </row>
    <row r="297" spans="1:38" ht="14.5" x14ac:dyDescent="0.35">
      <c r="A297" s="373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  <c r="AL297" s="141"/>
    </row>
    <row r="298" spans="1:38" ht="14.5" x14ac:dyDescent="0.35">
      <c r="A298" s="373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  <c r="AL298" s="141"/>
    </row>
    <row r="299" spans="1:38" ht="14.5" x14ac:dyDescent="0.35">
      <c r="A299" s="373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  <c r="AL299" s="141"/>
    </row>
    <row r="300" spans="1:38" ht="14.5" x14ac:dyDescent="0.35">
      <c r="A300" s="373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  <c r="AL300" s="141"/>
    </row>
    <row r="301" spans="1:38" ht="14.5" x14ac:dyDescent="0.35">
      <c r="A301" s="373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  <c r="AL301" s="141"/>
    </row>
    <row r="302" spans="1:38" ht="14.5" x14ac:dyDescent="0.35">
      <c r="A302" s="373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  <c r="AL302" s="141"/>
    </row>
    <row r="303" spans="1:38" ht="14.5" x14ac:dyDescent="0.35">
      <c r="A303" s="373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  <c r="AL303" s="141"/>
    </row>
    <row r="304" spans="1:38" ht="14.5" x14ac:dyDescent="0.35">
      <c r="A304" s="373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  <c r="AL304" s="141"/>
    </row>
    <row r="305" spans="1:38" ht="14.5" x14ac:dyDescent="0.35">
      <c r="A305" s="373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  <c r="AL305" s="141"/>
    </row>
    <row r="306" spans="1:38" ht="14.5" x14ac:dyDescent="0.35">
      <c r="A306" s="373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  <c r="AL306" s="141"/>
    </row>
    <row r="307" spans="1:38" ht="14.5" x14ac:dyDescent="0.35">
      <c r="A307" s="373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  <c r="AL307" s="141"/>
    </row>
    <row r="308" spans="1:38" ht="14.5" x14ac:dyDescent="0.35">
      <c r="A308" s="373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  <c r="AL308" s="141"/>
    </row>
    <row r="309" spans="1:38" ht="14.5" x14ac:dyDescent="0.35">
      <c r="A309" s="373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  <c r="AL309" s="141"/>
    </row>
    <row r="310" spans="1:38" ht="14.5" x14ac:dyDescent="0.35">
      <c r="A310" s="373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</row>
    <row r="311" spans="1:38" ht="14.5" x14ac:dyDescent="0.35">
      <c r="A311" s="373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  <c r="AJ311" s="141"/>
      <c r="AK311" s="141"/>
      <c r="AL311" s="141"/>
    </row>
    <row r="312" spans="1:38" ht="14.5" x14ac:dyDescent="0.35">
      <c r="A312" s="373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  <c r="AL312" s="141"/>
    </row>
    <row r="313" spans="1:38" ht="14.5" x14ac:dyDescent="0.35">
      <c r="A313" s="373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/>
      <c r="AL313" s="141"/>
    </row>
    <row r="314" spans="1:38" ht="14.5" x14ac:dyDescent="0.35">
      <c r="A314" s="373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  <c r="AL314" s="141"/>
    </row>
    <row r="315" spans="1:38" ht="14.5" x14ac:dyDescent="0.35">
      <c r="A315" s="373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/>
      <c r="AL315" s="141"/>
    </row>
    <row r="316" spans="1:38" ht="14.5" x14ac:dyDescent="0.35">
      <c r="A316" s="373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  <c r="AL316" s="141"/>
    </row>
    <row r="317" spans="1:38" ht="14.5" x14ac:dyDescent="0.35">
      <c r="A317" s="373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  <c r="AJ317" s="141"/>
      <c r="AK317" s="141"/>
      <c r="AL317" s="141"/>
    </row>
    <row r="318" spans="1:38" ht="14.5" x14ac:dyDescent="0.35">
      <c r="A318" s="373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  <c r="AL318" s="141"/>
    </row>
    <row r="319" spans="1:38" ht="14.5" x14ac:dyDescent="0.35">
      <c r="A319" s="373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  <c r="AL319" s="141"/>
    </row>
    <row r="320" spans="1:38" ht="14.5" x14ac:dyDescent="0.35">
      <c r="A320" s="373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  <c r="AL320" s="141"/>
    </row>
    <row r="321" spans="1:38" ht="14.5" x14ac:dyDescent="0.35">
      <c r="A321" s="373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  <c r="AL321" s="141"/>
    </row>
    <row r="322" spans="1:38" ht="14.5" x14ac:dyDescent="0.35">
      <c r="A322" s="373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  <c r="AJ322" s="141"/>
      <c r="AK322" s="141"/>
      <c r="AL322" s="141"/>
    </row>
    <row r="323" spans="1:38" ht="14.5" x14ac:dyDescent="0.35">
      <c r="A323" s="373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  <c r="AJ323" s="141"/>
      <c r="AK323" s="141"/>
      <c r="AL323" s="141"/>
    </row>
    <row r="324" spans="1:38" ht="14.5" x14ac:dyDescent="0.35">
      <c r="A324" s="373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  <c r="AL324" s="141"/>
    </row>
    <row r="325" spans="1:38" ht="14.5" x14ac:dyDescent="0.35">
      <c r="A325" s="373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  <c r="AL325" s="141"/>
    </row>
    <row r="326" spans="1:38" ht="14.5" x14ac:dyDescent="0.35">
      <c r="A326" s="373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  <c r="AL326" s="141"/>
    </row>
    <row r="327" spans="1:38" ht="14.5" x14ac:dyDescent="0.35">
      <c r="A327" s="373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  <c r="AL327" s="141"/>
    </row>
    <row r="328" spans="1:38" ht="14.5" x14ac:dyDescent="0.35">
      <c r="A328" s="373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  <c r="AL328" s="141"/>
    </row>
    <row r="329" spans="1:38" ht="14.5" x14ac:dyDescent="0.35">
      <c r="A329" s="373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  <c r="AL329" s="141"/>
    </row>
    <row r="330" spans="1:38" ht="14.5" x14ac:dyDescent="0.35">
      <c r="A330" s="373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  <c r="AL330" s="141"/>
    </row>
    <row r="331" spans="1:38" ht="14.5" x14ac:dyDescent="0.35">
      <c r="A331" s="373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  <c r="AL331" s="141"/>
    </row>
    <row r="332" spans="1:38" ht="14.5" x14ac:dyDescent="0.35">
      <c r="A332" s="373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  <c r="AL332" s="141"/>
    </row>
    <row r="333" spans="1:38" ht="14.5" x14ac:dyDescent="0.35">
      <c r="A333" s="373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  <c r="AL333" s="141"/>
    </row>
    <row r="334" spans="1:38" ht="14.5" x14ac:dyDescent="0.35">
      <c r="A334" s="373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  <c r="AL334" s="141"/>
    </row>
    <row r="335" spans="1:38" ht="14.5" x14ac:dyDescent="0.35">
      <c r="A335" s="373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  <c r="AL335" s="141"/>
    </row>
    <row r="336" spans="1:38" ht="14.5" x14ac:dyDescent="0.35">
      <c r="A336" s="373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  <c r="AJ336" s="141"/>
      <c r="AK336" s="141"/>
      <c r="AL336" s="141"/>
    </row>
    <row r="337" spans="1:38" ht="14.5" x14ac:dyDescent="0.35">
      <c r="A337" s="373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  <c r="AL337" s="141"/>
    </row>
    <row r="338" spans="1:38" ht="14.5" x14ac:dyDescent="0.35">
      <c r="A338" s="373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  <c r="AL338" s="141"/>
    </row>
    <row r="339" spans="1:38" ht="14.5" x14ac:dyDescent="0.35">
      <c r="A339" s="373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  <c r="AL339" s="141"/>
    </row>
    <row r="340" spans="1:38" ht="14.5" x14ac:dyDescent="0.35">
      <c r="A340" s="373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  <c r="AL340" s="141"/>
    </row>
    <row r="341" spans="1:38" ht="14.5" x14ac:dyDescent="0.35">
      <c r="A341" s="373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  <c r="AL341" s="141"/>
    </row>
    <row r="342" spans="1:38" ht="14.5" x14ac:dyDescent="0.35">
      <c r="A342" s="373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  <c r="AL342" s="141"/>
    </row>
    <row r="343" spans="1:38" ht="14.5" x14ac:dyDescent="0.35">
      <c r="A343" s="373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  <c r="AL343" s="141"/>
    </row>
    <row r="344" spans="1:38" ht="14.5" x14ac:dyDescent="0.35">
      <c r="A344" s="373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  <c r="AL344" s="141"/>
    </row>
    <row r="345" spans="1:38" ht="14.5" x14ac:dyDescent="0.35">
      <c r="A345" s="373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  <c r="AL345" s="141"/>
    </row>
    <row r="346" spans="1:38" ht="14.5" x14ac:dyDescent="0.35">
      <c r="A346" s="373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  <c r="AL346" s="141"/>
    </row>
    <row r="347" spans="1:38" ht="14.5" x14ac:dyDescent="0.35">
      <c r="A347" s="373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  <c r="AL347" s="141"/>
    </row>
    <row r="348" spans="1:38" ht="14.5" x14ac:dyDescent="0.35">
      <c r="A348" s="373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  <c r="AL348" s="141"/>
    </row>
    <row r="349" spans="1:38" ht="14.5" x14ac:dyDescent="0.35">
      <c r="A349" s="373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  <c r="AL349" s="141"/>
    </row>
    <row r="350" spans="1:38" ht="14.5" x14ac:dyDescent="0.35">
      <c r="A350" s="373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  <c r="AL350" s="141"/>
    </row>
    <row r="351" spans="1:38" ht="14.5" x14ac:dyDescent="0.35">
      <c r="A351" s="373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  <c r="AL351" s="141"/>
    </row>
    <row r="352" spans="1:38" ht="14.5" x14ac:dyDescent="0.35">
      <c r="A352" s="373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  <c r="AL352" s="141"/>
    </row>
    <row r="353" spans="1:38" ht="14.5" x14ac:dyDescent="0.35">
      <c r="A353" s="373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  <c r="AJ353" s="141"/>
      <c r="AK353" s="141"/>
      <c r="AL353" s="141"/>
    </row>
    <row r="354" spans="1:38" ht="14.5" x14ac:dyDescent="0.35">
      <c r="A354" s="373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  <c r="AL354" s="141"/>
    </row>
    <row r="355" spans="1:38" ht="14.5" x14ac:dyDescent="0.35">
      <c r="A355" s="373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  <c r="AL355" s="141"/>
    </row>
    <row r="356" spans="1:38" ht="14.5" x14ac:dyDescent="0.35">
      <c r="A356" s="373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  <c r="AL356" s="141"/>
    </row>
    <row r="357" spans="1:38" ht="14.5" x14ac:dyDescent="0.35">
      <c r="A357" s="373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  <c r="AL357" s="141"/>
    </row>
    <row r="358" spans="1:38" ht="14.5" x14ac:dyDescent="0.35">
      <c r="A358" s="373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  <c r="AL358" s="141"/>
    </row>
    <row r="359" spans="1:38" ht="14.5" x14ac:dyDescent="0.35">
      <c r="A359" s="373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  <c r="AL359" s="141"/>
    </row>
    <row r="360" spans="1:38" ht="14.5" x14ac:dyDescent="0.35">
      <c r="A360" s="373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  <c r="AL360" s="141"/>
    </row>
    <row r="361" spans="1:38" ht="14.5" x14ac:dyDescent="0.35">
      <c r="A361" s="373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  <c r="AL361" s="141"/>
    </row>
    <row r="362" spans="1:38" ht="14.5" x14ac:dyDescent="0.35">
      <c r="A362" s="373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  <c r="AL362" s="141"/>
    </row>
    <row r="363" spans="1:38" ht="14.5" x14ac:dyDescent="0.35">
      <c r="A363" s="373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  <c r="AL363" s="141"/>
    </row>
    <row r="364" spans="1:38" ht="14.5" x14ac:dyDescent="0.35">
      <c r="A364" s="373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  <c r="AL364" s="141"/>
    </row>
    <row r="365" spans="1:38" ht="14.5" x14ac:dyDescent="0.35">
      <c r="A365" s="373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  <c r="AL365" s="141"/>
    </row>
    <row r="366" spans="1:38" ht="14.5" x14ac:dyDescent="0.35">
      <c r="A366" s="373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  <c r="AL366" s="141"/>
    </row>
    <row r="367" spans="1:38" ht="14.5" x14ac:dyDescent="0.35">
      <c r="A367" s="373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  <c r="AL367" s="141"/>
    </row>
    <row r="368" spans="1:38" ht="14.5" x14ac:dyDescent="0.35">
      <c r="A368" s="373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  <c r="AL368" s="141"/>
    </row>
    <row r="369" spans="1:38" ht="14.5" x14ac:dyDescent="0.35">
      <c r="A369" s="373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  <c r="AL369" s="141"/>
    </row>
    <row r="370" spans="1:38" ht="14.5" x14ac:dyDescent="0.35">
      <c r="A370" s="373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  <c r="AL370" s="141"/>
    </row>
    <row r="371" spans="1:38" ht="14.5" x14ac:dyDescent="0.35">
      <c r="A371" s="373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  <c r="AL371" s="141"/>
    </row>
    <row r="372" spans="1:38" ht="14.5" x14ac:dyDescent="0.35">
      <c r="A372" s="373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  <c r="AJ372" s="141"/>
      <c r="AK372" s="141"/>
      <c r="AL372" s="141"/>
    </row>
    <row r="373" spans="1:38" ht="14.5" x14ac:dyDescent="0.35">
      <c r="A373" s="373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  <c r="AJ373" s="141"/>
      <c r="AK373" s="141"/>
      <c r="AL373" s="141"/>
    </row>
    <row r="374" spans="1:38" ht="14.5" x14ac:dyDescent="0.35">
      <c r="A374" s="373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  <c r="AJ374" s="141"/>
      <c r="AK374" s="141"/>
      <c r="AL374" s="141"/>
    </row>
    <row r="375" spans="1:38" ht="14.5" x14ac:dyDescent="0.35">
      <c r="A375" s="373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  <c r="AL375" s="141"/>
    </row>
    <row r="376" spans="1:38" ht="14.5" x14ac:dyDescent="0.35">
      <c r="A376" s="373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  <c r="AJ376" s="141"/>
      <c r="AK376" s="141"/>
      <c r="AL376" s="141"/>
    </row>
    <row r="377" spans="1:38" ht="14.5" x14ac:dyDescent="0.35">
      <c r="A377" s="373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  <c r="AL377" s="141"/>
    </row>
    <row r="378" spans="1:38" ht="14.5" x14ac:dyDescent="0.35">
      <c r="A378" s="373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  <c r="AJ378" s="141"/>
      <c r="AK378" s="141"/>
      <c r="AL378" s="141"/>
    </row>
    <row r="379" spans="1:38" ht="14.5" x14ac:dyDescent="0.35">
      <c r="A379" s="373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  <c r="AL379" s="141"/>
    </row>
    <row r="380" spans="1:38" ht="14.5" x14ac:dyDescent="0.35">
      <c r="A380" s="373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  <c r="AL380" s="141"/>
    </row>
    <row r="381" spans="1:38" ht="14.5" x14ac:dyDescent="0.35">
      <c r="A381" s="373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/>
      <c r="AL381" s="141"/>
    </row>
    <row r="382" spans="1:38" ht="14.5" x14ac:dyDescent="0.35">
      <c r="A382" s="373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  <c r="AJ382" s="141"/>
      <c r="AK382" s="141"/>
      <c r="AL382" s="141"/>
    </row>
    <row r="383" spans="1:38" ht="14.5" x14ac:dyDescent="0.35">
      <c r="A383" s="373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  <c r="AJ383" s="141"/>
      <c r="AK383" s="141"/>
      <c r="AL383" s="141"/>
    </row>
    <row r="384" spans="1:38" ht="14.5" x14ac:dyDescent="0.35">
      <c r="A384" s="373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  <c r="AJ384" s="141"/>
      <c r="AK384" s="141"/>
      <c r="AL384" s="141"/>
    </row>
    <row r="385" spans="1:38" ht="14.5" x14ac:dyDescent="0.35">
      <c r="A385" s="373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/>
      <c r="AL385" s="141"/>
    </row>
    <row r="386" spans="1:38" ht="14.5" x14ac:dyDescent="0.35">
      <c r="A386" s="373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  <c r="AL386" s="141"/>
    </row>
    <row r="387" spans="1:38" ht="14.5" x14ac:dyDescent="0.35">
      <c r="A387" s="373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  <c r="AL387" s="141"/>
    </row>
    <row r="388" spans="1:38" ht="14.5" x14ac:dyDescent="0.35">
      <c r="A388" s="373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  <c r="AL388" s="141"/>
    </row>
    <row r="389" spans="1:38" ht="14.5" x14ac:dyDescent="0.35">
      <c r="A389" s="373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/>
      <c r="AL389" s="141"/>
    </row>
    <row r="390" spans="1:38" ht="14.5" x14ac:dyDescent="0.35">
      <c r="A390" s="373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  <c r="AL390" s="141"/>
    </row>
    <row r="391" spans="1:38" ht="14.5" x14ac:dyDescent="0.35">
      <c r="A391" s="373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  <c r="AL391" s="141"/>
    </row>
    <row r="392" spans="1:38" ht="14.5" x14ac:dyDescent="0.35">
      <c r="A392" s="373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  <c r="AL392" s="141"/>
    </row>
    <row r="393" spans="1:38" ht="14.5" x14ac:dyDescent="0.35">
      <c r="A393" s="373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  <c r="AL393" s="141"/>
    </row>
    <row r="394" spans="1:38" ht="14.5" x14ac:dyDescent="0.35">
      <c r="A394" s="373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  <c r="AL394" s="141"/>
    </row>
    <row r="395" spans="1:38" ht="14.5" x14ac:dyDescent="0.35">
      <c r="A395" s="373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  <c r="AL395" s="141"/>
    </row>
    <row r="396" spans="1:38" ht="14.5" x14ac:dyDescent="0.35">
      <c r="A396" s="373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  <c r="AL396" s="141"/>
    </row>
    <row r="397" spans="1:38" ht="14.5" x14ac:dyDescent="0.35">
      <c r="A397" s="373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  <c r="AL397" s="141"/>
    </row>
    <row r="398" spans="1:38" ht="14.5" x14ac:dyDescent="0.35">
      <c r="A398" s="373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  <c r="AL398" s="141"/>
    </row>
    <row r="399" spans="1:38" ht="14.5" x14ac:dyDescent="0.35">
      <c r="A399" s="373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  <c r="AL399" s="141"/>
    </row>
    <row r="400" spans="1:38" ht="14.5" x14ac:dyDescent="0.35">
      <c r="A400" s="373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  <c r="AJ400" s="141"/>
      <c r="AK400" s="141"/>
      <c r="AL400" s="141"/>
    </row>
    <row r="401" spans="1:38" ht="14.5" x14ac:dyDescent="0.35">
      <c r="A401" s="373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  <c r="AJ401" s="141"/>
      <c r="AK401" s="141"/>
      <c r="AL401" s="141"/>
    </row>
    <row r="402" spans="1:38" ht="14.5" x14ac:dyDescent="0.35">
      <c r="A402" s="373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  <c r="AJ402" s="141"/>
      <c r="AK402" s="141"/>
      <c r="AL402" s="141"/>
    </row>
    <row r="403" spans="1:38" ht="14.5" x14ac:dyDescent="0.35">
      <c r="A403" s="373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  <c r="AL403" s="141"/>
    </row>
    <row r="404" spans="1:38" ht="14.5" x14ac:dyDescent="0.35">
      <c r="A404" s="373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  <c r="AL404" s="141"/>
    </row>
    <row r="405" spans="1:38" ht="14.5" x14ac:dyDescent="0.35">
      <c r="A405" s="373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  <c r="AL405" s="141"/>
    </row>
    <row r="406" spans="1:38" ht="14.5" x14ac:dyDescent="0.35">
      <c r="A406" s="373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  <c r="AL406" s="141"/>
    </row>
    <row r="407" spans="1:38" ht="14.5" x14ac:dyDescent="0.35">
      <c r="A407" s="373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  <c r="AJ407" s="141"/>
      <c r="AK407" s="141"/>
      <c r="AL407" s="141"/>
    </row>
    <row r="408" spans="1:38" ht="14.5" x14ac:dyDescent="0.35">
      <c r="A408" s="373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  <c r="AJ408" s="141"/>
      <c r="AK408" s="141"/>
      <c r="AL408" s="141"/>
    </row>
    <row r="409" spans="1:38" ht="14.5" x14ac:dyDescent="0.35">
      <c r="A409" s="373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  <c r="AL409" s="141"/>
    </row>
    <row r="410" spans="1:38" ht="14.5" x14ac:dyDescent="0.35">
      <c r="A410" s="373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  <c r="AL410" s="141"/>
    </row>
    <row r="411" spans="1:38" ht="14.5" x14ac:dyDescent="0.35">
      <c r="A411" s="373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  <c r="AL411" s="141"/>
    </row>
    <row r="412" spans="1:38" ht="14.5" x14ac:dyDescent="0.35">
      <c r="A412" s="373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  <c r="AL412" s="141"/>
    </row>
    <row r="413" spans="1:38" ht="14.5" x14ac:dyDescent="0.35">
      <c r="A413" s="373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  <c r="AL413" s="141"/>
    </row>
    <row r="414" spans="1:38" ht="14.5" x14ac:dyDescent="0.35">
      <c r="A414" s="373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  <c r="AL414" s="141"/>
    </row>
    <row r="415" spans="1:38" ht="14.5" x14ac:dyDescent="0.35">
      <c r="A415" s="373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  <c r="AJ415" s="141"/>
      <c r="AK415" s="141"/>
      <c r="AL415" s="141"/>
    </row>
    <row r="416" spans="1:38" ht="14.5" x14ac:dyDescent="0.35">
      <c r="A416" s="373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  <c r="AL416" s="141"/>
    </row>
    <row r="417" spans="1:38" ht="14.5" x14ac:dyDescent="0.35">
      <c r="A417" s="373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  <c r="AJ417" s="141"/>
      <c r="AK417" s="141"/>
      <c r="AL417" s="141"/>
    </row>
    <row r="418" spans="1:38" ht="14.5" x14ac:dyDescent="0.35">
      <c r="A418" s="373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  <c r="AL418" s="141"/>
    </row>
    <row r="419" spans="1:38" ht="14.5" x14ac:dyDescent="0.35">
      <c r="A419" s="373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  <c r="AJ419" s="141"/>
      <c r="AK419" s="141"/>
      <c r="AL419" s="141"/>
    </row>
    <row r="420" spans="1:38" ht="14.5" x14ac:dyDescent="0.35">
      <c r="A420" s="373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  <c r="AL420" s="141"/>
    </row>
    <row r="421" spans="1:38" ht="14.5" x14ac:dyDescent="0.35">
      <c r="A421" s="373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  <c r="AL421" s="141"/>
    </row>
    <row r="422" spans="1:38" ht="14.5" x14ac:dyDescent="0.35">
      <c r="A422" s="373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  <c r="AL422" s="141"/>
    </row>
    <row r="423" spans="1:38" ht="14.5" x14ac:dyDescent="0.35">
      <c r="A423" s="373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  <c r="AL423" s="141"/>
    </row>
    <row r="424" spans="1:38" ht="14.5" x14ac:dyDescent="0.35">
      <c r="A424" s="373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  <c r="AL424" s="141"/>
    </row>
    <row r="425" spans="1:38" ht="14.5" x14ac:dyDescent="0.35">
      <c r="A425" s="373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  <c r="AL425" s="141"/>
    </row>
    <row r="426" spans="1:38" ht="14.5" x14ac:dyDescent="0.35">
      <c r="A426" s="373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  <c r="AL426" s="141"/>
    </row>
    <row r="427" spans="1:38" ht="14.5" x14ac:dyDescent="0.35">
      <c r="A427" s="373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  <c r="AL427" s="141"/>
    </row>
    <row r="428" spans="1:38" ht="14.5" x14ac:dyDescent="0.35">
      <c r="A428" s="373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  <c r="AL428" s="141"/>
    </row>
    <row r="429" spans="1:38" ht="14.5" x14ac:dyDescent="0.35">
      <c r="A429" s="373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  <c r="AL429" s="141"/>
    </row>
    <row r="430" spans="1:38" ht="14.5" x14ac:dyDescent="0.35">
      <c r="A430" s="373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  <c r="AL430" s="141"/>
    </row>
    <row r="431" spans="1:38" ht="14.5" x14ac:dyDescent="0.35">
      <c r="A431" s="373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</row>
    <row r="432" spans="1:38" ht="14.5" x14ac:dyDescent="0.35">
      <c r="A432" s="373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</row>
    <row r="433" spans="1:38" ht="14.5" x14ac:dyDescent="0.35">
      <c r="A433" s="373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  <c r="AL433" s="141"/>
    </row>
    <row r="434" spans="1:38" ht="14.5" x14ac:dyDescent="0.35">
      <c r="A434" s="373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  <c r="AL434" s="141"/>
    </row>
    <row r="435" spans="1:38" ht="14.5" x14ac:dyDescent="0.35">
      <c r="A435" s="373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  <c r="AL435" s="141"/>
    </row>
    <row r="436" spans="1:38" ht="14.5" x14ac:dyDescent="0.35">
      <c r="A436" s="373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  <c r="AL436" s="141"/>
    </row>
    <row r="437" spans="1:38" ht="14.5" x14ac:dyDescent="0.35">
      <c r="A437" s="373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  <c r="AL437" s="141"/>
    </row>
    <row r="438" spans="1:38" ht="14.5" x14ac:dyDescent="0.35">
      <c r="A438" s="373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  <c r="AL438" s="141"/>
    </row>
    <row r="439" spans="1:38" ht="14.5" x14ac:dyDescent="0.35">
      <c r="A439" s="373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</row>
    <row r="440" spans="1:38" ht="14.5" x14ac:dyDescent="0.35">
      <c r="A440" s="373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  <c r="AL440" s="141"/>
    </row>
    <row r="441" spans="1:38" ht="14.5" x14ac:dyDescent="0.35">
      <c r="A441" s="373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  <c r="AL441" s="141"/>
    </row>
    <row r="442" spans="1:38" ht="14.5" x14ac:dyDescent="0.35">
      <c r="A442" s="373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  <c r="AL442" s="141"/>
    </row>
    <row r="443" spans="1:38" ht="14.5" x14ac:dyDescent="0.35">
      <c r="A443" s="373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  <c r="AL443" s="141"/>
    </row>
    <row r="444" spans="1:38" ht="14.5" x14ac:dyDescent="0.35">
      <c r="A444" s="373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  <c r="AL444" s="141"/>
    </row>
    <row r="445" spans="1:38" ht="14.5" x14ac:dyDescent="0.35">
      <c r="A445" s="373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  <c r="AL445" s="141"/>
    </row>
    <row r="446" spans="1:38" ht="14.5" x14ac:dyDescent="0.35">
      <c r="A446" s="373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  <c r="AJ446" s="141"/>
      <c r="AK446" s="141"/>
      <c r="AL446" s="141"/>
    </row>
    <row r="447" spans="1:38" ht="14.5" x14ac:dyDescent="0.35">
      <c r="A447" s="373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/>
      <c r="AL447" s="141"/>
    </row>
    <row r="448" spans="1:38" ht="14.5" x14ac:dyDescent="0.35">
      <c r="A448" s="373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  <c r="AL448" s="141"/>
    </row>
    <row r="449" spans="1:38" ht="14.5" x14ac:dyDescent="0.35">
      <c r="A449" s="373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  <c r="AL449" s="141"/>
    </row>
    <row r="450" spans="1:38" ht="14.5" x14ac:dyDescent="0.35">
      <c r="A450" s="373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  <c r="AL450" s="141"/>
    </row>
    <row r="451" spans="1:38" ht="14.5" x14ac:dyDescent="0.35">
      <c r="A451" s="373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  <c r="AL451" s="141"/>
    </row>
    <row r="452" spans="1:38" ht="14.5" x14ac:dyDescent="0.35">
      <c r="A452" s="373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  <c r="AL452" s="141"/>
    </row>
    <row r="453" spans="1:38" ht="14.5" x14ac:dyDescent="0.35">
      <c r="A453" s="373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  <c r="AL453" s="141"/>
    </row>
    <row r="454" spans="1:38" ht="14.5" x14ac:dyDescent="0.35">
      <c r="A454" s="373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  <c r="AL454" s="141"/>
    </row>
    <row r="455" spans="1:38" ht="14.5" x14ac:dyDescent="0.35">
      <c r="A455" s="373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  <c r="AL455" s="141"/>
    </row>
    <row r="456" spans="1:38" ht="14.5" x14ac:dyDescent="0.35">
      <c r="A456" s="373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  <c r="AL456" s="141"/>
    </row>
    <row r="457" spans="1:38" ht="14.5" x14ac:dyDescent="0.35">
      <c r="A457" s="373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  <c r="AL457" s="141"/>
    </row>
    <row r="458" spans="1:38" ht="14.5" x14ac:dyDescent="0.35">
      <c r="A458" s="373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  <c r="AL458" s="141"/>
    </row>
    <row r="459" spans="1:38" ht="14.5" x14ac:dyDescent="0.35">
      <c r="A459" s="373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</row>
    <row r="460" spans="1:38" ht="14.5" x14ac:dyDescent="0.35">
      <c r="A460" s="373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  <c r="AL460" s="141"/>
    </row>
    <row r="461" spans="1:38" ht="14.5" x14ac:dyDescent="0.35">
      <c r="A461" s="373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  <c r="AL461" s="141"/>
    </row>
    <row r="462" spans="1:38" ht="14.5" x14ac:dyDescent="0.35">
      <c r="A462" s="373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  <c r="AL462" s="141"/>
    </row>
    <row r="463" spans="1:38" ht="14.5" x14ac:dyDescent="0.35">
      <c r="A463" s="373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  <c r="AL463" s="141"/>
    </row>
    <row r="464" spans="1:38" ht="14.5" x14ac:dyDescent="0.35">
      <c r="A464" s="373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  <c r="AL464" s="141"/>
    </row>
    <row r="465" spans="1:38" ht="14.5" x14ac:dyDescent="0.35">
      <c r="A465" s="373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  <c r="AL465" s="141"/>
    </row>
    <row r="466" spans="1:38" ht="14.5" x14ac:dyDescent="0.35">
      <c r="A466" s="373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  <c r="AL466" s="141"/>
    </row>
    <row r="467" spans="1:38" ht="14.5" x14ac:dyDescent="0.35">
      <c r="A467" s="373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  <c r="AL467" s="141"/>
    </row>
    <row r="468" spans="1:38" ht="14.5" x14ac:dyDescent="0.35">
      <c r="A468" s="373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  <c r="AL468" s="141"/>
    </row>
    <row r="469" spans="1:38" ht="14.5" x14ac:dyDescent="0.35">
      <c r="A469" s="373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  <c r="AL469" s="141"/>
    </row>
    <row r="470" spans="1:38" ht="14.5" x14ac:dyDescent="0.35">
      <c r="A470" s="373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  <c r="AL470" s="141"/>
    </row>
    <row r="471" spans="1:38" ht="14.5" x14ac:dyDescent="0.35">
      <c r="A471" s="373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  <c r="AL471" s="141"/>
    </row>
    <row r="472" spans="1:38" ht="14.5" x14ac:dyDescent="0.35">
      <c r="A472" s="373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  <c r="AL472" s="141"/>
    </row>
    <row r="473" spans="1:38" ht="14.5" x14ac:dyDescent="0.35">
      <c r="A473" s="373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  <c r="AL473" s="141"/>
    </row>
    <row r="474" spans="1:38" ht="14.5" x14ac:dyDescent="0.35">
      <c r="A474" s="373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  <c r="AL474" s="141"/>
    </row>
    <row r="475" spans="1:38" ht="14.5" x14ac:dyDescent="0.35">
      <c r="A475" s="373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  <c r="AL475" s="141"/>
    </row>
    <row r="476" spans="1:38" ht="14.5" x14ac:dyDescent="0.35">
      <c r="A476" s="373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  <c r="AL476" s="141"/>
    </row>
    <row r="477" spans="1:38" ht="14.5" x14ac:dyDescent="0.35">
      <c r="A477" s="373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  <c r="AL477" s="141"/>
    </row>
    <row r="478" spans="1:38" ht="14.5" x14ac:dyDescent="0.35">
      <c r="A478" s="373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  <c r="AL478" s="141"/>
    </row>
    <row r="479" spans="1:38" ht="14.5" x14ac:dyDescent="0.35">
      <c r="A479" s="373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  <c r="AL479" s="141"/>
    </row>
    <row r="480" spans="1:38" ht="14.5" x14ac:dyDescent="0.35">
      <c r="A480" s="373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  <c r="AL480" s="141"/>
    </row>
    <row r="481" spans="1:38" ht="14.5" x14ac:dyDescent="0.35">
      <c r="A481" s="373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  <c r="AL481" s="141"/>
    </row>
    <row r="482" spans="1:38" ht="14.5" x14ac:dyDescent="0.35">
      <c r="A482" s="373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  <c r="AL482" s="141"/>
    </row>
    <row r="483" spans="1:38" ht="14.5" x14ac:dyDescent="0.35">
      <c r="A483" s="373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  <c r="AL483" s="141"/>
    </row>
    <row r="484" spans="1:38" ht="14.5" x14ac:dyDescent="0.35">
      <c r="A484" s="373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  <c r="AL484" s="141"/>
    </row>
    <row r="485" spans="1:38" ht="14.5" x14ac:dyDescent="0.35">
      <c r="A485" s="373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  <c r="AL485" s="141"/>
    </row>
    <row r="486" spans="1:38" ht="14.5" x14ac:dyDescent="0.35">
      <c r="A486" s="373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  <c r="AL486" s="141"/>
    </row>
    <row r="487" spans="1:38" ht="14.5" x14ac:dyDescent="0.35">
      <c r="A487" s="373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  <c r="AL487" s="141"/>
    </row>
    <row r="488" spans="1:38" ht="14.5" x14ac:dyDescent="0.35">
      <c r="A488" s="373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  <c r="AL488" s="141"/>
    </row>
    <row r="489" spans="1:38" ht="14.5" x14ac:dyDescent="0.35">
      <c r="A489" s="373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  <c r="AL489" s="141"/>
    </row>
    <row r="490" spans="1:38" ht="14.5" x14ac:dyDescent="0.35">
      <c r="A490" s="373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  <c r="AL490" s="141"/>
    </row>
    <row r="491" spans="1:38" ht="14.5" x14ac:dyDescent="0.35">
      <c r="A491" s="373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  <c r="AL491" s="141"/>
    </row>
    <row r="492" spans="1:38" ht="14.5" x14ac:dyDescent="0.35">
      <c r="A492" s="373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  <c r="AL492" s="141"/>
    </row>
    <row r="493" spans="1:38" ht="14.5" x14ac:dyDescent="0.35">
      <c r="A493" s="373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  <c r="AL493" s="141"/>
    </row>
    <row r="494" spans="1:38" ht="14.5" x14ac:dyDescent="0.35">
      <c r="A494" s="373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  <c r="AL494" s="141"/>
    </row>
    <row r="495" spans="1:38" ht="14.5" x14ac:dyDescent="0.35">
      <c r="A495" s="373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  <c r="AL495" s="141"/>
    </row>
    <row r="496" spans="1:38" ht="14.5" x14ac:dyDescent="0.35">
      <c r="A496" s="373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  <c r="AL496" s="141"/>
    </row>
    <row r="497" spans="1:38" ht="14.5" x14ac:dyDescent="0.35">
      <c r="A497" s="373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  <c r="AL497" s="141"/>
    </row>
    <row r="498" spans="1:38" ht="14.5" x14ac:dyDescent="0.35">
      <c r="A498" s="373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  <c r="AL498" s="141"/>
    </row>
    <row r="499" spans="1:38" ht="14.5" x14ac:dyDescent="0.35">
      <c r="A499" s="373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  <c r="AL499" s="141"/>
    </row>
    <row r="500" spans="1:38" ht="14.5" x14ac:dyDescent="0.35">
      <c r="A500" s="373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  <c r="AL500" s="141"/>
    </row>
    <row r="501" spans="1:38" ht="14.5" x14ac:dyDescent="0.35">
      <c r="A501" s="373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  <c r="AL501" s="141"/>
    </row>
    <row r="502" spans="1:38" ht="14.5" x14ac:dyDescent="0.35">
      <c r="A502" s="373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  <c r="AL502" s="141"/>
    </row>
    <row r="503" spans="1:38" ht="14.5" x14ac:dyDescent="0.35">
      <c r="A503" s="373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  <c r="AL503" s="141"/>
    </row>
    <row r="504" spans="1:38" ht="14.5" x14ac:dyDescent="0.35">
      <c r="A504" s="373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  <c r="AL504" s="141"/>
    </row>
    <row r="505" spans="1:38" ht="14.5" x14ac:dyDescent="0.35">
      <c r="A505" s="373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  <c r="AL505" s="141"/>
    </row>
    <row r="506" spans="1:38" ht="14.5" x14ac:dyDescent="0.35">
      <c r="A506" s="373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  <c r="AL506" s="141"/>
    </row>
    <row r="507" spans="1:38" ht="14.5" x14ac:dyDescent="0.35">
      <c r="A507" s="373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  <c r="AL507" s="141"/>
    </row>
    <row r="508" spans="1:38" ht="14.5" x14ac:dyDescent="0.35">
      <c r="A508" s="373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  <c r="AL508" s="141"/>
    </row>
    <row r="509" spans="1:38" ht="14.5" x14ac:dyDescent="0.35">
      <c r="A509" s="373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  <c r="AL509" s="141"/>
    </row>
    <row r="510" spans="1:38" ht="14.5" x14ac:dyDescent="0.35">
      <c r="A510" s="373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  <c r="AL510" s="141"/>
    </row>
    <row r="511" spans="1:38" ht="14.5" x14ac:dyDescent="0.35">
      <c r="A511" s="373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  <c r="AL511" s="141"/>
    </row>
    <row r="512" spans="1:38" ht="14.5" x14ac:dyDescent="0.35">
      <c r="A512" s="373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  <c r="AL512" s="141"/>
    </row>
    <row r="513" spans="1:38" ht="14.5" x14ac:dyDescent="0.35">
      <c r="A513" s="373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  <c r="AL513" s="141"/>
    </row>
    <row r="514" spans="1:38" ht="14.5" x14ac:dyDescent="0.35">
      <c r="A514" s="373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  <c r="AL514" s="141"/>
    </row>
    <row r="515" spans="1:38" ht="14.5" x14ac:dyDescent="0.35">
      <c r="A515" s="373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  <c r="AL515" s="141"/>
    </row>
    <row r="516" spans="1:38" ht="14.5" x14ac:dyDescent="0.35">
      <c r="A516" s="373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  <c r="AL516" s="141"/>
    </row>
    <row r="517" spans="1:38" ht="14.5" x14ac:dyDescent="0.35">
      <c r="A517" s="373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  <c r="AL517" s="141"/>
    </row>
    <row r="518" spans="1:38" ht="14.5" x14ac:dyDescent="0.35">
      <c r="A518" s="373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  <c r="AL518" s="141"/>
    </row>
    <row r="519" spans="1:38" ht="14.5" x14ac:dyDescent="0.35">
      <c r="A519" s="373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  <c r="AL519" s="141"/>
    </row>
    <row r="520" spans="1:38" ht="14.5" x14ac:dyDescent="0.35">
      <c r="A520" s="373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  <c r="AL520" s="141"/>
    </row>
    <row r="521" spans="1:38" ht="14.5" x14ac:dyDescent="0.35">
      <c r="A521" s="373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  <c r="AL521" s="141"/>
    </row>
    <row r="522" spans="1:38" ht="14.5" x14ac:dyDescent="0.35">
      <c r="A522" s="373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  <c r="AL522" s="141"/>
    </row>
    <row r="523" spans="1:38" ht="14.5" x14ac:dyDescent="0.35">
      <c r="A523" s="373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  <c r="AL523" s="141"/>
    </row>
    <row r="524" spans="1:38" ht="14.5" x14ac:dyDescent="0.35">
      <c r="A524" s="373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  <c r="AL524" s="141"/>
    </row>
    <row r="525" spans="1:38" ht="14.5" x14ac:dyDescent="0.35">
      <c r="A525" s="373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  <c r="AL525" s="141"/>
    </row>
    <row r="526" spans="1:38" ht="14.5" x14ac:dyDescent="0.35">
      <c r="A526" s="373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  <c r="AL526" s="141"/>
    </row>
    <row r="527" spans="1:38" ht="14.5" x14ac:dyDescent="0.35">
      <c r="A527" s="373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  <c r="AL527" s="141"/>
    </row>
    <row r="528" spans="1:38" ht="14.5" x14ac:dyDescent="0.35">
      <c r="A528" s="373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  <c r="AL528" s="141"/>
    </row>
    <row r="529" spans="1:38" ht="14.5" x14ac:dyDescent="0.35">
      <c r="A529" s="373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  <c r="AL529" s="141"/>
    </row>
    <row r="530" spans="1:38" ht="14.5" x14ac:dyDescent="0.35">
      <c r="A530" s="373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  <c r="AL530" s="141"/>
    </row>
    <row r="531" spans="1:38" ht="14.5" x14ac:dyDescent="0.35">
      <c r="A531" s="373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  <c r="AL531" s="141"/>
    </row>
    <row r="532" spans="1:38" ht="14.5" x14ac:dyDescent="0.35">
      <c r="A532" s="373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  <c r="AL532" s="141"/>
    </row>
    <row r="533" spans="1:38" ht="14.5" x14ac:dyDescent="0.35">
      <c r="A533" s="373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  <c r="AL533" s="141"/>
    </row>
    <row r="534" spans="1:38" ht="14.5" x14ac:dyDescent="0.35">
      <c r="A534" s="373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  <c r="AL534" s="141"/>
    </row>
    <row r="535" spans="1:38" ht="14.5" x14ac:dyDescent="0.35">
      <c r="A535" s="373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  <c r="AL535" s="141"/>
    </row>
    <row r="536" spans="1:38" ht="14.5" x14ac:dyDescent="0.35">
      <c r="A536" s="373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  <c r="AL536" s="141"/>
    </row>
    <row r="537" spans="1:38" ht="14.5" x14ac:dyDescent="0.35">
      <c r="A537" s="373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  <c r="AL537" s="141"/>
    </row>
    <row r="538" spans="1:38" ht="14.5" x14ac:dyDescent="0.35">
      <c r="A538" s="373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  <c r="AL538" s="141"/>
    </row>
    <row r="539" spans="1:38" ht="14.5" x14ac:dyDescent="0.35">
      <c r="A539" s="373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  <c r="AL539" s="141"/>
    </row>
    <row r="540" spans="1:38" ht="14.5" x14ac:dyDescent="0.35">
      <c r="A540" s="373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  <c r="AL540" s="141"/>
    </row>
    <row r="541" spans="1:38" ht="14.5" x14ac:dyDescent="0.35">
      <c r="A541" s="373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  <c r="AL541" s="141"/>
    </row>
    <row r="542" spans="1:38" ht="14.5" x14ac:dyDescent="0.35">
      <c r="A542" s="373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  <c r="AL542" s="141"/>
    </row>
    <row r="543" spans="1:38" ht="14.5" x14ac:dyDescent="0.35">
      <c r="A543" s="373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  <c r="AL543" s="141"/>
    </row>
    <row r="544" spans="1:38" ht="14.5" x14ac:dyDescent="0.35">
      <c r="A544" s="373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  <c r="AL544" s="141"/>
    </row>
    <row r="545" spans="1:38" ht="14.5" x14ac:dyDescent="0.35">
      <c r="A545" s="373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1"/>
    </row>
    <row r="546" spans="1:38" ht="14.5" x14ac:dyDescent="0.35">
      <c r="A546" s="373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  <c r="AL546" s="141"/>
    </row>
    <row r="547" spans="1:38" ht="14.5" x14ac:dyDescent="0.35">
      <c r="A547" s="373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  <c r="AL547" s="141"/>
    </row>
    <row r="548" spans="1:38" ht="14.5" x14ac:dyDescent="0.35">
      <c r="A548" s="373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  <c r="AL548" s="141"/>
    </row>
    <row r="549" spans="1:38" ht="14.5" x14ac:dyDescent="0.35">
      <c r="A549" s="373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  <c r="AL549" s="141"/>
    </row>
    <row r="550" spans="1:38" ht="14.5" x14ac:dyDescent="0.35">
      <c r="A550" s="373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  <c r="AL550" s="141"/>
    </row>
    <row r="551" spans="1:38" ht="14.5" x14ac:dyDescent="0.35">
      <c r="A551" s="373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  <c r="AL551" s="141"/>
    </row>
    <row r="552" spans="1:38" ht="14.5" x14ac:dyDescent="0.35">
      <c r="A552" s="373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  <c r="AL552" s="141"/>
    </row>
    <row r="553" spans="1:38" ht="14.5" x14ac:dyDescent="0.35">
      <c r="A553" s="373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  <c r="AL553" s="141"/>
    </row>
    <row r="554" spans="1:38" ht="14.5" x14ac:dyDescent="0.35">
      <c r="A554" s="373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  <c r="AL554" s="141"/>
    </row>
    <row r="555" spans="1:38" ht="14.5" x14ac:dyDescent="0.35">
      <c r="A555" s="373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  <c r="AL555" s="141"/>
    </row>
    <row r="556" spans="1:38" ht="14.5" x14ac:dyDescent="0.35">
      <c r="A556" s="373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  <c r="AL556" s="141"/>
    </row>
    <row r="557" spans="1:38" ht="14.5" x14ac:dyDescent="0.35">
      <c r="A557" s="373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  <c r="AL557" s="141"/>
    </row>
    <row r="558" spans="1:38" ht="14.5" x14ac:dyDescent="0.35">
      <c r="A558" s="373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  <c r="AL558" s="141"/>
    </row>
    <row r="559" spans="1:38" ht="14.5" x14ac:dyDescent="0.35">
      <c r="A559" s="373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  <c r="AL559" s="141"/>
    </row>
    <row r="560" spans="1:38" ht="14.5" x14ac:dyDescent="0.35">
      <c r="A560" s="373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  <c r="AL560" s="141"/>
    </row>
    <row r="561" spans="1:38" ht="14.5" x14ac:dyDescent="0.35">
      <c r="A561" s="373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  <c r="AL561" s="141"/>
    </row>
    <row r="562" spans="1:38" ht="14.5" x14ac:dyDescent="0.35">
      <c r="A562" s="373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  <c r="AL562" s="141"/>
    </row>
    <row r="563" spans="1:38" ht="14.5" x14ac:dyDescent="0.35">
      <c r="A563" s="373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  <c r="AL563" s="141"/>
    </row>
    <row r="564" spans="1:38" ht="14.5" x14ac:dyDescent="0.35">
      <c r="A564" s="373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  <c r="AL564" s="141"/>
    </row>
    <row r="565" spans="1:38" ht="14.5" x14ac:dyDescent="0.35">
      <c r="A565" s="373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  <c r="AL565" s="141"/>
    </row>
    <row r="566" spans="1:38" ht="14.5" x14ac:dyDescent="0.35">
      <c r="A566" s="373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  <c r="AL566" s="141"/>
    </row>
    <row r="567" spans="1:38" ht="14.5" x14ac:dyDescent="0.35">
      <c r="A567" s="373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  <c r="AL567" s="141"/>
    </row>
    <row r="568" spans="1:38" ht="14.5" x14ac:dyDescent="0.35">
      <c r="A568" s="373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  <c r="AL568" s="141"/>
    </row>
    <row r="569" spans="1:38" ht="14.5" x14ac:dyDescent="0.35">
      <c r="A569" s="373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  <c r="AL569" s="141"/>
    </row>
    <row r="570" spans="1:38" ht="14.5" x14ac:dyDescent="0.35">
      <c r="A570" s="373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  <c r="AL570" s="141"/>
    </row>
    <row r="571" spans="1:38" ht="14.5" x14ac:dyDescent="0.35">
      <c r="A571" s="373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  <c r="AL571" s="141"/>
    </row>
    <row r="572" spans="1:38" ht="14.5" x14ac:dyDescent="0.35">
      <c r="A572" s="373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  <c r="AL572" s="141"/>
    </row>
    <row r="573" spans="1:38" ht="14.5" x14ac:dyDescent="0.35">
      <c r="A573" s="373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  <c r="AL573" s="141"/>
    </row>
    <row r="574" spans="1:38" ht="14.5" x14ac:dyDescent="0.35">
      <c r="A574" s="373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  <c r="AL574" s="141"/>
    </row>
    <row r="575" spans="1:38" ht="14.5" x14ac:dyDescent="0.35">
      <c r="A575" s="373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  <c r="AL575" s="141"/>
    </row>
    <row r="576" spans="1:38" ht="14.5" x14ac:dyDescent="0.35">
      <c r="A576" s="373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  <c r="AL576" s="141"/>
    </row>
    <row r="577" spans="1:38" ht="14.5" x14ac:dyDescent="0.35">
      <c r="A577" s="373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  <c r="AL577" s="141"/>
    </row>
    <row r="578" spans="1:38" ht="14.5" x14ac:dyDescent="0.35">
      <c r="A578" s="373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  <c r="AL578" s="141"/>
    </row>
    <row r="579" spans="1:38" ht="14.5" x14ac:dyDescent="0.35">
      <c r="A579" s="373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  <c r="AL579" s="141"/>
    </row>
    <row r="580" spans="1:38" ht="14.5" x14ac:dyDescent="0.35">
      <c r="A580" s="373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  <c r="AL580" s="141"/>
    </row>
    <row r="581" spans="1:38" ht="14.5" x14ac:dyDescent="0.35">
      <c r="A581" s="373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  <c r="AL581" s="141"/>
    </row>
    <row r="582" spans="1:38" ht="14.5" x14ac:dyDescent="0.35">
      <c r="A582" s="373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  <c r="AL582" s="141"/>
    </row>
    <row r="583" spans="1:38" ht="14.5" x14ac:dyDescent="0.35">
      <c r="A583" s="373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  <c r="AL583" s="141"/>
    </row>
    <row r="584" spans="1:38" ht="14.5" x14ac:dyDescent="0.35">
      <c r="A584" s="373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  <c r="AL584" s="141"/>
    </row>
    <row r="585" spans="1:38" ht="14.5" x14ac:dyDescent="0.35">
      <c r="A585" s="373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  <c r="AL585" s="141"/>
    </row>
    <row r="586" spans="1:38" ht="14.5" x14ac:dyDescent="0.35">
      <c r="A586" s="373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  <c r="AL586" s="141"/>
    </row>
    <row r="587" spans="1:38" ht="14.5" x14ac:dyDescent="0.35">
      <c r="A587" s="373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  <c r="AL587" s="141"/>
    </row>
    <row r="588" spans="1:38" ht="14.5" x14ac:dyDescent="0.35">
      <c r="A588" s="373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  <c r="AL588" s="141"/>
    </row>
    <row r="589" spans="1:38" ht="14.5" x14ac:dyDescent="0.35">
      <c r="A589" s="373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  <c r="AL589" s="141"/>
    </row>
    <row r="590" spans="1:38" ht="14.5" x14ac:dyDescent="0.35">
      <c r="A590" s="373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  <c r="AL590" s="141"/>
    </row>
    <row r="591" spans="1:38" ht="14.5" x14ac:dyDescent="0.35">
      <c r="A591" s="373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  <c r="AL591" s="141"/>
    </row>
    <row r="592" spans="1:38" ht="14.5" x14ac:dyDescent="0.35">
      <c r="A592" s="373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  <c r="AL592" s="141"/>
    </row>
    <row r="593" spans="1:38" ht="14.5" x14ac:dyDescent="0.35">
      <c r="A593" s="373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  <c r="AL593" s="141"/>
    </row>
    <row r="594" spans="1:38" ht="14.5" x14ac:dyDescent="0.35">
      <c r="A594" s="373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  <c r="AL594" s="141"/>
    </row>
    <row r="595" spans="1:38" ht="14.5" x14ac:dyDescent="0.35">
      <c r="A595" s="373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  <c r="AL595" s="141"/>
    </row>
    <row r="596" spans="1:38" ht="14.5" x14ac:dyDescent="0.35">
      <c r="A596" s="373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  <c r="AL596" s="141"/>
    </row>
    <row r="597" spans="1:38" ht="14.5" x14ac:dyDescent="0.35">
      <c r="A597" s="373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  <c r="AL597" s="141"/>
    </row>
    <row r="598" spans="1:38" ht="14.5" x14ac:dyDescent="0.35">
      <c r="A598" s="373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  <c r="AL598" s="141"/>
    </row>
    <row r="599" spans="1:38" ht="14.5" x14ac:dyDescent="0.35">
      <c r="A599" s="373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  <c r="AL599" s="141"/>
    </row>
    <row r="600" spans="1:38" ht="14.5" x14ac:dyDescent="0.35">
      <c r="A600" s="373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  <c r="AL600" s="141"/>
    </row>
    <row r="601" spans="1:38" ht="14.5" x14ac:dyDescent="0.35">
      <c r="A601" s="373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  <c r="AL601" s="141"/>
    </row>
    <row r="602" spans="1:38" ht="14.5" x14ac:dyDescent="0.35">
      <c r="A602" s="373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  <c r="AL602" s="141"/>
    </row>
    <row r="603" spans="1:38" ht="14.5" x14ac:dyDescent="0.35">
      <c r="A603" s="373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  <c r="AL603" s="141"/>
    </row>
    <row r="604" spans="1:38" ht="14.5" x14ac:dyDescent="0.35">
      <c r="A604" s="373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  <c r="AL604" s="141"/>
    </row>
    <row r="605" spans="1:38" ht="14.5" x14ac:dyDescent="0.35">
      <c r="A605" s="373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  <c r="AL605" s="141"/>
    </row>
    <row r="606" spans="1:38" ht="14.5" x14ac:dyDescent="0.35">
      <c r="A606" s="373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  <c r="AL606" s="141"/>
    </row>
    <row r="607" spans="1:38" ht="14.5" x14ac:dyDescent="0.35">
      <c r="A607" s="373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  <c r="AL607" s="141"/>
    </row>
    <row r="608" spans="1:38" ht="14.5" x14ac:dyDescent="0.35">
      <c r="A608" s="373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  <c r="AL608" s="141"/>
    </row>
    <row r="609" spans="1:38" ht="14.5" x14ac:dyDescent="0.35">
      <c r="A609" s="373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  <c r="AL609" s="141"/>
    </row>
    <row r="610" spans="1:38" ht="14.5" x14ac:dyDescent="0.35">
      <c r="A610" s="373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  <c r="AL610" s="141"/>
    </row>
    <row r="611" spans="1:38" ht="14.5" x14ac:dyDescent="0.35">
      <c r="A611" s="373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  <c r="AL611" s="141"/>
    </row>
    <row r="612" spans="1:38" ht="14.5" x14ac:dyDescent="0.35">
      <c r="A612" s="373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  <c r="AL612" s="141"/>
    </row>
    <row r="613" spans="1:38" ht="14.5" x14ac:dyDescent="0.35">
      <c r="A613" s="373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  <c r="AL613" s="141"/>
    </row>
    <row r="614" spans="1:38" ht="14.5" x14ac:dyDescent="0.35">
      <c r="A614" s="373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  <c r="AL614" s="141"/>
    </row>
    <row r="615" spans="1:38" ht="14.5" x14ac:dyDescent="0.35">
      <c r="A615" s="373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  <c r="AL615" s="141"/>
    </row>
    <row r="616" spans="1:38" ht="14.5" x14ac:dyDescent="0.35">
      <c r="A616" s="373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  <c r="AL616" s="141"/>
    </row>
    <row r="617" spans="1:38" ht="14.5" x14ac:dyDescent="0.35">
      <c r="A617" s="373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  <c r="AL617" s="141"/>
    </row>
    <row r="618" spans="1:38" ht="14.5" x14ac:dyDescent="0.35">
      <c r="A618" s="373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  <c r="AL618" s="141"/>
    </row>
    <row r="619" spans="1:38" ht="14.5" x14ac:dyDescent="0.35">
      <c r="A619" s="373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  <c r="AL619" s="141"/>
    </row>
    <row r="620" spans="1:38" ht="14.5" x14ac:dyDescent="0.35">
      <c r="A620" s="373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  <c r="AL620" s="141"/>
    </row>
    <row r="621" spans="1:38" ht="14.5" x14ac:dyDescent="0.35">
      <c r="A621" s="373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  <c r="AL621" s="141"/>
    </row>
    <row r="622" spans="1:38" ht="14.5" x14ac:dyDescent="0.35">
      <c r="A622" s="373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  <c r="AL622" s="141"/>
    </row>
    <row r="623" spans="1:38" ht="14.5" x14ac:dyDescent="0.35">
      <c r="A623" s="373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  <c r="AL623" s="141"/>
    </row>
    <row r="624" spans="1:38" ht="14.5" x14ac:dyDescent="0.35">
      <c r="A624" s="373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  <c r="AL624" s="141"/>
    </row>
    <row r="625" spans="1:38" ht="14.5" x14ac:dyDescent="0.35">
      <c r="A625" s="373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  <c r="AL625" s="141"/>
    </row>
    <row r="626" spans="1:38" ht="14.5" x14ac:dyDescent="0.35">
      <c r="A626" s="373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  <c r="AL626" s="141"/>
    </row>
    <row r="627" spans="1:38" ht="14.5" x14ac:dyDescent="0.35">
      <c r="A627" s="373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  <c r="AL627" s="141"/>
    </row>
    <row r="628" spans="1:38" ht="14.5" x14ac:dyDescent="0.35">
      <c r="A628" s="373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  <c r="AL628" s="141"/>
    </row>
    <row r="629" spans="1:38" ht="14.5" x14ac:dyDescent="0.35">
      <c r="A629" s="373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  <c r="AL629" s="141"/>
    </row>
    <row r="630" spans="1:38" ht="14.5" x14ac:dyDescent="0.35">
      <c r="A630" s="373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  <c r="AL630" s="141"/>
    </row>
    <row r="631" spans="1:38" ht="14.5" x14ac:dyDescent="0.35">
      <c r="A631" s="373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  <c r="AL631" s="141"/>
    </row>
    <row r="632" spans="1:38" ht="14.5" x14ac:dyDescent="0.35">
      <c r="A632" s="373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  <c r="AL632" s="141"/>
    </row>
    <row r="633" spans="1:38" ht="14.5" x14ac:dyDescent="0.35">
      <c r="A633" s="373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  <c r="AL633" s="141"/>
    </row>
    <row r="634" spans="1:38" ht="14.5" x14ac:dyDescent="0.35">
      <c r="A634" s="373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  <c r="AL634" s="141"/>
    </row>
    <row r="635" spans="1:38" ht="14.5" x14ac:dyDescent="0.35">
      <c r="A635" s="373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  <c r="AL635" s="141"/>
    </row>
    <row r="636" spans="1:38" ht="14.5" x14ac:dyDescent="0.35">
      <c r="A636" s="373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  <c r="AL636" s="141"/>
    </row>
    <row r="637" spans="1:38" ht="14.5" x14ac:dyDescent="0.35">
      <c r="A637" s="373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  <c r="AL637" s="141"/>
    </row>
    <row r="638" spans="1:38" ht="14.5" x14ac:dyDescent="0.35">
      <c r="A638" s="373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  <c r="AL638" s="141"/>
    </row>
    <row r="639" spans="1:38" ht="14.5" x14ac:dyDescent="0.35">
      <c r="A639" s="373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  <c r="AL639" s="141"/>
    </row>
    <row r="640" spans="1:38" ht="14.5" x14ac:dyDescent="0.35">
      <c r="A640" s="373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  <c r="AL640" s="141"/>
    </row>
    <row r="641" spans="1:38" ht="14.5" x14ac:dyDescent="0.35">
      <c r="A641" s="373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  <c r="AL641" s="141"/>
    </row>
    <row r="642" spans="1:38" ht="14.5" x14ac:dyDescent="0.35">
      <c r="A642" s="373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  <c r="AL642" s="141"/>
    </row>
    <row r="643" spans="1:38" ht="14.5" x14ac:dyDescent="0.35">
      <c r="A643" s="373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  <c r="AL643" s="141"/>
    </row>
    <row r="644" spans="1:38" ht="14.5" x14ac:dyDescent="0.35">
      <c r="A644" s="373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  <c r="AL644" s="141"/>
    </row>
    <row r="645" spans="1:38" ht="14.5" x14ac:dyDescent="0.35">
      <c r="A645" s="373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  <c r="AL645" s="141"/>
    </row>
    <row r="646" spans="1:38" ht="14.5" x14ac:dyDescent="0.35">
      <c r="A646" s="373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  <c r="AL646" s="141"/>
    </row>
    <row r="647" spans="1:38" ht="14.5" x14ac:dyDescent="0.35">
      <c r="A647" s="373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  <c r="AL647" s="141"/>
    </row>
    <row r="648" spans="1:38" ht="14.5" x14ac:dyDescent="0.35">
      <c r="A648" s="373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  <c r="AL648" s="141"/>
    </row>
    <row r="649" spans="1:38" ht="14.5" x14ac:dyDescent="0.35">
      <c r="A649" s="373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  <c r="AL649" s="141"/>
    </row>
    <row r="650" spans="1:38" ht="14.5" x14ac:dyDescent="0.35">
      <c r="A650" s="373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  <c r="AJ650" s="141"/>
      <c r="AK650" s="141"/>
      <c r="AL650" s="141"/>
    </row>
    <row r="651" spans="1:38" ht="14.5" x14ac:dyDescent="0.35">
      <c r="A651" s="373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  <c r="AJ651" s="141"/>
      <c r="AK651" s="141"/>
      <c r="AL651" s="141"/>
    </row>
    <row r="652" spans="1:38" ht="14.5" x14ac:dyDescent="0.35">
      <c r="A652" s="373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/>
      <c r="AL652" s="141"/>
    </row>
    <row r="653" spans="1:38" ht="14.5" x14ac:dyDescent="0.35">
      <c r="A653" s="373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  <c r="AJ653" s="141"/>
      <c r="AK653" s="141"/>
      <c r="AL653" s="141"/>
    </row>
    <row r="654" spans="1:38" ht="14.5" x14ac:dyDescent="0.35">
      <c r="A654" s="373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/>
      <c r="AL654" s="141"/>
    </row>
    <row r="655" spans="1:38" ht="14.5" x14ac:dyDescent="0.35">
      <c r="A655" s="373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  <c r="AJ655" s="141"/>
      <c r="AK655" s="141"/>
      <c r="AL655" s="141"/>
    </row>
    <row r="656" spans="1:38" ht="14.5" x14ac:dyDescent="0.35">
      <c r="A656" s="373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  <c r="AL656" s="141"/>
    </row>
    <row r="657" spans="1:38" ht="14.5" x14ac:dyDescent="0.35">
      <c r="A657" s="373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  <c r="AJ657" s="141"/>
      <c r="AK657" s="141"/>
      <c r="AL657" s="141"/>
    </row>
    <row r="658" spans="1:38" ht="14.5" x14ac:dyDescent="0.35">
      <c r="A658" s="373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  <c r="AL658" s="141"/>
    </row>
    <row r="659" spans="1:38" ht="14.5" x14ac:dyDescent="0.35">
      <c r="A659" s="373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  <c r="AJ659" s="141"/>
      <c r="AK659" s="141"/>
      <c r="AL659" s="141"/>
    </row>
    <row r="660" spans="1:38" ht="14.5" x14ac:dyDescent="0.35">
      <c r="A660" s="373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  <c r="AL660" s="141"/>
    </row>
    <row r="661" spans="1:38" ht="14.5" x14ac:dyDescent="0.35">
      <c r="A661" s="373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  <c r="AJ661" s="141"/>
      <c r="AK661" s="141"/>
      <c r="AL661" s="141"/>
    </row>
    <row r="662" spans="1:38" ht="14.5" x14ac:dyDescent="0.35">
      <c r="A662" s="373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  <c r="AL662" s="141"/>
    </row>
    <row r="663" spans="1:38" ht="14.5" x14ac:dyDescent="0.35">
      <c r="A663" s="373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  <c r="AJ663" s="141"/>
      <c r="AK663" s="141"/>
      <c r="AL663" s="141"/>
    </row>
    <row r="664" spans="1:38" ht="14.5" x14ac:dyDescent="0.35">
      <c r="A664" s="373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  <c r="AL664" s="141"/>
    </row>
    <row r="665" spans="1:38" ht="14.5" x14ac:dyDescent="0.35">
      <c r="A665" s="373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  <c r="AJ665" s="141"/>
      <c r="AK665" s="141"/>
      <c r="AL665" s="141"/>
    </row>
    <row r="666" spans="1:38" ht="14.5" x14ac:dyDescent="0.35">
      <c r="A666" s="373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  <c r="AL666" s="141"/>
    </row>
    <row r="667" spans="1:38" ht="14.5" x14ac:dyDescent="0.35">
      <c r="A667" s="373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  <c r="AJ667" s="141"/>
      <c r="AK667" s="141"/>
      <c r="AL667" s="141"/>
    </row>
    <row r="668" spans="1:38" ht="14.5" x14ac:dyDescent="0.35">
      <c r="A668" s="373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  <c r="AJ668" s="141"/>
      <c r="AK668" s="141"/>
      <c r="AL668" s="141"/>
    </row>
    <row r="669" spans="1:38" ht="14.5" x14ac:dyDescent="0.35">
      <c r="A669" s="373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  <c r="AJ669" s="141"/>
      <c r="AK669" s="141"/>
      <c r="AL669" s="141"/>
    </row>
    <row r="670" spans="1:38" ht="14.5" x14ac:dyDescent="0.35">
      <c r="A670" s="373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/>
      <c r="AL670" s="141"/>
    </row>
    <row r="671" spans="1:38" ht="14.5" x14ac:dyDescent="0.35">
      <c r="A671" s="373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  <c r="AJ671" s="141"/>
      <c r="AK671" s="141"/>
      <c r="AL671" s="141"/>
    </row>
    <row r="672" spans="1:38" ht="14.5" x14ac:dyDescent="0.35">
      <c r="A672" s="373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  <c r="AJ672" s="141"/>
      <c r="AK672" s="141"/>
      <c r="AL672" s="141"/>
    </row>
    <row r="673" spans="1:38" ht="14.5" x14ac:dyDescent="0.35">
      <c r="A673" s="373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  <c r="AJ673" s="141"/>
      <c r="AK673" s="141"/>
      <c r="AL673" s="141"/>
    </row>
    <row r="674" spans="1:38" ht="14.5" x14ac:dyDescent="0.35">
      <c r="A674" s="373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  <c r="AL674" s="141"/>
    </row>
    <row r="675" spans="1:38" ht="14.5" x14ac:dyDescent="0.35">
      <c r="A675" s="373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  <c r="AJ675" s="141"/>
      <c r="AK675" s="141"/>
      <c r="AL675" s="141"/>
    </row>
    <row r="676" spans="1:38" ht="14.5" x14ac:dyDescent="0.35">
      <c r="A676" s="373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  <c r="AJ676" s="141"/>
      <c r="AK676" s="141"/>
      <c r="AL676" s="141"/>
    </row>
    <row r="677" spans="1:38" ht="14.5" x14ac:dyDescent="0.35">
      <c r="A677" s="373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  <c r="AJ677" s="141"/>
      <c r="AK677" s="141"/>
      <c r="AL677" s="141"/>
    </row>
    <row r="678" spans="1:38" ht="14.5" x14ac:dyDescent="0.35">
      <c r="A678" s="373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  <c r="AL678" s="141"/>
    </row>
    <row r="679" spans="1:38" ht="14.5" x14ac:dyDescent="0.35">
      <c r="A679" s="373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  <c r="AJ679" s="141"/>
      <c r="AK679" s="141"/>
      <c r="AL679" s="141"/>
    </row>
    <row r="680" spans="1:38" ht="14.5" x14ac:dyDescent="0.35">
      <c r="A680" s="373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/>
      <c r="AL680" s="141"/>
    </row>
    <row r="681" spans="1:38" ht="14.5" x14ac:dyDescent="0.35">
      <c r="A681" s="373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  <c r="AJ681" s="141"/>
      <c r="AK681" s="141"/>
      <c r="AL681" s="141"/>
    </row>
    <row r="682" spans="1:38" ht="14.5" x14ac:dyDescent="0.35">
      <c r="A682" s="373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  <c r="AJ682" s="141"/>
      <c r="AK682" s="141"/>
      <c r="AL682" s="141"/>
    </row>
    <row r="683" spans="1:38" ht="14.5" x14ac:dyDescent="0.35">
      <c r="A683" s="373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/>
      <c r="AL683" s="141"/>
    </row>
    <row r="684" spans="1:38" ht="14.5" x14ac:dyDescent="0.35">
      <c r="A684" s="373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  <c r="AJ684" s="141"/>
      <c r="AK684" s="141"/>
      <c r="AL684" s="141"/>
    </row>
    <row r="685" spans="1:38" ht="14.5" x14ac:dyDescent="0.35">
      <c r="A685" s="373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/>
      <c r="AL685" s="141"/>
    </row>
    <row r="686" spans="1:38" ht="14.5" x14ac:dyDescent="0.35">
      <c r="A686" s="373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  <c r="AJ686" s="141"/>
      <c r="AK686" s="141"/>
      <c r="AL686" s="141"/>
    </row>
    <row r="687" spans="1:38" ht="14.5" x14ac:dyDescent="0.35">
      <c r="A687" s="373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  <c r="AL687" s="141"/>
    </row>
    <row r="688" spans="1:38" ht="14.5" x14ac:dyDescent="0.35">
      <c r="A688" s="373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  <c r="AL688" s="141"/>
    </row>
    <row r="689" spans="1:38" ht="14.5" x14ac:dyDescent="0.35">
      <c r="A689" s="373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  <c r="AL689" s="141"/>
    </row>
    <row r="690" spans="1:38" ht="14.5" x14ac:dyDescent="0.35">
      <c r="A690" s="373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  <c r="AL690" s="141"/>
    </row>
    <row r="691" spans="1:38" ht="14.5" x14ac:dyDescent="0.35">
      <c r="A691" s="373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  <c r="AL691" s="141"/>
    </row>
    <row r="692" spans="1:38" ht="14.5" x14ac:dyDescent="0.35">
      <c r="A692" s="373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  <c r="AL692" s="141"/>
    </row>
    <row r="693" spans="1:38" ht="14.5" x14ac:dyDescent="0.35">
      <c r="A693" s="373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  <c r="AL693" s="141"/>
    </row>
    <row r="694" spans="1:38" ht="14.5" x14ac:dyDescent="0.35">
      <c r="A694" s="373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  <c r="AL694" s="141"/>
    </row>
    <row r="695" spans="1:38" ht="14.5" x14ac:dyDescent="0.35">
      <c r="A695" s="373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  <c r="AL695" s="141"/>
    </row>
    <row r="696" spans="1:38" ht="14.5" x14ac:dyDescent="0.35">
      <c r="A696" s="373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  <c r="AL696" s="141"/>
    </row>
    <row r="697" spans="1:38" ht="14.5" x14ac:dyDescent="0.35">
      <c r="A697" s="373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  <c r="AL697" s="141"/>
    </row>
    <row r="698" spans="1:38" ht="14.5" x14ac:dyDescent="0.35">
      <c r="A698" s="373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  <c r="AL698" s="141"/>
    </row>
    <row r="699" spans="1:38" ht="14.5" x14ac:dyDescent="0.35">
      <c r="A699" s="373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  <c r="AL699" s="141"/>
    </row>
    <row r="700" spans="1:38" ht="14.5" x14ac:dyDescent="0.35">
      <c r="A700" s="373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  <c r="AL700" s="141"/>
    </row>
    <row r="701" spans="1:38" ht="14.5" x14ac:dyDescent="0.35">
      <c r="A701" s="373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  <c r="AL701" s="141"/>
    </row>
    <row r="702" spans="1:38" ht="14.5" x14ac:dyDescent="0.35">
      <c r="A702" s="373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  <c r="AL702" s="141"/>
    </row>
    <row r="703" spans="1:38" ht="14.5" x14ac:dyDescent="0.35">
      <c r="A703" s="373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  <c r="AL703" s="141"/>
    </row>
    <row r="704" spans="1:38" ht="14.5" x14ac:dyDescent="0.35">
      <c r="A704" s="373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  <c r="AL704" s="141"/>
    </row>
    <row r="705" spans="1:38" ht="14.5" x14ac:dyDescent="0.35">
      <c r="A705" s="373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  <c r="AL705" s="141"/>
    </row>
    <row r="706" spans="1:38" ht="14.5" x14ac:dyDescent="0.35">
      <c r="A706" s="373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  <c r="AL706" s="141"/>
    </row>
    <row r="707" spans="1:38" ht="14.5" x14ac:dyDescent="0.35">
      <c r="A707" s="373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  <c r="AL707" s="141"/>
    </row>
    <row r="708" spans="1:38" ht="14.5" x14ac:dyDescent="0.35">
      <c r="A708" s="373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  <c r="AL708" s="141"/>
    </row>
    <row r="709" spans="1:38" ht="14.5" x14ac:dyDescent="0.35">
      <c r="A709" s="373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  <c r="AL709" s="141"/>
    </row>
    <row r="710" spans="1:38" ht="14.5" x14ac:dyDescent="0.35">
      <c r="A710" s="373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  <c r="AL710" s="141"/>
    </row>
    <row r="711" spans="1:38" ht="14.5" x14ac:dyDescent="0.35">
      <c r="A711" s="373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  <c r="AL711" s="141"/>
    </row>
    <row r="712" spans="1:38" ht="14.5" x14ac:dyDescent="0.35">
      <c r="A712" s="373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  <c r="AL712" s="141"/>
    </row>
    <row r="713" spans="1:38" ht="14.5" x14ac:dyDescent="0.35">
      <c r="A713" s="373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  <c r="AL713" s="141"/>
    </row>
    <row r="714" spans="1:38" ht="14.5" x14ac:dyDescent="0.35">
      <c r="A714" s="373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  <c r="AL714" s="141"/>
    </row>
    <row r="715" spans="1:38" ht="14.5" x14ac:dyDescent="0.35">
      <c r="A715" s="373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  <c r="AL715" s="141"/>
    </row>
    <row r="716" spans="1:38" ht="14.5" x14ac:dyDescent="0.35">
      <c r="A716" s="373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  <c r="AL716" s="141"/>
    </row>
    <row r="717" spans="1:38" ht="14.5" x14ac:dyDescent="0.35">
      <c r="A717" s="373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  <c r="AL717" s="141"/>
    </row>
    <row r="718" spans="1:38" ht="14.5" x14ac:dyDescent="0.35">
      <c r="A718" s="373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  <c r="AL718" s="141"/>
    </row>
    <row r="719" spans="1:38" ht="14.5" x14ac:dyDescent="0.35">
      <c r="A719" s="373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  <c r="AL719" s="141"/>
    </row>
    <row r="720" spans="1:38" ht="14.5" x14ac:dyDescent="0.35">
      <c r="A720" s="373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  <c r="AL720" s="141"/>
    </row>
    <row r="721" spans="1:38" ht="14.5" x14ac:dyDescent="0.35">
      <c r="A721" s="373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  <c r="AL721" s="141"/>
    </row>
    <row r="722" spans="1:38" ht="14.5" x14ac:dyDescent="0.35">
      <c r="A722" s="373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  <c r="AL722" s="141"/>
    </row>
    <row r="723" spans="1:38" ht="14.5" x14ac:dyDescent="0.35">
      <c r="A723" s="373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  <c r="AL723" s="141"/>
    </row>
    <row r="724" spans="1:38" ht="14.5" x14ac:dyDescent="0.35">
      <c r="A724" s="373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  <c r="AL724" s="141"/>
    </row>
    <row r="725" spans="1:38" ht="14.5" x14ac:dyDescent="0.35">
      <c r="A725" s="373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  <c r="AL725" s="141"/>
    </row>
    <row r="726" spans="1:38" ht="14.5" x14ac:dyDescent="0.35">
      <c r="A726" s="373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  <c r="AL726" s="141"/>
    </row>
    <row r="727" spans="1:38" ht="14.5" x14ac:dyDescent="0.35">
      <c r="A727" s="373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  <c r="AL727" s="141"/>
    </row>
    <row r="728" spans="1:38" ht="14.5" x14ac:dyDescent="0.35">
      <c r="A728" s="373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  <c r="AL728" s="141"/>
    </row>
    <row r="729" spans="1:38" ht="14.5" x14ac:dyDescent="0.35">
      <c r="A729" s="373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  <c r="AJ729" s="141"/>
      <c r="AK729" s="141"/>
      <c r="AL729" s="141"/>
    </row>
    <row r="730" spans="1:38" ht="14.5" x14ac:dyDescent="0.35">
      <c r="A730" s="373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/>
      <c r="AL730" s="141"/>
    </row>
    <row r="731" spans="1:38" ht="14.5" x14ac:dyDescent="0.35">
      <c r="A731" s="373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  <c r="AJ731" s="141"/>
      <c r="AK731" s="141"/>
      <c r="AL731" s="141"/>
    </row>
    <row r="732" spans="1:38" ht="14.5" x14ac:dyDescent="0.35">
      <c r="A732" s="373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/>
      <c r="AL732" s="141"/>
    </row>
    <row r="733" spans="1:38" ht="14.5" x14ac:dyDescent="0.35">
      <c r="A733" s="373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  <c r="AJ733" s="141"/>
      <c r="AK733" s="141"/>
      <c r="AL733" s="141"/>
    </row>
    <row r="734" spans="1:38" ht="14.5" x14ac:dyDescent="0.35">
      <c r="A734" s="373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/>
      <c r="AL734" s="141"/>
    </row>
    <row r="735" spans="1:38" ht="14.5" x14ac:dyDescent="0.35">
      <c r="A735" s="373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  <c r="AJ735" s="141"/>
      <c r="AK735" s="141"/>
      <c r="AL735" s="141"/>
    </row>
    <row r="736" spans="1:38" ht="14.5" x14ac:dyDescent="0.35">
      <c r="A736" s="373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/>
      <c r="AL736" s="141"/>
    </row>
    <row r="737" spans="1:38" ht="14.5" x14ac:dyDescent="0.35">
      <c r="A737" s="373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  <c r="AJ737" s="141"/>
      <c r="AK737" s="141"/>
      <c r="AL737" s="141"/>
    </row>
    <row r="738" spans="1:38" ht="14.5" x14ac:dyDescent="0.35">
      <c r="A738" s="373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  <c r="AL738" s="141"/>
    </row>
    <row r="739" spans="1:38" ht="14.5" x14ac:dyDescent="0.35">
      <c r="A739" s="373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  <c r="AJ739" s="141"/>
      <c r="AK739" s="141"/>
      <c r="AL739" s="141"/>
    </row>
    <row r="740" spans="1:38" ht="14.5" x14ac:dyDescent="0.35">
      <c r="A740" s="373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/>
      <c r="AL740" s="141"/>
    </row>
    <row r="741" spans="1:38" ht="14.5" x14ac:dyDescent="0.35">
      <c r="A741" s="373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  <c r="AJ741" s="141"/>
      <c r="AK741" s="141"/>
      <c r="AL741" s="141"/>
    </row>
    <row r="742" spans="1:38" ht="14.5" x14ac:dyDescent="0.35">
      <c r="A742" s="373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  <c r="AL742" s="141"/>
    </row>
    <row r="743" spans="1:38" ht="14.5" x14ac:dyDescent="0.35">
      <c r="A743" s="373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/>
      <c r="AL743" s="141"/>
    </row>
    <row r="744" spans="1:38" ht="14.5" x14ac:dyDescent="0.35">
      <c r="A744" s="373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  <c r="AJ744" s="141"/>
      <c r="AK744" s="141"/>
      <c r="AL744" s="141"/>
    </row>
    <row r="745" spans="1:38" ht="14.5" x14ac:dyDescent="0.35">
      <c r="A745" s="373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/>
      <c r="AL745" s="141"/>
    </row>
    <row r="746" spans="1:38" ht="14.5" x14ac:dyDescent="0.35">
      <c r="A746" s="373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  <c r="AJ746" s="141"/>
      <c r="AK746" s="141"/>
      <c r="AL746" s="141"/>
    </row>
    <row r="747" spans="1:38" ht="14.5" x14ac:dyDescent="0.35">
      <c r="A747" s="373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  <c r="AL747" s="141"/>
    </row>
    <row r="748" spans="1:38" ht="14.5" x14ac:dyDescent="0.35">
      <c r="A748" s="373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  <c r="AJ748" s="141"/>
      <c r="AK748" s="141"/>
      <c r="AL748" s="141"/>
    </row>
    <row r="749" spans="1:38" ht="14.5" x14ac:dyDescent="0.35">
      <c r="A749" s="373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  <c r="AJ749" s="141"/>
      <c r="AK749" s="141"/>
      <c r="AL749" s="141"/>
    </row>
    <row r="750" spans="1:38" ht="14.5" x14ac:dyDescent="0.35">
      <c r="A750" s="373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  <c r="AH750" s="141"/>
      <c r="AI750" s="141"/>
      <c r="AJ750" s="141"/>
      <c r="AK750" s="141"/>
      <c r="AL750" s="141"/>
    </row>
    <row r="751" spans="1:38" ht="14.5" x14ac:dyDescent="0.35">
      <c r="A751" s="373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  <c r="AJ751" s="141"/>
      <c r="AK751" s="141"/>
      <c r="AL751" s="141"/>
    </row>
    <row r="752" spans="1:38" ht="14.5" x14ac:dyDescent="0.35">
      <c r="A752" s="373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  <c r="AH752" s="141"/>
      <c r="AI752" s="141"/>
      <c r="AJ752" s="141"/>
      <c r="AK752" s="141"/>
      <c r="AL752" s="141"/>
    </row>
    <row r="753" spans="1:38" ht="14.5" x14ac:dyDescent="0.35">
      <c r="A753" s="373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  <c r="AH753" s="141"/>
      <c r="AI753" s="141"/>
      <c r="AJ753" s="141"/>
      <c r="AK753" s="141"/>
      <c r="AL753" s="141"/>
    </row>
    <row r="754" spans="1:38" ht="14.5" x14ac:dyDescent="0.35">
      <c r="A754" s="373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  <c r="AH754" s="141"/>
      <c r="AI754" s="141"/>
      <c r="AJ754" s="141"/>
      <c r="AK754" s="141"/>
      <c r="AL754" s="141"/>
    </row>
    <row r="755" spans="1:38" ht="14.5" x14ac:dyDescent="0.35">
      <c r="A755" s="373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  <c r="AJ755" s="141"/>
      <c r="AK755" s="141"/>
      <c r="AL755" s="141"/>
    </row>
    <row r="756" spans="1:38" ht="14.5" x14ac:dyDescent="0.35">
      <c r="A756" s="373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  <c r="AH756" s="141"/>
      <c r="AI756" s="141"/>
      <c r="AJ756" s="141"/>
      <c r="AK756" s="141"/>
      <c r="AL756" s="141"/>
    </row>
    <row r="757" spans="1:38" ht="14.5" x14ac:dyDescent="0.35">
      <c r="A757" s="373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  <c r="AH757" s="141"/>
      <c r="AI757" s="141"/>
      <c r="AJ757" s="141"/>
      <c r="AK757" s="141"/>
      <c r="AL757" s="141"/>
    </row>
    <row r="758" spans="1:38" ht="14.5" x14ac:dyDescent="0.35">
      <c r="A758" s="373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  <c r="AH758" s="141"/>
      <c r="AI758" s="141"/>
      <c r="AJ758" s="141"/>
      <c r="AK758" s="141"/>
      <c r="AL758" s="141"/>
    </row>
    <row r="759" spans="1:38" ht="14.5" x14ac:dyDescent="0.35">
      <c r="A759" s="373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  <c r="AH759" s="141"/>
      <c r="AI759" s="141"/>
      <c r="AJ759" s="141"/>
      <c r="AK759" s="141"/>
      <c r="AL759" s="141"/>
    </row>
    <row r="760" spans="1:38" ht="14.5" x14ac:dyDescent="0.35">
      <c r="A760" s="373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  <c r="AH760" s="141"/>
      <c r="AI760" s="141"/>
      <c r="AJ760" s="141"/>
      <c r="AK760" s="141"/>
      <c r="AL760" s="141"/>
    </row>
    <row r="761" spans="1:38" ht="14.5" x14ac:dyDescent="0.35">
      <c r="A761" s="373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  <c r="AJ761" s="141"/>
      <c r="AK761" s="141"/>
      <c r="AL761" s="141"/>
    </row>
    <row r="762" spans="1:38" ht="14.5" x14ac:dyDescent="0.35">
      <c r="A762" s="373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  <c r="AH762" s="141"/>
      <c r="AI762" s="141"/>
      <c r="AJ762" s="141"/>
      <c r="AK762" s="141"/>
      <c r="AL762" s="141"/>
    </row>
    <row r="763" spans="1:38" ht="14.5" x14ac:dyDescent="0.35">
      <c r="A763" s="373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  <c r="AJ763" s="141"/>
      <c r="AK763" s="141"/>
      <c r="AL763" s="141"/>
    </row>
    <row r="764" spans="1:38" ht="14.5" x14ac:dyDescent="0.35">
      <c r="A764" s="373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  <c r="AH764" s="141"/>
      <c r="AI764" s="141"/>
      <c r="AJ764" s="141"/>
      <c r="AK764" s="141"/>
      <c r="AL764" s="141"/>
    </row>
    <row r="765" spans="1:38" ht="14.5" x14ac:dyDescent="0.35">
      <c r="A765" s="373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  <c r="AJ765" s="141"/>
      <c r="AK765" s="141"/>
      <c r="AL765" s="141"/>
    </row>
    <row r="766" spans="1:38" ht="14.5" x14ac:dyDescent="0.35">
      <c r="A766" s="373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  <c r="AH766" s="141"/>
      <c r="AI766" s="141"/>
      <c r="AJ766" s="141"/>
      <c r="AK766" s="141"/>
      <c r="AL766" s="141"/>
    </row>
    <row r="767" spans="1:38" ht="14.5" x14ac:dyDescent="0.35">
      <c r="A767" s="373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  <c r="AJ767" s="141"/>
      <c r="AK767" s="141"/>
      <c r="AL767" s="141"/>
    </row>
    <row r="768" spans="1:38" ht="14.5" x14ac:dyDescent="0.35">
      <c r="A768" s="373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  <c r="AH768" s="141"/>
      <c r="AI768" s="141"/>
      <c r="AJ768" s="141"/>
      <c r="AK768" s="141"/>
      <c r="AL768" s="141"/>
    </row>
    <row r="769" spans="1:38" ht="14.5" x14ac:dyDescent="0.35">
      <c r="A769" s="373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  <c r="AJ769" s="141"/>
      <c r="AK769" s="141"/>
      <c r="AL769" s="141"/>
    </row>
    <row r="770" spans="1:38" ht="14.5" x14ac:dyDescent="0.35">
      <c r="A770" s="373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  <c r="AH770" s="141"/>
      <c r="AI770" s="141"/>
      <c r="AJ770" s="141"/>
      <c r="AK770" s="141"/>
      <c r="AL770" s="141"/>
    </row>
    <row r="771" spans="1:38" ht="14.5" x14ac:dyDescent="0.35">
      <c r="A771" s="373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  <c r="AJ771" s="141"/>
      <c r="AK771" s="141"/>
      <c r="AL771" s="141"/>
    </row>
    <row r="772" spans="1:38" ht="14.5" x14ac:dyDescent="0.35">
      <c r="A772" s="373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  <c r="AH772" s="141"/>
      <c r="AI772" s="141"/>
      <c r="AJ772" s="141"/>
      <c r="AK772" s="141"/>
      <c r="AL772" s="141"/>
    </row>
    <row r="773" spans="1:38" ht="14.5" x14ac:dyDescent="0.35">
      <c r="A773" s="373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  <c r="AJ773" s="141"/>
      <c r="AK773" s="141"/>
      <c r="AL773" s="141"/>
    </row>
    <row r="774" spans="1:38" ht="14.5" x14ac:dyDescent="0.35">
      <c r="A774" s="373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  <c r="AH774" s="141"/>
      <c r="AI774" s="141"/>
      <c r="AJ774" s="141"/>
      <c r="AK774" s="141"/>
      <c r="AL774" s="141"/>
    </row>
    <row r="775" spans="1:38" ht="14.5" x14ac:dyDescent="0.35">
      <c r="A775" s="373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  <c r="AJ775" s="141"/>
      <c r="AK775" s="141"/>
      <c r="AL775" s="141"/>
    </row>
    <row r="776" spans="1:38" ht="14.5" x14ac:dyDescent="0.35">
      <c r="A776" s="373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  <c r="AH776" s="141"/>
      <c r="AI776" s="141"/>
      <c r="AJ776" s="141"/>
      <c r="AK776" s="141"/>
      <c r="AL776" s="141"/>
    </row>
    <row r="777" spans="1:38" ht="14.5" x14ac:dyDescent="0.35">
      <c r="A777" s="373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  <c r="AJ777" s="141"/>
      <c r="AK777" s="141"/>
      <c r="AL777" s="141"/>
    </row>
    <row r="778" spans="1:38" ht="14.5" x14ac:dyDescent="0.35">
      <c r="A778" s="373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  <c r="AH778" s="141"/>
      <c r="AI778" s="141"/>
      <c r="AJ778" s="141"/>
      <c r="AK778" s="141"/>
      <c r="AL778" s="141"/>
    </row>
    <row r="779" spans="1:38" ht="14.5" x14ac:dyDescent="0.35">
      <c r="A779" s="373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  <c r="AH779" s="141"/>
      <c r="AI779" s="141"/>
      <c r="AJ779" s="141"/>
      <c r="AK779" s="141"/>
      <c r="AL779" s="141"/>
    </row>
    <row r="780" spans="1:38" ht="14.5" x14ac:dyDescent="0.35">
      <c r="A780" s="373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  <c r="AH780" s="141"/>
      <c r="AI780" s="141"/>
      <c r="AJ780" s="141"/>
      <c r="AK780" s="141"/>
      <c r="AL780" s="141"/>
    </row>
    <row r="781" spans="1:38" ht="14.5" x14ac:dyDescent="0.35">
      <c r="A781" s="373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  <c r="AJ781" s="141"/>
      <c r="AK781" s="141"/>
      <c r="AL781" s="141"/>
    </row>
    <row r="782" spans="1:38" ht="14.5" x14ac:dyDescent="0.35">
      <c r="A782" s="373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  <c r="AH782" s="141"/>
      <c r="AI782" s="141"/>
      <c r="AJ782" s="141"/>
      <c r="AK782" s="141"/>
      <c r="AL782" s="141"/>
    </row>
    <row r="783" spans="1:38" ht="14.5" x14ac:dyDescent="0.35">
      <c r="A783" s="373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  <c r="AJ783" s="141"/>
      <c r="AK783" s="141"/>
      <c r="AL783" s="141"/>
    </row>
    <row r="784" spans="1:38" ht="14.5" x14ac:dyDescent="0.35">
      <c r="A784" s="373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  <c r="AH784" s="141"/>
      <c r="AI784" s="141"/>
      <c r="AJ784" s="141"/>
      <c r="AK784" s="141"/>
      <c r="AL784" s="141"/>
    </row>
    <row r="785" spans="1:38" ht="14.5" x14ac:dyDescent="0.35">
      <c r="A785" s="373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  <c r="AH785" s="141"/>
      <c r="AI785" s="141"/>
      <c r="AJ785" s="141"/>
      <c r="AK785" s="141"/>
      <c r="AL785" s="141"/>
    </row>
    <row r="786" spans="1:38" ht="14.5" x14ac:dyDescent="0.35">
      <c r="A786" s="373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  <c r="AH786" s="141"/>
      <c r="AI786" s="141"/>
      <c r="AJ786" s="141"/>
      <c r="AK786" s="141"/>
      <c r="AL786" s="141"/>
    </row>
    <row r="787" spans="1:38" ht="14.5" x14ac:dyDescent="0.35">
      <c r="A787" s="373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  <c r="AL787" s="141"/>
    </row>
    <row r="788" spans="1:38" ht="14.5" x14ac:dyDescent="0.35">
      <c r="A788" s="373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  <c r="AJ788" s="141"/>
      <c r="AK788" s="141"/>
      <c r="AL788" s="141"/>
    </row>
    <row r="789" spans="1:38" ht="14.5" x14ac:dyDescent="0.35">
      <c r="A789" s="373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/>
      <c r="AL789" s="141"/>
    </row>
    <row r="790" spans="1:38" ht="14.5" x14ac:dyDescent="0.35">
      <c r="A790" s="373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  <c r="AJ790" s="141"/>
      <c r="AK790" s="141"/>
      <c r="AL790" s="141"/>
    </row>
    <row r="791" spans="1:38" ht="14.5" x14ac:dyDescent="0.35">
      <c r="A791" s="373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/>
      <c r="AL791" s="141"/>
    </row>
    <row r="792" spans="1:38" ht="14.5" x14ac:dyDescent="0.35">
      <c r="A792" s="373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  <c r="AJ792" s="141"/>
      <c r="AK792" s="141"/>
      <c r="AL792" s="141"/>
    </row>
    <row r="793" spans="1:38" ht="14.5" x14ac:dyDescent="0.35">
      <c r="A793" s="373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  <c r="AJ793" s="141"/>
      <c r="AK793" s="141"/>
      <c r="AL793" s="141"/>
    </row>
    <row r="794" spans="1:38" ht="14.5" x14ac:dyDescent="0.35">
      <c r="A794" s="373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  <c r="AJ794" s="141"/>
      <c r="AK794" s="141"/>
      <c r="AL794" s="141"/>
    </row>
    <row r="795" spans="1:38" ht="14.5" x14ac:dyDescent="0.35">
      <c r="A795" s="373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/>
      <c r="AL795" s="141"/>
    </row>
    <row r="796" spans="1:38" ht="14.5" x14ac:dyDescent="0.35">
      <c r="A796" s="373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  <c r="AJ796" s="141"/>
      <c r="AK796" s="141"/>
      <c r="AL796" s="141"/>
    </row>
    <row r="797" spans="1:38" ht="14.5" x14ac:dyDescent="0.35">
      <c r="A797" s="373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  <c r="AJ797" s="141"/>
      <c r="AK797" s="141"/>
      <c r="AL797" s="141"/>
    </row>
    <row r="798" spans="1:38" ht="14.5" x14ac:dyDescent="0.35">
      <c r="A798" s="373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  <c r="AH798" s="141"/>
      <c r="AI798" s="141"/>
      <c r="AJ798" s="141"/>
      <c r="AK798" s="141"/>
      <c r="AL798" s="141"/>
    </row>
    <row r="799" spans="1:38" ht="14.5" x14ac:dyDescent="0.35">
      <c r="A799" s="373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  <c r="AJ799" s="141"/>
      <c r="AK799" s="141"/>
      <c r="AL799" s="141"/>
    </row>
    <row r="800" spans="1:38" ht="14.5" x14ac:dyDescent="0.35">
      <c r="A800" s="373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  <c r="AH800" s="141"/>
      <c r="AI800" s="141"/>
      <c r="AJ800" s="141"/>
      <c r="AK800" s="141"/>
      <c r="AL800" s="141"/>
    </row>
    <row r="801" spans="1:38" ht="14.5" x14ac:dyDescent="0.35">
      <c r="A801" s="373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  <c r="AJ801" s="141"/>
      <c r="AK801" s="141"/>
      <c r="AL801" s="141"/>
    </row>
    <row r="802" spans="1:38" ht="14.5" x14ac:dyDescent="0.35">
      <c r="A802" s="373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  <c r="AH802" s="141"/>
      <c r="AI802" s="141"/>
      <c r="AJ802" s="141"/>
      <c r="AK802" s="141"/>
      <c r="AL802" s="141"/>
    </row>
    <row r="803" spans="1:38" ht="14.5" x14ac:dyDescent="0.35">
      <c r="A803" s="373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  <c r="AJ803" s="141"/>
      <c r="AK803" s="141"/>
      <c r="AL803" s="141"/>
    </row>
    <row r="804" spans="1:38" ht="14.5" x14ac:dyDescent="0.35">
      <c r="A804" s="373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  <c r="AH804" s="141"/>
      <c r="AI804" s="141"/>
      <c r="AJ804" s="141"/>
      <c r="AK804" s="141"/>
      <c r="AL804" s="141"/>
    </row>
    <row r="805" spans="1:38" ht="14.5" x14ac:dyDescent="0.35">
      <c r="A805" s="373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  <c r="AJ805" s="141"/>
      <c r="AK805" s="141"/>
      <c r="AL805" s="141"/>
    </row>
    <row r="806" spans="1:38" ht="14.5" x14ac:dyDescent="0.35">
      <c r="A806" s="373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  <c r="AH806" s="141"/>
      <c r="AI806" s="141"/>
      <c r="AJ806" s="141"/>
      <c r="AK806" s="141"/>
      <c r="AL806" s="141"/>
    </row>
    <row r="807" spans="1:38" ht="14.5" x14ac:dyDescent="0.35">
      <c r="A807" s="373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  <c r="AJ807" s="141"/>
      <c r="AK807" s="141"/>
      <c r="AL807" s="141"/>
    </row>
    <row r="808" spans="1:38" ht="14.5" x14ac:dyDescent="0.35">
      <c r="A808" s="373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  <c r="AH808" s="141"/>
      <c r="AI808" s="141"/>
      <c r="AJ808" s="141"/>
      <c r="AK808" s="141"/>
      <c r="AL808" s="141"/>
    </row>
    <row r="809" spans="1:38" ht="14.5" x14ac:dyDescent="0.35">
      <c r="A809" s="373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  <c r="AH809" s="141"/>
      <c r="AI809" s="141"/>
      <c r="AJ809" s="141"/>
      <c r="AK809" s="141"/>
      <c r="AL809" s="141"/>
    </row>
    <row r="810" spans="1:38" ht="14.5" x14ac:dyDescent="0.35">
      <c r="A810" s="373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  <c r="AH810" s="141"/>
      <c r="AI810" s="141"/>
      <c r="AJ810" s="141"/>
      <c r="AK810" s="141"/>
      <c r="AL810" s="141"/>
    </row>
    <row r="811" spans="1:38" ht="14.5" x14ac:dyDescent="0.35">
      <c r="A811" s="373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  <c r="AJ811" s="141"/>
      <c r="AK811" s="141"/>
      <c r="AL811" s="141"/>
    </row>
    <row r="812" spans="1:38" ht="14.5" x14ac:dyDescent="0.35">
      <c r="A812" s="373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  <c r="AH812" s="141"/>
      <c r="AI812" s="141"/>
      <c r="AJ812" s="141"/>
      <c r="AK812" s="141"/>
      <c r="AL812" s="141"/>
    </row>
    <row r="813" spans="1:38" ht="14.5" x14ac:dyDescent="0.35">
      <c r="A813" s="373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  <c r="AH813" s="141"/>
      <c r="AI813" s="141"/>
      <c r="AJ813" s="141"/>
      <c r="AK813" s="141"/>
      <c r="AL813" s="141"/>
    </row>
    <row r="814" spans="1:38" ht="14.5" x14ac:dyDescent="0.35">
      <c r="A814" s="373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  <c r="AH814" s="141"/>
      <c r="AI814" s="141"/>
      <c r="AJ814" s="141"/>
      <c r="AK814" s="141"/>
      <c r="AL814" s="141"/>
    </row>
    <row r="815" spans="1:38" ht="14.5" x14ac:dyDescent="0.35">
      <c r="A815" s="373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  <c r="AH815" s="141"/>
      <c r="AI815" s="141"/>
      <c r="AJ815" s="141"/>
      <c r="AK815" s="141"/>
      <c r="AL815" s="141"/>
    </row>
    <row r="816" spans="1:38" ht="14.5" x14ac:dyDescent="0.35">
      <c r="A816" s="373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  <c r="AJ816" s="141"/>
      <c r="AK816" s="141"/>
      <c r="AL816" s="141"/>
    </row>
    <row r="817" spans="1:38" ht="14.5" x14ac:dyDescent="0.35">
      <c r="A817" s="373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  <c r="AH817" s="141"/>
      <c r="AI817" s="141"/>
      <c r="AJ817" s="141"/>
      <c r="AK817" s="141"/>
      <c r="AL817" s="141"/>
    </row>
    <row r="818" spans="1:38" ht="14.5" x14ac:dyDescent="0.35">
      <c r="A818" s="373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  <c r="AJ818" s="141"/>
      <c r="AK818" s="141"/>
      <c r="AL818" s="141"/>
    </row>
    <row r="819" spans="1:38" ht="14.5" x14ac:dyDescent="0.35">
      <c r="A819" s="373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  <c r="AH819" s="141"/>
      <c r="AI819" s="141"/>
      <c r="AJ819" s="141"/>
      <c r="AK819" s="141"/>
      <c r="AL819" s="141"/>
    </row>
    <row r="820" spans="1:38" ht="14.5" x14ac:dyDescent="0.35">
      <c r="A820" s="373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  <c r="AJ820" s="141"/>
      <c r="AK820" s="141"/>
      <c r="AL820" s="141"/>
    </row>
    <row r="821" spans="1:38" ht="14.5" x14ac:dyDescent="0.35">
      <c r="A821" s="373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  <c r="AH821" s="141"/>
      <c r="AI821" s="141"/>
      <c r="AJ821" s="141"/>
      <c r="AK821" s="141"/>
      <c r="AL821" s="141"/>
    </row>
    <row r="822" spans="1:38" ht="14.5" x14ac:dyDescent="0.35">
      <c r="A822" s="373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  <c r="AL822" s="141"/>
    </row>
    <row r="823" spans="1:38" ht="14.5" x14ac:dyDescent="0.35">
      <c r="A823" s="373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  <c r="AH823" s="141"/>
      <c r="AI823" s="141"/>
      <c r="AJ823" s="141"/>
      <c r="AK823" s="141"/>
      <c r="AL823" s="141"/>
    </row>
    <row r="824" spans="1:38" ht="14.5" x14ac:dyDescent="0.35">
      <c r="A824" s="373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  <c r="AJ824" s="141"/>
      <c r="AK824" s="141"/>
      <c r="AL824" s="141"/>
    </row>
    <row r="825" spans="1:38" ht="14.5" x14ac:dyDescent="0.35">
      <c r="A825" s="373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  <c r="AH825" s="141"/>
      <c r="AI825" s="141"/>
      <c r="AJ825" s="141"/>
      <c r="AK825" s="141"/>
      <c r="AL825" s="141"/>
    </row>
    <row r="826" spans="1:38" ht="14.5" x14ac:dyDescent="0.35">
      <c r="A826" s="373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  <c r="AJ826" s="141"/>
      <c r="AK826" s="141"/>
      <c r="AL826" s="141"/>
    </row>
    <row r="827" spans="1:38" ht="14.5" x14ac:dyDescent="0.35">
      <c r="A827" s="373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  <c r="AH827" s="141"/>
      <c r="AI827" s="141"/>
      <c r="AJ827" s="141"/>
      <c r="AK827" s="141"/>
      <c r="AL827" s="141"/>
    </row>
    <row r="828" spans="1:38" ht="14.5" x14ac:dyDescent="0.35">
      <c r="A828" s="373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  <c r="AH828" s="141"/>
      <c r="AI828" s="141"/>
      <c r="AJ828" s="141"/>
      <c r="AK828" s="141"/>
      <c r="AL828" s="141"/>
    </row>
    <row r="829" spans="1:38" ht="14.5" x14ac:dyDescent="0.35">
      <c r="A829" s="373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  <c r="AH829" s="141"/>
      <c r="AI829" s="141"/>
      <c r="AJ829" s="141"/>
      <c r="AK829" s="141"/>
      <c r="AL829" s="141"/>
    </row>
    <row r="830" spans="1:38" ht="14.5" x14ac:dyDescent="0.35">
      <c r="A830" s="373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  <c r="AJ830" s="141"/>
      <c r="AK830" s="141"/>
      <c r="AL830" s="141"/>
    </row>
    <row r="831" spans="1:38" ht="14.5" x14ac:dyDescent="0.35">
      <c r="A831" s="373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  <c r="AH831" s="141"/>
      <c r="AI831" s="141"/>
      <c r="AJ831" s="141"/>
      <c r="AK831" s="141"/>
      <c r="AL831" s="141"/>
    </row>
    <row r="832" spans="1:38" ht="14.5" x14ac:dyDescent="0.35">
      <c r="A832" s="373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  <c r="AH832" s="141"/>
      <c r="AI832" s="141"/>
      <c r="AJ832" s="141"/>
      <c r="AK832" s="141"/>
      <c r="AL832" s="141"/>
    </row>
    <row r="833" spans="1:38" ht="14.5" x14ac:dyDescent="0.35">
      <c r="A833" s="373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  <c r="AJ833" s="141"/>
      <c r="AK833" s="141"/>
      <c r="AL833" s="141"/>
    </row>
    <row r="834" spans="1:38" ht="14.5" x14ac:dyDescent="0.35">
      <c r="A834" s="373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  <c r="AH834" s="141"/>
      <c r="AI834" s="141"/>
      <c r="AJ834" s="141"/>
      <c r="AK834" s="141"/>
      <c r="AL834" s="141"/>
    </row>
    <row r="835" spans="1:38" ht="14.5" x14ac:dyDescent="0.35">
      <c r="A835" s="373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  <c r="AJ835" s="141"/>
      <c r="AK835" s="141"/>
      <c r="AL835" s="141"/>
    </row>
    <row r="836" spans="1:38" ht="14.5" x14ac:dyDescent="0.35">
      <c r="A836" s="373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  <c r="AH836" s="141"/>
      <c r="AI836" s="141"/>
      <c r="AJ836" s="141"/>
      <c r="AK836" s="141"/>
      <c r="AL836" s="141"/>
    </row>
    <row r="837" spans="1:38" ht="14.5" x14ac:dyDescent="0.35">
      <c r="A837" s="373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  <c r="AJ837" s="141"/>
      <c r="AK837" s="141"/>
      <c r="AL837" s="141"/>
    </row>
    <row r="838" spans="1:38" ht="14.5" x14ac:dyDescent="0.35">
      <c r="A838" s="373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  <c r="AH838" s="141"/>
      <c r="AI838" s="141"/>
      <c r="AJ838" s="141"/>
      <c r="AK838" s="141"/>
      <c r="AL838" s="141"/>
    </row>
    <row r="839" spans="1:38" ht="14.5" x14ac:dyDescent="0.35">
      <c r="A839" s="373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  <c r="AH839" s="141"/>
      <c r="AI839" s="141"/>
      <c r="AJ839" s="141"/>
      <c r="AK839" s="141"/>
      <c r="AL839" s="141"/>
    </row>
    <row r="840" spans="1:38" ht="14.5" x14ac:dyDescent="0.35">
      <c r="A840" s="373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  <c r="AH840" s="141"/>
      <c r="AI840" s="141"/>
      <c r="AJ840" s="141"/>
      <c r="AK840" s="141"/>
      <c r="AL840" s="141"/>
    </row>
    <row r="841" spans="1:38" ht="14.5" x14ac:dyDescent="0.35">
      <c r="A841" s="373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  <c r="AH841" s="141"/>
      <c r="AI841" s="141"/>
      <c r="AJ841" s="141"/>
      <c r="AK841" s="141"/>
      <c r="AL841" s="141"/>
    </row>
    <row r="842" spans="1:38" ht="14.5" x14ac:dyDescent="0.35">
      <c r="A842" s="373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  <c r="AJ842" s="141"/>
      <c r="AK842" s="141"/>
      <c r="AL842" s="141"/>
    </row>
    <row r="843" spans="1:38" ht="14.5" x14ac:dyDescent="0.35">
      <c r="A843" s="373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  <c r="AH843" s="141"/>
      <c r="AI843" s="141"/>
      <c r="AJ843" s="141"/>
      <c r="AK843" s="141"/>
      <c r="AL843" s="141"/>
    </row>
    <row r="844" spans="1:38" ht="14.5" x14ac:dyDescent="0.35">
      <c r="A844" s="373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  <c r="AJ844" s="141"/>
      <c r="AK844" s="141"/>
      <c r="AL844" s="141"/>
    </row>
    <row r="845" spans="1:38" ht="14.5" x14ac:dyDescent="0.35">
      <c r="A845" s="373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  <c r="AH845" s="141"/>
      <c r="AI845" s="141"/>
      <c r="AJ845" s="141"/>
      <c r="AK845" s="141"/>
      <c r="AL845" s="141"/>
    </row>
    <row r="846" spans="1:38" ht="14.5" x14ac:dyDescent="0.35">
      <c r="A846" s="373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  <c r="AH846" s="141"/>
      <c r="AI846" s="141"/>
      <c r="AJ846" s="141"/>
      <c r="AK846" s="141"/>
      <c r="AL846" s="141"/>
    </row>
    <row r="847" spans="1:38" ht="14.5" x14ac:dyDescent="0.35">
      <c r="A847" s="373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  <c r="AH847" s="141"/>
      <c r="AI847" s="141"/>
      <c r="AJ847" s="141"/>
      <c r="AK847" s="141"/>
      <c r="AL847" s="141"/>
    </row>
    <row r="848" spans="1:38" ht="14.5" x14ac:dyDescent="0.35">
      <c r="A848" s="373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  <c r="AJ848" s="141"/>
      <c r="AK848" s="141"/>
      <c r="AL848" s="141"/>
    </row>
    <row r="849" spans="1:38" ht="14.5" x14ac:dyDescent="0.35">
      <c r="A849" s="373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  <c r="AH849" s="141"/>
      <c r="AI849" s="141"/>
      <c r="AJ849" s="141"/>
      <c r="AK849" s="141"/>
      <c r="AL849" s="141"/>
    </row>
    <row r="850" spans="1:38" ht="14.5" x14ac:dyDescent="0.35">
      <c r="A850" s="373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  <c r="AH850" s="141"/>
      <c r="AI850" s="141"/>
      <c r="AJ850" s="141"/>
      <c r="AK850" s="141"/>
      <c r="AL850" s="141"/>
    </row>
    <row r="851" spans="1:38" ht="14.5" x14ac:dyDescent="0.35">
      <c r="A851" s="373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  <c r="AJ851" s="141"/>
      <c r="AK851" s="141"/>
      <c r="AL851" s="141"/>
    </row>
    <row r="852" spans="1:38" ht="14.5" x14ac:dyDescent="0.35">
      <c r="A852" s="373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  <c r="AH852" s="141"/>
      <c r="AI852" s="141"/>
      <c r="AJ852" s="141"/>
      <c r="AK852" s="141"/>
      <c r="AL852" s="141"/>
    </row>
    <row r="853" spans="1:38" ht="14.5" x14ac:dyDescent="0.35">
      <c r="A853" s="373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  <c r="AJ853" s="141"/>
      <c r="AK853" s="141"/>
      <c r="AL853" s="141"/>
    </row>
    <row r="854" spans="1:38" ht="14.5" x14ac:dyDescent="0.35">
      <c r="A854" s="373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  <c r="AH854" s="141"/>
      <c r="AI854" s="141"/>
      <c r="AJ854" s="141"/>
      <c r="AK854" s="141"/>
      <c r="AL854" s="141"/>
    </row>
    <row r="855" spans="1:38" ht="14.5" x14ac:dyDescent="0.35">
      <c r="A855" s="373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  <c r="AH855" s="141"/>
      <c r="AI855" s="141"/>
      <c r="AJ855" s="141"/>
      <c r="AK855" s="141"/>
      <c r="AL855" s="141"/>
    </row>
    <row r="856" spans="1:38" ht="14.5" x14ac:dyDescent="0.35">
      <c r="A856" s="373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  <c r="AH856" s="141"/>
      <c r="AI856" s="141"/>
      <c r="AJ856" s="141"/>
      <c r="AK856" s="141"/>
      <c r="AL856" s="141"/>
    </row>
    <row r="857" spans="1:38" ht="14.5" x14ac:dyDescent="0.35">
      <c r="A857" s="373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  <c r="AJ857" s="141"/>
      <c r="AK857" s="141"/>
      <c r="AL857" s="141"/>
    </row>
    <row r="858" spans="1:38" ht="14.5" x14ac:dyDescent="0.35">
      <c r="A858" s="373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  <c r="AH858" s="141"/>
      <c r="AI858" s="141"/>
      <c r="AJ858" s="141"/>
      <c r="AK858" s="141"/>
      <c r="AL858" s="141"/>
    </row>
    <row r="859" spans="1:38" ht="14.5" x14ac:dyDescent="0.35">
      <c r="A859" s="373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  <c r="AJ859" s="141"/>
      <c r="AK859" s="141"/>
      <c r="AL859" s="141"/>
    </row>
    <row r="860" spans="1:38" ht="14.5" x14ac:dyDescent="0.35">
      <c r="A860" s="373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  <c r="AH860" s="141"/>
      <c r="AI860" s="141"/>
      <c r="AJ860" s="141"/>
      <c r="AK860" s="141"/>
      <c r="AL860" s="141"/>
    </row>
    <row r="861" spans="1:38" ht="14.5" x14ac:dyDescent="0.35">
      <c r="A861" s="373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  <c r="AJ861" s="141"/>
      <c r="AK861" s="141"/>
      <c r="AL861" s="141"/>
    </row>
    <row r="862" spans="1:38" ht="14.5" x14ac:dyDescent="0.35">
      <c r="A862" s="373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  <c r="AH862" s="141"/>
      <c r="AI862" s="141"/>
      <c r="AJ862" s="141"/>
      <c r="AK862" s="141"/>
      <c r="AL862" s="141"/>
    </row>
    <row r="863" spans="1:38" ht="14.5" x14ac:dyDescent="0.35">
      <c r="A863" s="373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  <c r="AH863" s="141"/>
      <c r="AI863" s="141"/>
      <c r="AJ863" s="141"/>
      <c r="AK863" s="141"/>
      <c r="AL863" s="141"/>
    </row>
    <row r="864" spans="1:38" ht="14.5" x14ac:dyDescent="0.35">
      <c r="A864" s="373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  <c r="AJ864" s="141"/>
      <c r="AK864" s="141"/>
      <c r="AL864" s="141"/>
    </row>
    <row r="865" spans="1:38" ht="14.5" x14ac:dyDescent="0.35">
      <c r="A865" s="373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  <c r="AH865" s="141"/>
      <c r="AI865" s="141"/>
      <c r="AJ865" s="141"/>
      <c r="AK865" s="141"/>
      <c r="AL865" s="141"/>
    </row>
    <row r="866" spans="1:38" ht="14.5" x14ac:dyDescent="0.35">
      <c r="A866" s="373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  <c r="AJ866" s="141"/>
      <c r="AK866" s="141"/>
      <c r="AL866" s="141"/>
    </row>
    <row r="867" spans="1:38" ht="14.5" x14ac:dyDescent="0.35">
      <c r="A867" s="373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  <c r="AH867" s="141"/>
      <c r="AI867" s="141"/>
      <c r="AJ867" s="141"/>
      <c r="AK867" s="141"/>
      <c r="AL867" s="141"/>
    </row>
    <row r="868" spans="1:38" ht="14.5" x14ac:dyDescent="0.35">
      <c r="A868" s="373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  <c r="AH868" s="141"/>
      <c r="AI868" s="141"/>
      <c r="AJ868" s="141"/>
      <c r="AK868" s="141"/>
      <c r="AL868" s="141"/>
    </row>
    <row r="869" spans="1:38" ht="14.5" x14ac:dyDescent="0.35">
      <c r="A869" s="373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  <c r="AH869" s="141"/>
      <c r="AI869" s="141"/>
      <c r="AJ869" s="141"/>
      <c r="AK869" s="141"/>
      <c r="AL869" s="141"/>
    </row>
    <row r="870" spans="1:38" ht="14.5" x14ac:dyDescent="0.35">
      <c r="A870" s="373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  <c r="AH870" s="141"/>
      <c r="AI870" s="141"/>
      <c r="AJ870" s="141"/>
      <c r="AK870" s="141"/>
      <c r="AL870" s="141"/>
    </row>
    <row r="871" spans="1:38" ht="14.5" x14ac:dyDescent="0.35">
      <c r="A871" s="373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  <c r="AJ871" s="141"/>
      <c r="AK871" s="141"/>
      <c r="AL871" s="141"/>
    </row>
    <row r="872" spans="1:38" ht="14.5" x14ac:dyDescent="0.35">
      <c r="A872" s="373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  <c r="AH872" s="141"/>
      <c r="AI872" s="141"/>
      <c r="AJ872" s="141"/>
      <c r="AK872" s="141"/>
      <c r="AL872" s="141"/>
    </row>
    <row r="873" spans="1:38" ht="14.5" x14ac:dyDescent="0.35">
      <c r="A873" s="373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  <c r="AH873" s="141"/>
      <c r="AI873" s="141"/>
      <c r="AJ873" s="141"/>
      <c r="AK873" s="141"/>
      <c r="AL873" s="141"/>
    </row>
    <row r="874" spans="1:38" ht="14.5" x14ac:dyDescent="0.35">
      <c r="A874" s="373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  <c r="AH874" s="141"/>
      <c r="AI874" s="141"/>
      <c r="AJ874" s="141"/>
      <c r="AK874" s="141"/>
      <c r="AL874" s="141"/>
    </row>
    <row r="875" spans="1:38" ht="14.5" x14ac:dyDescent="0.35">
      <c r="A875" s="373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  <c r="AJ875" s="141"/>
      <c r="AK875" s="141"/>
      <c r="AL875" s="141"/>
    </row>
    <row r="876" spans="1:38" ht="14.5" x14ac:dyDescent="0.35">
      <c r="A876" s="373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  <c r="AH876" s="141"/>
      <c r="AI876" s="141"/>
      <c r="AJ876" s="141"/>
      <c r="AK876" s="141"/>
      <c r="AL876" s="141"/>
    </row>
    <row r="877" spans="1:38" ht="14.5" x14ac:dyDescent="0.35">
      <c r="A877" s="373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  <c r="AJ877" s="141"/>
      <c r="AK877" s="141"/>
      <c r="AL877" s="141"/>
    </row>
    <row r="878" spans="1:38" ht="14.5" x14ac:dyDescent="0.35">
      <c r="A878" s="373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  <c r="AH878" s="141"/>
      <c r="AI878" s="141"/>
      <c r="AJ878" s="141"/>
      <c r="AK878" s="141"/>
      <c r="AL878" s="141"/>
    </row>
    <row r="879" spans="1:38" ht="14.5" x14ac:dyDescent="0.35">
      <c r="A879" s="373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  <c r="AJ879" s="141"/>
      <c r="AK879" s="141"/>
      <c r="AL879" s="141"/>
    </row>
    <row r="880" spans="1:38" ht="14.5" x14ac:dyDescent="0.35">
      <c r="A880" s="373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  <c r="AH880" s="141"/>
      <c r="AI880" s="141"/>
      <c r="AJ880" s="141"/>
      <c r="AK880" s="141"/>
      <c r="AL880" s="141"/>
    </row>
    <row r="881" spans="1:38" ht="14.5" x14ac:dyDescent="0.35">
      <c r="A881" s="373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  <c r="AH881" s="141"/>
      <c r="AI881" s="141"/>
      <c r="AJ881" s="141"/>
      <c r="AK881" s="141"/>
      <c r="AL881" s="141"/>
    </row>
    <row r="882" spans="1:38" ht="14.5" x14ac:dyDescent="0.35">
      <c r="A882" s="373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  <c r="AH882" s="141"/>
      <c r="AI882" s="141"/>
      <c r="AJ882" s="141"/>
      <c r="AK882" s="141"/>
      <c r="AL882" s="141"/>
    </row>
    <row r="883" spans="1:38" ht="14.5" x14ac:dyDescent="0.35">
      <c r="A883" s="373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  <c r="AJ883" s="141"/>
      <c r="AK883" s="141"/>
      <c r="AL883" s="141"/>
    </row>
    <row r="884" spans="1:38" ht="14.5" x14ac:dyDescent="0.35">
      <c r="A884" s="373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  <c r="AH884" s="141"/>
      <c r="AI884" s="141"/>
      <c r="AJ884" s="141"/>
      <c r="AK884" s="141"/>
      <c r="AL884" s="141"/>
    </row>
    <row r="885" spans="1:38" ht="14.5" x14ac:dyDescent="0.35">
      <c r="A885" s="373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  <c r="AJ885" s="141"/>
      <c r="AK885" s="141"/>
      <c r="AL885" s="141"/>
    </row>
    <row r="886" spans="1:38" ht="14.5" x14ac:dyDescent="0.35">
      <c r="A886" s="373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  <c r="AH886" s="141"/>
      <c r="AI886" s="141"/>
      <c r="AJ886" s="141"/>
      <c r="AK886" s="141"/>
      <c r="AL886" s="141"/>
    </row>
    <row r="887" spans="1:38" ht="14.5" x14ac:dyDescent="0.35">
      <c r="A887" s="373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  <c r="AJ887" s="141"/>
      <c r="AK887" s="141"/>
      <c r="AL887" s="141"/>
    </row>
    <row r="888" spans="1:38" ht="14.5" x14ac:dyDescent="0.35">
      <c r="A888" s="373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  <c r="AH888" s="141"/>
      <c r="AI888" s="141"/>
      <c r="AJ888" s="141"/>
      <c r="AK888" s="141"/>
      <c r="AL888" s="141"/>
    </row>
    <row r="889" spans="1:38" ht="14.5" x14ac:dyDescent="0.35">
      <c r="A889" s="373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  <c r="AJ889" s="141"/>
      <c r="AK889" s="141"/>
      <c r="AL889" s="141"/>
    </row>
    <row r="890" spans="1:38" ht="14.5" x14ac:dyDescent="0.35">
      <c r="A890" s="373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  <c r="AH890" s="141"/>
      <c r="AI890" s="141"/>
      <c r="AJ890" s="141"/>
      <c r="AK890" s="141"/>
      <c r="AL890" s="141"/>
    </row>
    <row r="891" spans="1:38" ht="14.5" x14ac:dyDescent="0.35">
      <c r="A891" s="373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  <c r="AJ891" s="141"/>
      <c r="AK891" s="141"/>
      <c r="AL891" s="141"/>
    </row>
    <row r="892" spans="1:38" ht="14.5" x14ac:dyDescent="0.35">
      <c r="A892" s="373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  <c r="AH892" s="141"/>
      <c r="AI892" s="141"/>
      <c r="AJ892" s="141"/>
      <c r="AK892" s="141"/>
      <c r="AL892" s="141"/>
    </row>
    <row r="893" spans="1:38" ht="14.5" x14ac:dyDescent="0.35">
      <c r="A893" s="373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  <c r="AJ893" s="141"/>
      <c r="AK893" s="141"/>
      <c r="AL893" s="141"/>
    </row>
    <row r="894" spans="1:38" ht="14.5" x14ac:dyDescent="0.35">
      <c r="A894" s="373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  <c r="AH894" s="141"/>
      <c r="AI894" s="141"/>
      <c r="AJ894" s="141"/>
      <c r="AK894" s="141"/>
      <c r="AL894" s="141"/>
    </row>
    <row r="895" spans="1:38" ht="14.5" x14ac:dyDescent="0.35">
      <c r="A895" s="373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  <c r="AH895" s="141"/>
      <c r="AI895" s="141"/>
      <c r="AJ895" s="141"/>
      <c r="AK895" s="141"/>
      <c r="AL895" s="141"/>
    </row>
    <row r="896" spans="1:38" ht="14.5" x14ac:dyDescent="0.35">
      <c r="A896" s="373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  <c r="AH896" s="141"/>
      <c r="AI896" s="141"/>
      <c r="AJ896" s="141"/>
      <c r="AK896" s="141"/>
      <c r="AL896" s="141"/>
    </row>
    <row r="897" spans="1:38" ht="14.5" x14ac:dyDescent="0.35">
      <c r="A897" s="373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  <c r="AJ897" s="141"/>
      <c r="AK897" s="141"/>
      <c r="AL897" s="141"/>
    </row>
    <row r="898" spans="1:38" ht="14.5" x14ac:dyDescent="0.35">
      <c r="A898" s="373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  <c r="AH898" s="141"/>
      <c r="AI898" s="141"/>
      <c r="AJ898" s="141"/>
      <c r="AK898" s="141"/>
      <c r="AL898" s="141"/>
    </row>
    <row r="899" spans="1:38" ht="14.5" x14ac:dyDescent="0.35">
      <c r="A899" s="373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  <c r="AJ899" s="141"/>
      <c r="AK899" s="141"/>
      <c r="AL899" s="141"/>
    </row>
    <row r="900" spans="1:38" ht="14.5" x14ac:dyDescent="0.35">
      <c r="A900" s="373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  <c r="AH900" s="141"/>
      <c r="AI900" s="141"/>
      <c r="AJ900" s="141"/>
      <c r="AK900" s="141"/>
      <c r="AL900" s="141"/>
    </row>
    <row r="901" spans="1:38" ht="14.5" x14ac:dyDescent="0.35">
      <c r="A901" s="373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  <c r="AJ901" s="141"/>
      <c r="AK901" s="141"/>
      <c r="AL901" s="141"/>
    </row>
    <row r="902" spans="1:38" ht="14.5" x14ac:dyDescent="0.35">
      <c r="A902" s="373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  <c r="AH902" s="141"/>
      <c r="AI902" s="141"/>
      <c r="AJ902" s="141"/>
      <c r="AK902" s="141"/>
      <c r="AL902" s="141"/>
    </row>
    <row r="903" spans="1:38" ht="14.5" x14ac:dyDescent="0.35">
      <c r="A903" s="373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  <c r="AH903" s="141"/>
      <c r="AI903" s="141"/>
      <c r="AJ903" s="141"/>
      <c r="AK903" s="141"/>
      <c r="AL903" s="141"/>
    </row>
    <row r="904" spans="1:38" ht="14.5" x14ac:dyDescent="0.35">
      <c r="A904" s="373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  <c r="AH904" s="141"/>
      <c r="AI904" s="141"/>
      <c r="AJ904" s="141"/>
      <c r="AK904" s="141"/>
      <c r="AL904" s="141"/>
    </row>
    <row r="905" spans="1:38" ht="14.5" x14ac:dyDescent="0.35">
      <c r="A905" s="373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  <c r="AH905" s="141"/>
      <c r="AI905" s="141"/>
      <c r="AJ905" s="141"/>
      <c r="AK905" s="141"/>
      <c r="AL905" s="141"/>
    </row>
    <row r="906" spans="1:38" ht="14.5" x14ac:dyDescent="0.35">
      <c r="A906" s="373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  <c r="AH906" s="141"/>
      <c r="AI906" s="141"/>
      <c r="AJ906" s="141"/>
      <c r="AK906" s="141"/>
      <c r="AL906" s="141"/>
    </row>
    <row r="907" spans="1:38" ht="14.5" x14ac:dyDescent="0.35">
      <c r="A907" s="373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  <c r="AJ907" s="141"/>
      <c r="AK907" s="141"/>
      <c r="AL907" s="141"/>
    </row>
    <row r="908" spans="1:38" ht="14.5" x14ac:dyDescent="0.35">
      <c r="A908" s="373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  <c r="AH908" s="141"/>
      <c r="AI908" s="141"/>
      <c r="AJ908" s="141"/>
      <c r="AK908" s="141"/>
      <c r="AL908" s="141"/>
    </row>
    <row r="909" spans="1:38" ht="14.5" x14ac:dyDescent="0.35">
      <c r="A909" s="373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  <c r="AJ909" s="141"/>
      <c r="AK909" s="141"/>
      <c r="AL909" s="141"/>
    </row>
    <row r="910" spans="1:38" ht="14.5" x14ac:dyDescent="0.35">
      <c r="A910" s="373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  <c r="AH910" s="141"/>
      <c r="AI910" s="141"/>
      <c r="AJ910" s="141"/>
      <c r="AK910" s="141"/>
      <c r="AL910" s="141"/>
    </row>
    <row r="911" spans="1:38" ht="14.5" x14ac:dyDescent="0.35">
      <c r="A911" s="373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  <c r="AH911" s="141"/>
      <c r="AI911" s="141"/>
      <c r="AJ911" s="141"/>
      <c r="AK911" s="141"/>
      <c r="AL911" s="141"/>
    </row>
    <row r="912" spans="1:38" ht="14.5" x14ac:dyDescent="0.35">
      <c r="A912" s="373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  <c r="AH912" s="141"/>
      <c r="AI912" s="141"/>
      <c r="AJ912" s="141"/>
      <c r="AK912" s="141"/>
      <c r="AL912" s="141"/>
    </row>
    <row r="913" spans="1:38" ht="14.5" x14ac:dyDescent="0.35">
      <c r="A913" s="373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  <c r="AH913" s="141"/>
      <c r="AI913" s="141"/>
      <c r="AJ913" s="141"/>
      <c r="AK913" s="141"/>
      <c r="AL913" s="141"/>
    </row>
    <row r="914" spans="1:38" ht="14.5" x14ac:dyDescent="0.35">
      <c r="A914" s="373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  <c r="AH914" s="141"/>
      <c r="AI914" s="141"/>
      <c r="AJ914" s="141"/>
      <c r="AK914" s="141"/>
      <c r="AL914" s="141"/>
    </row>
    <row r="915" spans="1:38" ht="14.5" x14ac:dyDescent="0.35">
      <c r="A915" s="373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  <c r="AJ915" s="141"/>
      <c r="AK915" s="141"/>
      <c r="AL915" s="141"/>
    </row>
    <row r="916" spans="1:38" ht="14.5" x14ac:dyDescent="0.35">
      <c r="A916" s="373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  <c r="AH916" s="141"/>
      <c r="AI916" s="141"/>
      <c r="AJ916" s="141"/>
      <c r="AK916" s="141"/>
      <c r="AL916" s="141"/>
    </row>
    <row r="917" spans="1:38" ht="14.5" x14ac:dyDescent="0.35">
      <c r="A917" s="373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  <c r="AH917" s="141"/>
      <c r="AI917" s="141"/>
      <c r="AJ917" s="141"/>
      <c r="AK917" s="141"/>
      <c r="AL917" s="141"/>
    </row>
    <row r="918" spans="1:38" ht="14.5" x14ac:dyDescent="0.35">
      <c r="A918" s="373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  <c r="AH918" s="141"/>
      <c r="AI918" s="141"/>
      <c r="AJ918" s="141"/>
      <c r="AK918" s="141"/>
      <c r="AL918" s="141"/>
    </row>
    <row r="919" spans="1:38" ht="14.5" x14ac:dyDescent="0.35">
      <c r="A919" s="373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  <c r="AH919" s="141"/>
      <c r="AI919" s="141"/>
      <c r="AJ919" s="141"/>
      <c r="AK919" s="141"/>
      <c r="AL919" s="141"/>
    </row>
    <row r="920" spans="1:38" ht="14.5" x14ac:dyDescent="0.35">
      <c r="A920" s="373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  <c r="AH920" s="141"/>
      <c r="AI920" s="141"/>
      <c r="AJ920" s="141"/>
      <c r="AK920" s="141"/>
      <c r="AL920" s="141"/>
    </row>
    <row r="921" spans="1:38" ht="14.5" x14ac:dyDescent="0.35">
      <c r="A921" s="373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  <c r="AJ921" s="141"/>
      <c r="AK921" s="141"/>
      <c r="AL921" s="141"/>
    </row>
    <row r="922" spans="1:38" ht="14.5" x14ac:dyDescent="0.35">
      <c r="A922" s="373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  <c r="AH922" s="141"/>
      <c r="AI922" s="141"/>
      <c r="AJ922" s="141"/>
      <c r="AK922" s="141"/>
      <c r="AL922" s="141"/>
    </row>
    <row r="923" spans="1:38" ht="14.5" x14ac:dyDescent="0.35">
      <c r="A923" s="373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  <c r="AJ923" s="141"/>
      <c r="AK923" s="141"/>
      <c r="AL923" s="141"/>
    </row>
    <row r="924" spans="1:38" ht="14.5" x14ac:dyDescent="0.35">
      <c r="A924" s="373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  <c r="AH924" s="141"/>
      <c r="AI924" s="141"/>
      <c r="AJ924" s="141"/>
      <c r="AK924" s="141"/>
      <c r="AL924" s="141"/>
    </row>
    <row r="925" spans="1:38" ht="14.5" x14ac:dyDescent="0.35">
      <c r="A925" s="373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  <c r="AH925" s="141"/>
      <c r="AI925" s="141"/>
      <c r="AJ925" s="141"/>
      <c r="AK925" s="141"/>
      <c r="AL925" s="141"/>
    </row>
    <row r="926" spans="1:38" ht="14.5" x14ac:dyDescent="0.35">
      <c r="A926" s="373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  <c r="AH926" s="141"/>
      <c r="AI926" s="141"/>
      <c r="AJ926" s="141"/>
      <c r="AK926" s="141"/>
      <c r="AL926" s="141"/>
    </row>
    <row r="927" spans="1:38" ht="14.5" x14ac:dyDescent="0.35">
      <c r="A927" s="373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  <c r="AH927" s="141"/>
      <c r="AI927" s="141"/>
      <c r="AJ927" s="141"/>
      <c r="AK927" s="141"/>
      <c r="AL927" s="141"/>
    </row>
    <row r="928" spans="1:38" ht="14.5" x14ac:dyDescent="0.35">
      <c r="A928" s="373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  <c r="AH928" s="141"/>
      <c r="AI928" s="141"/>
      <c r="AJ928" s="141"/>
      <c r="AK928" s="141"/>
      <c r="AL928" s="141"/>
    </row>
    <row r="929" spans="1:38" ht="14.5" x14ac:dyDescent="0.35">
      <c r="A929" s="373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  <c r="AJ929" s="141"/>
      <c r="AK929" s="141"/>
      <c r="AL929" s="141"/>
    </row>
    <row r="930" spans="1:38" ht="14.5" x14ac:dyDescent="0.35">
      <c r="A930" s="373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  <c r="AH930" s="141"/>
      <c r="AI930" s="141"/>
      <c r="AJ930" s="141"/>
      <c r="AK930" s="141"/>
      <c r="AL930" s="141"/>
    </row>
    <row r="931" spans="1:38" ht="14.5" x14ac:dyDescent="0.35">
      <c r="A931" s="373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  <c r="AJ931" s="141"/>
      <c r="AK931" s="141"/>
      <c r="AL931" s="141"/>
    </row>
    <row r="932" spans="1:38" ht="14.5" x14ac:dyDescent="0.35">
      <c r="A932" s="373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  <c r="AH932" s="141"/>
      <c r="AI932" s="141"/>
      <c r="AJ932" s="141"/>
      <c r="AK932" s="141"/>
      <c r="AL932" s="141"/>
    </row>
    <row r="933" spans="1:38" ht="14.5" x14ac:dyDescent="0.35">
      <c r="A933" s="373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  <c r="AJ933" s="141"/>
      <c r="AK933" s="141"/>
      <c r="AL933" s="141"/>
    </row>
    <row r="934" spans="1:38" ht="14.5" x14ac:dyDescent="0.35">
      <c r="A934" s="373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  <c r="AH934" s="141"/>
      <c r="AI934" s="141"/>
      <c r="AJ934" s="141"/>
      <c r="AK934" s="141"/>
      <c r="AL934" s="141"/>
    </row>
    <row r="935" spans="1:38" ht="14.5" x14ac:dyDescent="0.35">
      <c r="A935" s="373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  <c r="AJ935" s="141"/>
      <c r="AK935" s="141"/>
      <c r="AL935" s="141"/>
    </row>
    <row r="936" spans="1:38" ht="14.5" x14ac:dyDescent="0.35">
      <c r="A936" s="373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  <c r="AH936" s="141"/>
      <c r="AI936" s="141"/>
      <c r="AJ936" s="141"/>
      <c r="AK936" s="141"/>
      <c r="AL936" s="141"/>
    </row>
    <row r="937" spans="1:38" ht="14.5" x14ac:dyDescent="0.35">
      <c r="A937" s="373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  <c r="AH937" s="141"/>
      <c r="AI937" s="141"/>
      <c r="AJ937" s="141"/>
      <c r="AK937" s="141"/>
      <c r="AL937" s="141"/>
    </row>
    <row r="938" spans="1:38" ht="14.5" x14ac:dyDescent="0.35">
      <c r="A938" s="373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  <c r="AH938" s="141"/>
      <c r="AI938" s="141"/>
      <c r="AJ938" s="141"/>
      <c r="AK938" s="141"/>
      <c r="AL938" s="141"/>
    </row>
    <row r="939" spans="1:38" ht="14.5" x14ac:dyDescent="0.35">
      <c r="A939" s="373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  <c r="AH939" s="141"/>
      <c r="AI939" s="141"/>
      <c r="AJ939" s="141"/>
      <c r="AK939" s="141"/>
      <c r="AL939" s="141"/>
    </row>
    <row r="940" spans="1:38" ht="14.5" x14ac:dyDescent="0.35">
      <c r="A940" s="373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  <c r="AH940" s="141"/>
      <c r="AI940" s="141"/>
      <c r="AJ940" s="141"/>
      <c r="AK940" s="141"/>
      <c r="AL940" s="141"/>
    </row>
    <row r="941" spans="1:38" ht="14.5" x14ac:dyDescent="0.35">
      <c r="A941" s="373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  <c r="AH941" s="141"/>
      <c r="AI941" s="141"/>
      <c r="AJ941" s="141"/>
      <c r="AK941" s="141"/>
      <c r="AL941" s="141"/>
    </row>
    <row r="942" spans="1:38" ht="14.5" x14ac:dyDescent="0.35">
      <c r="A942" s="373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  <c r="AJ942" s="141"/>
      <c r="AK942" s="141"/>
      <c r="AL942" s="141"/>
    </row>
    <row r="943" spans="1:38" ht="14.5" x14ac:dyDescent="0.35">
      <c r="A943" s="373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  <c r="AH943" s="141"/>
      <c r="AI943" s="141"/>
      <c r="AJ943" s="141"/>
      <c r="AK943" s="141"/>
      <c r="AL943" s="141"/>
    </row>
    <row r="944" spans="1:38" ht="14.5" x14ac:dyDescent="0.35">
      <c r="A944" s="373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  <c r="AJ944" s="141"/>
      <c r="AK944" s="141"/>
      <c r="AL944" s="141"/>
    </row>
    <row r="945" spans="1:38" ht="14.5" x14ac:dyDescent="0.35">
      <c r="A945" s="373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  <c r="AH945" s="141"/>
      <c r="AI945" s="141"/>
      <c r="AJ945" s="141"/>
      <c r="AK945" s="141"/>
      <c r="AL945" s="141"/>
    </row>
    <row r="946" spans="1:38" ht="14.5" x14ac:dyDescent="0.35">
      <c r="A946" s="373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  <c r="AJ946" s="141"/>
      <c r="AK946" s="141"/>
      <c r="AL946" s="141"/>
    </row>
    <row r="947" spans="1:38" ht="14.5" x14ac:dyDescent="0.35">
      <c r="A947" s="373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  <c r="AH947" s="141"/>
      <c r="AI947" s="141"/>
      <c r="AJ947" s="141"/>
      <c r="AK947" s="141"/>
      <c r="AL947" s="141"/>
    </row>
    <row r="948" spans="1:38" ht="14.5" x14ac:dyDescent="0.35">
      <c r="A948" s="373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/>
      <c r="AI948" s="141"/>
      <c r="AJ948" s="141"/>
      <c r="AK948" s="141"/>
      <c r="AL948" s="141"/>
    </row>
    <row r="949" spans="1:38" ht="14.5" x14ac:dyDescent="0.35">
      <c r="A949" s="373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  <c r="AH949" s="141"/>
      <c r="AI949" s="141"/>
      <c r="AJ949" s="141"/>
      <c r="AK949" s="141"/>
      <c r="AL949" s="141"/>
    </row>
    <row r="950" spans="1:38" ht="14.5" x14ac:dyDescent="0.35">
      <c r="A950" s="373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  <c r="AJ950" s="141"/>
      <c r="AK950" s="141"/>
      <c r="AL950" s="141"/>
    </row>
    <row r="951" spans="1:38" ht="14.5" x14ac:dyDescent="0.35">
      <c r="A951" s="373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  <c r="AH951" s="141"/>
      <c r="AI951" s="141"/>
      <c r="AJ951" s="141"/>
      <c r="AK951" s="141"/>
      <c r="AL951" s="141"/>
    </row>
    <row r="952" spans="1:38" ht="14.5" x14ac:dyDescent="0.35">
      <c r="A952" s="373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  <c r="AJ952" s="141"/>
      <c r="AK952" s="141"/>
      <c r="AL952" s="141"/>
    </row>
    <row r="953" spans="1:38" ht="14.5" x14ac:dyDescent="0.35">
      <c r="A953" s="373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  <c r="AH953" s="141"/>
      <c r="AI953" s="141"/>
      <c r="AJ953" s="141"/>
      <c r="AK953" s="141"/>
      <c r="AL953" s="141"/>
    </row>
    <row r="954" spans="1:38" ht="14.5" x14ac:dyDescent="0.35">
      <c r="A954" s="373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  <c r="AJ954" s="141"/>
      <c r="AK954" s="141"/>
      <c r="AL954" s="141"/>
    </row>
    <row r="955" spans="1:38" ht="14.5" x14ac:dyDescent="0.35">
      <c r="A955" s="373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  <c r="AH955" s="141"/>
      <c r="AI955" s="141"/>
      <c r="AJ955" s="141"/>
      <c r="AK955" s="141"/>
      <c r="AL955" s="141"/>
    </row>
    <row r="956" spans="1:38" ht="14.5" x14ac:dyDescent="0.35">
      <c r="A956" s="373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  <c r="AJ956" s="141"/>
      <c r="AK956" s="141"/>
      <c r="AL956" s="141"/>
    </row>
    <row r="957" spans="1:38" ht="14.5" x14ac:dyDescent="0.35">
      <c r="A957" s="373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  <c r="AH957" s="141"/>
      <c r="AI957" s="141"/>
      <c r="AJ957" s="141"/>
      <c r="AK957" s="141"/>
      <c r="AL957" s="141"/>
    </row>
    <row r="958" spans="1:38" ht="14.5" x14ac:dyDescent="0.35">
      <c r="A958" s="373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  <c r="AJ958" s="141"/>
      <c r="AK958" s="141"/>
      <c r="AL958" s="141"/>
    </row>
    <row r="959" spans="1:38" ht="14.5" x14ac:dyDescent="0.35">
      <c r="A959" s="373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  <c r="AH959" s="141"/>
      <c r="AI959" s="141"/>
      <c r="AJ959" s="141"/>
      <c r="AK959" s="141"/>
      <c r="AL959" s="141"/>
    </row>
    <row r="960" spans="1:38" ht="14.5" x14ac:dyDescent="0.35">
      <c r="A960" s="373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/>
      <c r="AI960" s="141"/>
      <c r="AJ960" s="141"/>
      <c r="AK960" s="141"/>
      <c r="AL960" s="141"/>
    </row>
    <row r="961" spans="1:38" ht="14.5" x14ac:dyDescent="0.35">
      <c r="A961" s="373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  <c r="AH961" s="141"/>
      <c r="AI961" s="141"/>
      <c r="AJ961" s="141"/>
      <c r="AK961" s="141"/>
      <c r="AL961" s="141"/>
    </row>
    <row r="962" spans="1:38" ht="14.5" x14ac:dyDescent="0.35">
      <c r="A962" s="373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  <c r="AH962" s="141"/>
      <c r="AI962" s="141"/>
      <c r="AJ962" s="141"/>
      <c r="AK962" s="141"/>
      <c r="AL962" s="141"/>
    </row>
    <row r="963" spans="1:38" ht="14.5" x14ac:dyDescent="0.35">
      <c r="A963" s="373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  <c r="AH963" s="141"/>
      <c r="AI963" s="141"/>
      <c r="AJ963" s="141"/>
      <c r="AK963" s="141"/>
      <c r="AL963" s="141"/>
    </row>
    <row r="964" spans="1:38" ht="14.5" x14ac:dyDescent="0.35">
      <c r="A964" s="373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  <c r="AJ964" s="141"/>
      <c r="AK964" s="141"/>
      <c r="AL964" s="141"/>
    </row>
    <row r="965" spans="1:38" ht="14.5" x14ac:dyDescent="0.35">
      <c r="A965" s="373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  <c r="AH965" s="141"/>
      <c r="AI965" s="141"/>
      <c r="AJ965" s="141"/>
      <c r="AK965" s="141"/>
      <c r="AL965" s="141"/>
    </row>
    <row r="966" spans="1:38" ht="14.5" x14ac:dyDescent="0.35">
      <c r="A966" s="373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  <c r="AH966" s="141"/>
      <c r="AI966" s="141"/>
      <c r="AJ966" s="141"/>
      <c r="AK966" s="141"/>
      <c r="AL966" s="141"/>
    </row>
    <row r="967" spans="1:38" ht="14.5" x14ac:dyDescent="0.35">
      <c r="A967" s="373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  <c r="AH967" s="141"/>
      <c r="AI967" s="141"/>
      <c r="AJ967" s="141"/>
      <c r="AK967" s="141"/>
      <c r="AL967" s="141"/>
    </row>
    <row r="968" spans="1:38" ht="14.5" x14ac:dyDescent="0.35">
      <c r="A968" s="373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  <c r="AJ968" s="141"/>
      <c r="AK968" s="141"/>
      <c r="AL968" s="141"/>
    </row>
    <row r="969" spans="1:38" ht="14.5" x14ac:dyDescent="0.35">
      <c r="A969" s="373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  <c r="AH969" s="141"/>
      <c r="AI969" s="141"/>
      <c r="AJ969" s="141"/>
      <c r="AK969" s="141"/>
      <c r="AL969" s="141"/>
    </row>
    <row r="970" spans="1:38" ht="14.5" x14ac:dyDescent="0.35">
      <c r="A970" s="373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  <c r="AH970" s="141"/>
      <c r="AI970" s="141"/>
      <c r="AJ970" s="141"/>
      <c r="AK970" s="141"/>
      <c r="AL970" s="141"/>
    </row>
    <row r="971" spans="1:38" ht="14.5" x14ac:dyDescent="0.35">
      <c r="A971" s="373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  <c r="AH971" s="141"/>
      <c r="AI971" s="141"/>
      <c r="AJ971" s="141"/>
      <c r="AK971" s="141"/>
      <c r="AL971" s="141"/>
    </row>
    <row r="972" spans="1:38" ht="14.5" x14ac:dyDescent="0.35">
      <c r="A972" s="373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  <c r="AH972" s="141"/>
      <c r="AI972" s="141"/>
      <c r="AJ972" s="141"/>
      <c r="AK972" s="141"/>
      <c r="AL972" s="141"/>
    </row>
    <row r="973" spans="1:38" ht="14.5" x14ac:dyDescent="0.35">
      <c r="A973" s="373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  <c r="AH973" s="141"/>
      <c r="AI973" s="141"/>
      <c r="AJ973" s="141"/>
      <c r="AK973" s="141"/>
      <c r="AL973" s="141"/>
    </row>
    <row r="974" spans="1:38" ht="14.5" x14ac:dyDescent="0.35">
      <c r="A974" s="373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  <c r="AH974" s="141"/>
      <c r="AI974" s="141"/>
      <c r="AJ974" s="141"/>
      <c r="AK974" s="141"/>
      <c r="AL974" s="141"/>
    </row>
    <row r="975" spans="1:38" ht="14.5" x14ac:dyDescent="0.35">
      <c r="A975" s="373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  <c r="AH975" s="141"/>
      <c r="AI975" s="141"/>
      <c r="AJ975" s="141"/>
      <c r="AK975" s="141"/>
      <c r="AL975" s="141"/>
    </row>
    <row r="976" spans="1:38" ht="14.5" x14ac:dyDescent="0.35">
      <c r="A976" s="373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  <c r="AH976" s="141"/>
      <c r="AI976" s="141"/>
      <c r="AJ976" s="141"/>
      <c r="AK976" s="141"/>
      <c r="AL976" s="141"/>
    </row>
    <row r="977" spans="1:38" ht="14.5" x14ac:dyDescent="0.35">
      <c r="A977" s="373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  <c r="AF977" s="141"/>
      <c r="AG977" s="141"/>
      <c r="AH977" s="141"/>
      <c r="AI977" s="141"/>
      <c r="AJ977" s="141"/>
      <c r="AK977" s="141"/>
      <c r="AL977" s="141"/>
    </row>
    <row r="978" spans="1:38" ht="14.5" x14ac:dyDescent="0.35">
      <c r="A978" s="373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  <c r="AF978" s="141"/>
      <c r="AG978" s="141"/>
      <c r="AH978" s="141"/>
      <c r="AI978" s="141"/>
      <c r="AJ978" s="141"/>
      <c r="AK978" s="141"/>
      <c r="AL978" s="141"/>
    </row>
    <row r="979" spans="1:38" ht="14.5" x14ac:dyDescent="0.35">
      <c r="A979" s="373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  <c r="AF979" s="141"/>
      <c r="AG979" s="141"/>
      <c r="AH979" s="141"/>
      <c r="AI979" s="141"/>
      <c r="AJ979" s="141"/>
      <c r="AK979" s="141"/>
      <c r="AL979" s="141"/>
    </row>
    <row r="980" spans="1:38" ht="14.5" x14ac:dyDescent="0.35">
      <c r="A980" s="373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  <c r="AF980" s="141"/>
      <c r="AG980" s="141"/>
      <c r="AH980" s="141"/>
      <c r="AI980" s="141"/>
      <c r="AJ980" s="141"/>
      <c r="AK980" s="141"/>
      <c r="AL980" s="141"/>
    </row>
    <row r="981" spans="1:38" ht="14.5" x14ac:dyDescent="0.35">
      <c r="A981" s="373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  <c r="AF981" s="141"/>
      <c r="AG981" s="141"/>
      <c r="AH981" s="141"/>
      <c r="AI981" s="141"/>
      <c r="AJ981" s="141"/>
      <c r="AK981" s="141"/>
      <c r="AL981" s="141"/>
    </row>
    <row r="982" spans="1:38" ht="14.5" x14ac:dyDescent="0.35">
      <c r="A982" s="373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  <c r="AF982" s="141"/>
      <c r="AG982" s="141"/>
      <c r="AH982" s="141"/>
      <c r="AI982" s="141"/>
      <c r="AJ982" s="141"/>
      <c r="AK982" s="141"/>
      <c r="AL982" s="141"/>
    </row>
    <row r="983" spans="1:38" ht="14.5" x14ac:dyDescent="0.35">
      <c r="A983" s="373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  <c r="AF983" s="141"/>
      <c r="AG983" s="141"/>
      <c r="AH983" s="141"/>
      <c r="AI983" s="141"/>
      <c r="AJ983" s="141"/>
      <c r="AK983" s="141"/>
      <c r="AL983" s="141"/>
    </row>
    <row r="984" spans="1:38" ht="14.5" x14ac:dyDescent="0.35">
      <c r="A984" s="373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  <c r="AF984" s="141"/>
      <c r="AG984" s="141"/>
      <c r="AH984" s="141"/>
      <c r="AI984" s="141"/>
      <c r="AJ984" s="141"/>
      <c r="AK984" s="141"/>
      <c r="AL984" s="141"/>
    </row>
    <row r="985" spans="1:38" ht="14.5" x14ac:dyDescent="0.35">
      <c r="A985" s="373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  <c r="AE985" s="141"/>
      <c r="AF985" s="141"/>
      <c r="AG985" s="141"/>
      <c r="AH985" s="141"/>
      <c r="AI985" s="141"/>
      <c r="AJ985" s="141"/>
      <c r="AK985" s="141"/>
      <c r="AL985" s="141"/>
    </row>
    <row r="986" spans="1:38" ht="14.5" x14ac:dyDescent="0.35">
      <c r="A986" s="373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  <c r="AE986" s="141"/>
      <c r="AF986" s="141"/>
      <c r="AG986" s="141"/>
      <c r="AH986" s="141"/>
      <c r="AI986" s="141"/>
      <c r="AJ986" s="141"/>
      <c r="AK986" s="141"/>
      <c r="AL986" s="141"/>
    </row>
    <row r="987" spans="1:38" ht="14.5" x14ac:dyDescent="0.35">
      <c r="A987" s="373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  <c r="AE987" s="141"/>
      <c r="AF987" s="141"/>
      <c r="AG987" s="141"/>
      <c r="AH987" s="141"/>
      <c r="AI987" s="141"/>
      <c r="AJ987" s="141"/>
      <c r="AK987" s="141"/>
      <c r="AL987" s="141"/>
    </row>
    <row r="988" spans="1:38" ht="14.5" x14ac:dyDescent="0.35">
      <c r="A988" s="373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  <c r="AE988" s="141"/>
      <c r="AF988" s="141"/>
      <c r="AG988" s="141"/>
      <c r="AH988" s="141"/>
      <c r="AI988" s="141"/>
      <c r="AJ988" s="141"/>
      <c r="AK988" s="141"/>
      <c r="AL988" s="141"/>
    </row>
    <row r="989" spans="1:38" ht="14.5" x14ac:dyDescent="0.35">
      <c r="A989" s="373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  <c r="AE989" s="141"/>
      <c r="AF989" s="141"/>
      <c r="AG989" s="141"/>
      <c r="AH989" s="141"/>
      <c r="AI989" s="141"/>
      <c r="AJ989" s="141"/>
      <c r="AK989" s="141"/>
      <c r="AL989" s="141"/>
    </row>
    <row r="990" spans="1:38" ht="14.5" x14ac:dyDescent="0.35">
      <c r="A990" s="373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  <c r="AE990" s="141"/>
      <c r="AF990" s="141"/>
      <c r="AG990" s="141"/>
      <c r="AH990" s="141"/>
      <c r="AI990" s="141"/>
      <c r="AJ990" s="141"/>
      <c r="AK990" s="141"/>
      <c r="AL990" s="141"/>
    </row>
    <row r="991" spans="1:38" ht="14.5" x14ac:dyDescent="0.35">
      <c r="A991" s="373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  <c r="AE991" s="141"/>
      <c r="AF991" s="141"/>
      <c r="AG991" s="141"/>
      <c r="AH991" s="141"/>
      <c r="AI991" s="141"/>
      <c r="AJ991" s="141"/>
      <c r="AK991" s="141"/>
      <c r="AL991" s="141"/>
    </row>
    <row r="992" spans="1:38" ht="14.5" x14ac:dyDescent="0.35">
      <c r="A992" s="373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  <c r="AE992" s="141"/>
      <c r="AF992" s="141"/>
      <c r="AG992" s="141"/>
      <c r="AH992" s="141"/>
      <c r="AI992" s="141"/>
      <c r="AJ992" s="141"/>
      <c r="AK992" s="141"/>
      <c r="AL992" s="14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N99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53125" defaultRowHeight="15" customHeight="1" x14ac:dyDescent="0.35"/>
  <cols>
    <col min="1" max="1" width="28.7265625" customWidth="1"/>
  </cols>
  <sheetData>
    <row r="1" spans="1:40" ht="14.5" x14ac:dyDescent="0.35">
      <c r="A1" s="358"/>
      <c r="B1" s="291"/>
      <c r="C1" s="291"/>
      <c r="D1" s="291"/>
      <c r="E1" s="290" t="s">
        <v>333</v>
      </c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  <c r="U1" s="291"/>
      <c r="V1" s="291"/>
      <c r="W1" s="291"/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</row>
    <row r="2" spans="1:40" ht="14.5" x14ac:dyDescent="0.35">
      <c r="A2" s="359"/>
      <c r="B2" s="360" t="s">
        <v>344</v>
      </c>
      <c r="C2" s="360" t="s">
        <v>345</v>
      </c>
      <c r="D2" s="360" t="s">
        <v>346</v>
      </c>
      <c r="E2" s="360" t="s">
        <v>347</v>
      </c>
      <c r="F2" s="360" t="s">
        <v>348</v>
      </c>
      <c r="G2" s="360" t="s">
        <v>349</v>
      </c>
      <c r="H2" s="360" t="s">
        <v>350</v>
      </c>
      <c r="I2" s="360" t="s">
        <v>351</v>
      </c>
      <c r="J2" s="360" t="s">
        <v>352</v>
      </c>
      <c r="K2" s="360" t="s">
        <v>353</v>
      </c>
      <c r="L2" s="360" t="s">
        <v>354</v>
      </c>
      <c r="M2" s="360" t="s">
        <v>355</v>
      </c>
      <c r="N2" s="360" t="s">
        <v>356</v>
      </c>
      <c r="O2" s="360" t="s">
        <v>357</v>
      </c>
      <c r="P2" s="360" t="s">
        <v>358</v>
      </c>
      <c r="Q2" s="360" t="s">
        <v>359</v>
      </c>
      <c r="R2" s="360" t="s">
        <v>360</v>
      </c>
      <c r="S2" s="360" t="s">
        <v>361</v>
      </c>
      <c r="T2" s="360" t="s">
        <v>362</v>
      </c>
      <c r="U2" s="360" t="s">
        <v>363</v>
      </c>
      <c r="V2" s="360" t="s">
        <v>364</v>
      </c>
      <c r="W2" s="360" t="s">
        <v>365</v>
      </c>
      <c r="X2" s="360" t="s">
        <v>366</v>
      </c>
      <c r="Y2" s="360" t="s">
        <v>367</v>
      </c>
      <c r="Z2" s="360" t="s">
        <v>368</v>
      </c>
      <c r="AA2" s="360" t="s">
        <v>369</v>
      </c>
      <c r="AB2" s="360" t="s">
        <v>370</v>
      </c>
      <c r="AC2" s="360" t="s">
        <v>371</v>
      </c>
      <c r="AD2" s="360" t="s">
        <v>372</v>
      </c>
      <c r="AE2" s="360" t="s">
        <v>373</v>
      </c>
      <c r="AF2" s="360" t="s">
        <v>374</v>
      </c>
      <c r="AG2" s="360" t="s">
        <v>375</v>
      </c>
      <c r="AH2" s="360" t="s">
        <v>376</v>
      </c>
      <c r="AI2" s="360" t="s">
        <v>377</v>
      </c>
      <c r="AJ2" s="360" t="s">
        <v>378</v>
      </c>
      <c r="AK2" s="360"/>
      <c r="AL2" s="360"/>
      <c r="AM2" s="360"/>
      <c r="AN2" s="360"/>
    </row>
    <row r="3" spans="1:40" ht="14.5" x14ac:dyDescent="0.35">
      <c r="A3" s="361" t="s">
        <v>301</v>
      </c>
      <c r="B3" s="294" t="s">
        <v>302</v>
      </c>
      <c r="C3" s="294" t="s">
        <v>303</v>
      </c>
      <c r="D3" s="294" t="s">
        <v>97</v>
      </c>
      <c r="E3" s="294" t="s">
        <v>99</v>
      </c>
      <c r="F3" s="294" t="s">
        <v>304</v>
      </c>
      <c r="G3" s="294" t="s">
        <v>100</v>
      </c>
      <c r="H3" s="294" t="s">
        <v>94</v>
      </c>
      <c r="I3" s="294" t="s">
        <v>104</v>
      </c>
      <c r="J3" s="294" t="s">
        <v>15</v>
      </c>
      <c r="K3" s="294" t="s">
        <v>305</v>
      </c>
      <c r="L3" s="294" t="s">
        <v>306</v>
      </c>
      <c r="M3" s="294" t="s">
        <v>307</v>
      </c>
      <c r="N3" s="294" t="s">
        <v>308</v>
      </c>
      <c r="O3" s="294" t="s">
        <v>309</v>
      </c>
      <c r="P3" s="294" t="s">
        <v>310</v>
      </c>
      <c r="Q3" s="294" t="s">
        <v>101</v>
      </c>
      <c r="R3" s="294" t="s">
        <v>102</v>
      </c>
      <c r="S3" s="294" t="s">
        <v>20</v>
      </c>
      <c r="T3" s="294" t="s">
        <v>255</v>
      </c>
      <c r="U3" s="294" t="s">
        <v>39</v>
      </c>
      <c r="V3" s="294" t="s">
        <v>61</v>
      </c>
      <c r="W3" s="294" t="s">
        <v>9</v>
      </c>
      <c r="X3" s="294" t="s">
        <v>4</v>
      </c>
      <c r="Y3" s="294" t="s">
        <v>254</v>
      </c>
      <c r="Z3" s="294" t="s">
        <v>96</v>
      </c>
      <c r="AA3" s="294" t="s">
        <v>259</v>
      </c>
      <c r="AB3" s="294" t="s">
        <v>260</v>
      </c>
      <c r="AC3" s="294" t="s">
        <v>261</v>
      </c>
      <c r="AD3" s="294" t="s">
        <v>262</v>
      </c>
      <c r="AE3" s="294" t="s">
        <v>256</v>
      </c>
      <c r="AF3" s="294" t="s">
        <v>257</v>
      </c>
      <c r="AG3" s="294" t="s">
        <v>258</v>
      </c>
      <c r="AH3" s="294" t="s">
        <v>78</v>
      </c>
      <c r="AI3" s="294" t="s">
        <v>95</v>
      </c>
      <c r="AJ3" s="294" t="s">
        <v>311</v>
      </c>
      <c r="AK3" s="294" t="s">
        <v>219</v>
      </c>
      <c r="AL3" s="294" t="s">
        <v>246</v>
      </c>
      <c r="AM3" s="294" t="s">
        <v>247</v>
      </c>
      <c r="AN3" s="295" t="s">
        <v>312</v>
      </c>
    </row>
    <row r="4" spans="1:40" ht="14.5" x14ac:dyDescent="0.35">
      <c r="A4" s="362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  <c r="AL4" s="334"/>
      <c r="AM4" s="334"/>
      <c r="AN4" s="334"/>
    </row>
    <row r="5" spans="1:40" ht="14.5" x14ac:dyDescent="0.35">
      <c r="A5" s="363" t="s">
        <v>313</v>
      </c>
      <c r="B5" s="297"/>
      <c r="C5" s="297"/>
      <c r="D5" s="298"/>
      <c r="E5" s="297"/>
      <c r="F5" s="297"/>
      <c r="G5" s="297"/>
      <c r="H5" s="297"/>
      <c r="I5" s="297"/>
      <c r="J5" s="297"/>
      <c r="K5" s="297"/>
      <c r="L5" s="297"/>
      <c r="M5" s="297"/>
      <c r="N5" s="299"/>
      <c r="O5" s="299"/>
      <c r="P5" s="299"/>
      <c r="Q5" s="300"/>
      <c r="R5" s="300"/>
      <c r="S5" s="299"/>
      <c r="T5" s="299"/>
      <c r="U5" s="297"/>
      <c r="V5" s="347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  <c r="AH5" s="299"/>
      <c r="AI5" s="299"/>
      <c r="AJ5" s="348"/>
      <c r="AK5" s="348"/>
      <c r="AL5" s="348"/>
      <c r="AM5" s="348"/>
      <c r="AN5" s="303">
        <f t="shared" ref="AN5:AN6" si="0">SUM(B5:AJ5)</f>
        <v>0</v>
      </c>
    </row>
    <row r="6" spans="1:40" ht="14.5" x14ac:dyDescent="0.35">
      <c r="A6" s="364" t="s">
        <v>314</v>
      </c>
      <c r="B6" s="305"/>
      <c r="C6" s="305"/>
      <c r="D6" s="306"/>
      <c r="E6" s="305"/>
      <c r="F6" s="305"/>
      <c r="G6" s="305"/>
      <c r="H6" s="305"/>
      <c r="I6" s="305"/>
      <c r="J6" s="305"/>
      <c r="K6" s="305"/>
      <c r="L6" s="305"/>
      <c r="M6" s="305"/>
      <c r="N6" s="307"/>
      <c r="O6" s="307"/>
      <c r="P6" s="307"/>
      <c r="Q6" s="307"/>
      <c r="R6" s="307"/>
      <c r="S6" s="307"/>
      <c r="T6" s="307"/>
      <c r="U6" s="307"/>
      <c r="V6" s="334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25"/>
      <c r="AK6" s="325"/>
      <c r="AL6" s="325"/>
      <c r="AM6" s="325"/>
      <c r="AN6" s="303">
        <f t="shared" si="0"/>
        <v>0</v>
      </c>
    </row>
    <row r="7" spans="1:40" ht="14.5" x14ac:dyDescent="0.35">
      <c r="A7" s="364" t="s">
        <v>266</v>
      </c>
      <c r="B7" s="305">
        <f t="shared" ref="B7:AJ7" si="1">B5-B6</f>
        <v>0</v>
      </c>
      <c r="C7" s="305">
        <f t="shared" si="1"/>
        <v>0</v>
      </c>
      <c r="D7" s="305">
        <f t="shared" si="1"/>
        <v>0</v>
      </c>
      <c r="E7" s="305">
        <f t="shared" si="1"/>
        <v>0</v>
      </c>
      <c r="F7" s="305">
        <f t="shared" si="1"/>
        <v>0</v>
      </c>
      <c r="G7" s="305">
        <f t="shared" si="1"/>
        <v>0</v>
      </c>
      <c r="H7" s="305">
        <f t="shared" si="1"/>
        <v>0</v>
      </c>
      <c r="I7" s="305">
        <f t="shared" si="1"/>
        <v>0</v>
      </c>
      <c r="J7" s="305">
        <f t="shared" si="1"/>
        <v>0</v>
      </c>
      <c r="K7" s="305">
        <f t="shared" si="1"/>
        <v>0</v>
      </c>
      <c r="L7" s="305">
        <f t="shared" si="1"/>
        <v>0</v>
      </c>
      <c r="M7" s="305">
        <f t="shared" si="1"/>
        <v>0</v>
      </c>
      <c r="N7" s="305">
        <f t="shared" si="1"/>
        <v>0</v>
      </c>
      <c r="O7" s="305">
        <f t="shared" si="1"/>
        <v>0</v>
      </c>
      <c r="P7" s="305">
        <f t="shared" si="1"/>
        <v>0</v>
      </c>
      <c r="Q7" s="305">
        <f t="shared" si="1"/>
        <v>0</v>
      </c>
      <c r="R7" s="305">
        <f t="shared" si="1"/>
        <v>0</v>
      </c>
      <c r="S7" s="305">
        <f t="shared" si="1"/>
        <v>0</v>
      </c>
      <c r="T7" s="305">
        <f t="shared" si="1"/>
        <v>0</v>
      </c>
      <c r="U7" s="305">
        <f t="shared" si="1"/>
        <v>0</v>
      </c>
      <c r="V7" s="305">
        <f t="shared" si="1"/>
        <v>0</v>
      </c>
      <c r="W7" s="305">
        <f t="shared" si="1"/>
        <v>0</v>
      </c>
      <c r="X7" s="305">
        <f t="shared" si="1"/>
        <v>0</v>
      </c>
      <c r="Y7" s="305">
        <f t="shared" si="1"/>
        <v>0</v>
      </c>
      <c r="Z7" s="305">
        <f t="shared" si="1"/>
        <v>0</v>
      </c>
      <c r="AA7" s="305">
        <f t="shared" si="1"/>
        <v>0</v>
      </c>
      <c r="AB7" s="305">
        <f t="shared" si="1"/>
        <v>0</v>
      </c>
      <c r="AC7" s="305">
        <f t="shared" si="1"/>
        <v>0</v>
      </c>
      <c r="AD7" s="305">
        <f t="shared" si="1"/>
        <v>0</v>
      </c>
      <c r="AE7" s="305">
        <f t="shared" si="1"/>
        <v>0</v>
      </c>
      <c r="AF7" s="305">
        <f t="shared" si="1"/>
        <v>0</v>
      </c>
      <c r="AG7" s="305">
        <f t="shared" si="1"/>
        <v>0</v>
      </c>
      <c r="AH7" s="305">
        <f t="shared" si="1"/>
        <v>0</v>
      </c>
      <c r="AI7" s="305">
        <f t="shared" si="1"/>
        <v>0</v>
      </c>
      <c r="AJ7" s="305">
        <f t="shared" si="1"/>
        <v>0</v>
      </c>
      <c r="AK7" s="305"/>
      <c r="AL7" s="305"/>
      <c r="AM7" s="305"/>
      <c r="AN7" s="305">
        <f>AN5-AN6</f>
        <v>0</v>
      </c>
    </row>
    <row r="8" spans="1:40" ht="14.5" x14ac:dyDescent="0.35">
      <c r="A8" s="365" t="s">
        <v>267</v>
      </c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50"/>
    </row>
    <row r="9" spans="1:40" ht="14.5" x14ac:dyDescent="0.35">
      <c r="A9" s="364" t="s">
        <v>90</v>
      </c>
      <c r="B9" s="305"/>
      <c r="C9" s="305"/>
      <c r="D9" s="305"/>
      <c r="E9" s="305"/>
      <c r="F9" s="305"/>
      <c r="G9" s="305"/>
      <c r="H9" s="305"/>
      <c r="I9" s="305"/>
      <c r="J9" s="305"/>
      <c r="K9" s="305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25"/>
      <c r="W9" s="307"/>
      <c r="X9" s="305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25"/>
      <c r="AK9" s="325"/>
      <c r="AL9" s="325"/>
      <c r="AM9" s="325"/>
      <c r="AN9" s="303">
        <f t="shared" ref="AN9:AN44" si="2">SUM(B9:AJ9)</f>
        <v>0</v>
      </c>
    </row>
    <row r="10" spans="1:40" ht="14.5" x14ac:dyDescent="0.35">
      <c r="A10" s="366" t="s">
        <v>91</v>
      </c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23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23"/>
      <c r="AK10" s="323"/>
      <c r="AL10" s="323"/>
      <c r="AM10" s="323"/>
      <c r="AN10" s="303">
        <f t="shared" si="2"/>
        <v>0</v>
      </c>
    </row>
    <row r="11" spans="1:40" ht="14.5" x14ac:dyDescent="0.35">
      <c r="A11" s="367" t="s">
        <v>92</v>
      </c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25"/>
      <c r="W11" s="307"/>
      <c r="X11" s="318"/>
      <c r="Y11" s="307"/>
      <c r="Z11" s="307"/>
      <c r="AA11" s="307"/>
      <c r="AB11" s="307"/>
      <c r="AC11" s="307"/>
      <c r="AD11" s="307"/>
      <c r="AE11" s="307"/>
      <c r="AF11" s="307"/>
      <c r="AG11" s="307"/>
      <c r="AH11" s="307"/>
      <c r="AI11" s="307"/>
      <c r="AJ11" s="325"/>
      <c r="AK11" s="325"/>
      <c r="AL11" s="325"/>
      <c r="AM11" s="325"/>
      <c r="AN11" s="303">
        <f t="shared" si="2"/>
        <v>0</v>
      </c>
    </row>
    <row r="12" spans="1:40" ht="14.5" x14ac:dyDescent="0.35">
      <c r="A12" s="366" t="s">
        <v>268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23"/>
      <c r="W12" s="314"/>
      <c r="X12" s="314"/>
      <c r="Y12" s="314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23"/>
      <c r="AK12" s="323"/>
      <c r="AL12" s="323"/>
      <c r="AM12" s="323"/>
      <c r="AN12" s="303">
        <f t="shared" si="2"/>
        <v>0</v>
      </c>
    </row>
    <row r="13" spans="1:40" ht="14.5" x14ac:dyDescent="0.35">
      <c r="A13" s="367" t="s">
        <v>55</v>
      </c>
      <c r="B13" s="307"/>
      <c r="C13" s="307"/>
      <c r="D13" s="307"/>
      <c r="E13" s="307"/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25"/>
      <c r="W13" s="307"/>
      <c r="X13" s="305"/>
      <c r="Y13" s="307"/>
      <c r="Z13" s="307"/>
      <c r="AA13" s="307"/>
      <c r="AB13" s="307"/>
      <c r="AC13" s="307"/>
      <c r="AD13" s="351"/>
      <c r="AE13" s="307"/>
      <c r="AF13" s="307"/>
      <c r="AG13" s="307"/>
      <c r="AH13" s="307"/>
      <c r="AI13" s="307"/>
      <c r="AJ13" s="325"/>
      <c r="AK13" s="325"/>
      <c r="AL13" s="325"/>
      <c r="AM13" s="325"/>
      <c r="AN13" s="303">
        <f t="shared" si="2"/>
        <v>0</v>
      </c>
    </row>
    <row r="14" spans="1:40" ht="14.5" x14ac:dyDescent="0.35">
      <c r="A14" s="368" t="s">
        <v>269</v>
      </c>
      <c r="B14" s="307"/>
      <c r="C14" s="307"/>
      <c r="D14" s="307"/>
      <c r="E14" s="307"/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25"/>
      <c r="W14" s="307"/>
      <c r="X14" s="325"/>
      <c r="Y14" s="307"/>
      <c r="Z14" s="325"/>
      <c r="AA14" s="325"/>
      <c r="AB14" s="307"/>
      <c r="AC14" s="307"/>
      <c r="AD14" s="307"/>
      <c r="AE14" s="307"/>
      <c r="AF14" s="307"/>
      <c r="AG14" s="307"/>
      <c r="AH14" s="307"/>
      <c r="AI14" s="307"/>
      <c r="AJ14" s="325"/>
      <c r="AK14" s="325"/>
      <c r="AL14" s="325"/>
      <c r="AM14" s="325"/>
      <c r="AN14" s="317">
        <f t="shared" si="2"/>
        <v>0</v>
      </c>
    </row>
    <row r="15" spans="1:40" ht="14.5" x14ac:dyDescent="0.35">
      <c r="A15" s="369" t="s">
        <v>57</v>
      </c>
      <c r="B15" s="314"/>
      <c r="C15" s="314"/>
      <c r="D15" s="314"/>
      <c r="E15" s="314"/>
      <c r="F15" s="314"/>
      <c r="G15" s="314"/>
      <c r="H15" s="314"/>
      <c r="I15" s="323"/>
      <c r="J15" s="314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23"/>
      <c r="W15" s="314"/>
      <c r="X15" s="314"/>
      <c r="Y15" s="314"/>
      <c r="Z15" s="323"/>
      <c r="AA15" s="323"/>
      <c r="AB15" s="314"/>
      <c r="AC15" s="314"/>
      <c r="AD15" s="314"/>
      <c r="AE15" s="314"/>
      <c r="AF15" s="314"/>
      <c r="AG15" s="314"/>
      <c r="AH15" s="314"/>
      <c r="AI15" s="314"/>
      <c r="AJ15" s="323"/>
      <c r="AK15" s="323"/>
      <c r="AL15" s="323"/>
      <c r="AM15" s="323"/>
      <c r="AN15" s="303">
        <f t="shared" si="2"/>
        <v>0</v>
      </c>
    </row>
    <row r="16" spans="1:40" ht="14.5" x14ac:dyDescent="0.35">
      <c r="A16" s="370" t="s">
        <v>270</v>
      </c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  <c r="O16" s="305"/>
      <c r="P16" s="305"/>
      <c r="Q16" s="305"/>
      <c r="R16" s="334"/>
      <c r="S16" s="305"/>
      <c r="T16" s="305"/>
      <c r="U16" s="305"/>
      <c r="V16" s="334"/>
      <c r="W16" s="305"/>
      <c r="X16" s="334"/>
      <c r="Y16" s="305"/>
      <c r="Z16" s="334"/>
      <c r="AA16" s="334"/>
      <c r="AB16" s="305"/>
      <c r="AC16" s="305"/>
      <c r="AD16" s="305"/>
      <c r="AE16" s="305"/>
      <c r="AF16" s="305"/>
      <c r="AG16" s="305"/>
      <c r="AH16" s="305"/>
      <c r="AI16" s="305"/>
      <c r="AJ16" s="334"/>
      <c r="AK16" s="334"/>
      <c r="AL16" s="334"/>
      <c r="AM16" s="334"/>
      <c r="AN16" s="303">
        <f t="shared" si="2"/>
        <v>0</v>
      </c>
    </row>
    <row r="17" spans="1:40" ht="14.5" x14ac:dyDescent="0.35">
      <c r="A17" s="366" t="s">
        <v>315</v>
      </c>
      <c r="B17" s="314"/>
      <c r="C17" s="314"/>
      <c r="D17" s="314"/>
      <c r="E17" s="314"/>
      <c r="F17" s="314"/>
      <c r="G17" s="314"/>
      <c r="H17" s="314"/>
      <c r="I17" s="314"/>
      <c r="J17" s="314"/>
      <c r="K17" s="314"/>
      <c r="L17" s="314"/>
      <c r="M17" s="323"/>
      <c r="N17" s="314"/>
      <c r="O17" s="314"/>
      <c r="P17" s="314"/>
      <c r="Q17" s="314"/>
      <c r="R17" s="314"/>
      <c r="S17" s="314"/>
      <c r="T17" s="314"/>
      <c r="U17" s="314"/>
      <c r="V17" s="323"/>
      <c r="W17" s="314"/>
      <c r="X17" s="314"/>
      <c r="Y17" s="314"/>
      <c r="Z17" s="314"/>
      <c r="AA17" s="314"/>
      <c r="AB17" s="323"/>
      <c r="AC17" s="314"/>
      <c r="AD17" s="314"/>
      <c r="AE17" s="314"/>
      <c r="AF17" s="314"/>
      <c r="AG17" s="314"/>
      <c r="AH17" s="314"/>
      <c r="AI17" s="314"/>
      <c r="AJ17" s="323"/>
      <c r="AK17" s="323"/>
      <c r="AL17" s="323"/>
      <c r="AM17" s="323"/>
      <c r="AN17" s="303">
        <f t="shared" si="2"/>
        <v>0</v>
      </c>
    </row>
    <row r="18" spans="1:40" ht="14.5" x14ac:dyDescent="0.35">
      <c r="A18" s="370" t="s">
        <v>272</v>
      </c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05"/>
      <c r="Q18" s="305"/>
      <c r="R18" s="305"/>
      <c r="S18" s="305"/>
      <c r="T18" s="305"/>
      <c r="U18" s="305"/>
      <c r="V18" s="334"/>
      <c r="W18" s="305"/>
      <c r="X18" s="334"/>
      <c r="Y18" s="305"/>
      <c r="Z18" s="305"/>
      <c r="AA18" s="305"/>
      <c r="AB18" s="305"/>
      <c r="AC18" s="305"/>
      <c r="AD18" s="305"/>
      <c r="AE18" s="305"/>
      <c r="AF18" s="305"/>
      <c r="AG18" s="305"/>
      <c r="AH18" s="305"/>
      <c r="AI18" s="305"/>
      <c r="AJ18" s="334"/>
      <c r="AK18" s="334"/>
      <c r="AL18" s="334"/>
      <c r="AM18" s="334"/>
      <c r="AN18" s="303">
        <f t="shared" si="2"/>
        <v>0</v>
      </c>
    </row>
    <row r="19" spans="1:40" ht="14.5" x14ac:dyDescent="0.35">
      <c r="A19" s="369" t="s">
        <v>273</v>
      </c>
      <c r="B19" s="314"/>
      <c r="C19" s="314"/>
      <c r="D19" s="314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23"/>
      <c r="W19" s="314"/>
      <c r="X19" s="323"/>
      <c r="Y19" s="314"/>
      <c r="Z19" s="323"/>
      <c r="AA19" s="323"/>
      <c r="AB19" s="314"/>
      <c r="AC19" s="314"/>
      <c r="AD19" s="314"/>
      <c r="AE19" s="314"/>
      <c r="AF19" s="314"/>
      <c r="AG19" s="314"/>
      <c r="AH19" s="314"/>
      <c r="AI19" s="314"/>
      <c r="AJ19" s="323"/>
      <c r="AK19" s="323"/>
      <c r="AL19" s="323"/>
      <c r="AM19" s="323"/>
      <c r="AN19" s="303">
        <f t="shared" si="2"/>
        <v>0</v>
      </c>
    </row>
    <row r="20" spans="1:40" ht="14.5" x14ac:dyDescent="0.35">
      <c r="A20" s="368" t="s">
        <v>274</v>
      </c>
      <c r="B20" s="307"/>
      <c r="C20" s="307"/>
      <c r="D20" s="307"/>
      <c r="E20" s="307"/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25"/>
      <c r="W20" s="307"/>
      <c r="X20" s="334"/>
      <c r="Y20" s="307"/>
      <c r="Z20" s="307"/>
      <c r="AA20" s="307"/>
      <c r="AB20" s="307"/>
      <c r="AC20" s="307"/>
      <c r="AD20" s="307"/>
      <c r="AE20" s="307"/>
      <c r="AF20" s="307"/>
      <c r="AG20" s="307"/>
      <c r="AH20" s="307"/>
      <c r="AI20" s="307"/>
      <c r="AJ20" s="325"/>
      <c r="AK20" s="325"/>
      <c r="AL20" s="325"/>
      <c r="AM20" s="325"/>
      <c r="AN20" s="303">
        <f t="shared" si="2"/>
        <v>0</v>
      </c>
    </row>
    <row r="21" spans="1:40" ht="14.5" x14ac:dyDescent="0.35">
      <c r="A21" s="366" t="s">
        <v>275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23"/>
      <c r="W21" s="314"/>
      <c r="X21" s="323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23"/>
      <c r="AK21" s="323"/>
      <c r="AL21" s="323"/>
      <c r="AM21" s="323"/>
      <c r="AN21" s="303">
        <f t="shared" si="2"/>
        <v>0</v>
      </c>
    </row>
    <row r="22" spans="1:40" ht="14.5" x14ac:dyDescent="0.35">
      <c r="A22" s="364" t="s">
        <v>316</v>
      </c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03">
        <f t="shared" si="2"/>
        <v>0</v>
      </c>
    </row>
    <row r="23" spans="1:40" ht="14.5" x14ac:dyDescent="0.35">
      <c r="A23" s="366" t="s">
        <v>277</v>
      </c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23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23"/>
      <c r="AK23" s="323"/>
      <c r="AL23" s="323"/>
      <c r="AM23" s="323"/>
      <c r="AN23" s="303">
        <f t="shared" si="2"/>
        <v>0</v>
      </c>
    </row>
    <row r="24" spans="1:40" ht="15.5" x14ac:dyDescent="0.35">
      <c r="A24" s="367" t="s">
        <v>278</v>
      </c>
      <c r="B24" s="325"/>
      <c r="C24" s="307"/>
      <c r="D24" s="325"/>
      <c r="E24" s="325"/>
      <c r="F24" s="325"/>
      <c r="G24" s="325"/>
      <c r="H24" s="325"/>
      <c r="I24" s="325"/>
      <c r="J24" s="325"/>
      <c r="K24" s="325"/>
      <c r="L24" s="325"/>
      <c r="M24" s="307"/>
      <c r="N24" s="307"/>
      <c r="O24" s="326"/>
      <c r="P24" s="325"/>
      <c r="Q24" s="307"/>
      <c r="R24" s="291"/>
      <c r="S24" s="307"/>
      <c r="T24" s="307"/>
      <c r="U24" s="307"/>
      <c r="V24" s="325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7"/>
      <c r="AH24" s="307"/>
      <c r="AI24" s="307"/>
      <c r="AJ24" s="325"/>
      <c r="AK24" s="325"/>
      <c r="AL24" s="325"/>
      <c r="AM24" s="325"/>
      <c r="AN24" s="303">
        <f t="shared" si="2"/>
        <v>0</v>
      </c>
    </row>
    <row r="25" spans="1:40" ht="14.5" x14ac:dyDescent="0.35">
      <c r="A25" s="366" t="s">
        <v>279</v>
      </c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23"/>
      <c r="W25" s="314"/>
      <c r="X25" s="323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23"/>
      <c r="AK25" s="323"/>
      <c r="AL25" s="323"/>
      <c r="AM25" s="323"/>
      <c r="AN25" s="303">
        <f t="shared" si="2"/>
        <v>0</v>
      </c>
    </row>
    <row r="26" spans="1:40" ht="14.5" x14ac:dyDescent="0.35">
      <c r="A26" s="367" t="s">
        <v>280</v>
      </c>
      <c r="B26" s="307"/>
      <c r="C26" s="307"/>
      <c r="D26" s="307"/>
      <c r="E26" s="307"/>
      <c r="F26" s="307"/>
      <c r="G26" s="307"/>
      <c r="H26" s="307"/>
      <c r="I26" s="307"/>
      <c r="J26" s="307"/>
      <c r="K26" s="325"/>
      <c r="L26" s="307"/>
      <c r="M26" s="307"/>
      <c r="N26" s="307"/>
      <c r="O26" s="325"/>
      <c r="P26" s="307"/>
      <c r="Q26" s="307"/>
      <c r="R26" s="325"/>
      <c r="S26" s="325"/>
      <c r="T26" s="307"/>
      <c r="U26" s="325"/>
      <c r="V26" s="325"/>
      <c r="W26" s="327"/>
      <c r="X26" s="325"/>
      <c r="Y26" s="325"/>
      <c r="Z26" s="307"/>
      <c r="AA26" s="307"/>
      <c r="AB26" s="307"/>
      <c r="AC26" s="307"/>
      <c r="AD26" s="307"/>
      <c r="AE26" s="307"/>
      <c r="AF26" s="307"/>
      <c r="AG26" s="307"/>
      <c r="AH26" s="325"/>
      <c r="AI26" s="325"/>
      <c r="AJ26" s="325"/>
      <c r="AK26" s="325"/>
      <c r="AL26" s="325"/>
      <c r="AM26" s="325"/>
      <c r="AN26" s="303">
        <f t="shared" si="2"/>
        <v>0</v>
      </c>
    </row>
    <row r="27" spans="1:40" ht="14.5" x14ac:dyDescent="0.35">
      <c r="A27" s="366" t="s">
        <v>281</v>
      </c>
      <c r="B27" s="314"/>
      <c r="C27" s="323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314"/>
      <c r="O27" s="314"/>
      <c r="P27" s="314"/>
      <c r="Q27" s="314"/>
      <c r="R27" s="314"/>
      <c r="S27" s="314"/>
      <c r="T27" s="323"/>
      <c r="U27" s="314"/>
      <c r="V27" s="323"/>
      <c r="W27" s="314"/>
      <c r="X27" s="323"/>
      <c r="Y27" s="314"/>
      <c r="Z27" s="323"/>
      <c r="AA27" s="314"/>
      <c r="AB27" s="314"/>
      <c r="AC27" s="314"/>
      <c r="AD27" s="314"/>
      <c r="AE27" s="314"/>
      <c r="AF27" s="314"/>
      <c r="AG27" s="314"/>
      <c r="AH27" s="314"/>
      <c r="AI27" s="314"/>
      <c r="AJ27" s="323"/>
      <c r="AK27" s="323"/>
      <c r="AL27" s="323"/>
      <c r="AM27" s="323"/>
      <c r="AN27" s="303">
        <f t="shared" si="2"/>
        <v>0</v>
      </c>
    </row>
    <row r="28" spans="1:40" ht="14.5" x14ac:dyDescent="0.35">
      <c r="A28" s="367" t="s">
        <v>282</v>
      </c>
      <c r="B28" s="307"/>
      <c r="C28" s="307"/>
      <c r="D28" s="307"/>
      <c r="E28" s="307"/>
      <c r="F28" s="325"/>
      <c r="G28" s="325"/>
      <c r="H28" s="325"/>
      <c r="I28" s="307"/>
      <c r="J28" s="307"/>
      <c r="K28" s="325"/>
      <c r="L28" s="325"/>
      <c r="M28" s="325"/>
      <c r="N28" s="325"/>
      <c r="O28" s="325"/>
      <c r="P28" s="307"/>
      <c r="Q28" s="307"/>
      <c r="R28" s="325"/>
      <c r="S28" s="307"/>
      <c r="T28" s="307"/>
      <c r="U28" s="307"/>
      <c r="V28" s="325"/>
      <c r="W28" s="307"/>
      <c r="X28" s="325"/>
      <c r="Y28" s="307"/>
      <c r="Z28" s="307"/>
      <c r="AA28" s="307"/>
      <c r="AB28" s="325"/>
      <c r="AC28" s="307"/>
      <c r="AD28" s="307"/>
      <c r="AE28" s="307"/>
      <c r="AF28" s="307"/>
      <c r="AG28" s="307"/>
      <c r="AH28" s="327"/>
      <c r="AI28" s="327"/>
      <c r="AJ28" s="325"/>
      <c r="AK28" s="325"/>
      <c r="AL28" s="325"/>
      <c r="AM28" s="325"/>
      <c r="AN28" s="303">
        <f t="shared" si="2"/>
        <v>0</v>
      </c>
    </row>
    <row r="29" spans="1:40" ht="14.5" x14ac:dyDescent="0.35">
      <c r="A29" s="366" t="s">
        <v>317</v>
      </c>
      <c r="B29" s="314"/>
      <c r="C29" s="314"/>
      <c r="D29" s="314"/>
      <c r="E29" s="314"/>
      <c r="F29" s="314"/>
      <c r="G29" s="314"/>
      <c r="H29" s="314"/>
      <c r="I29" s="323"/>
      <c r="J29" s="314"/>
      <c r="K29" s="314"/>
      <c r="L29" s="323"/>
      <c r="M29" s="314"/>
      <c r="N29" s="314"/>
      <c r="O29" s="314"/>
      <c r="P29" s="314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  <c r="AD29" s="323"/>
      <c r="AE29" s="323"/>
      <c r="AF29" s="323"/>
      <c r="AG29" s="323"/>
      <c r="AH29" s="314"/>
      <c r="AI29" s="314"/>
      <c r="AJ29" s="323"/>
      <c r="AK29" s="323"/>
      <c r="AL29" s="323"/>
      <c r="AM29" s="323"/>
      <c r="AN29" s="303">
        <f t="shared" si="2"/>
        <v>0</v>
      </c>
    </row>
    <row r="30" spans="1:40" ht="14.5" x14ac:dyDescent="0.35">
      <c r="A30" s="367" t="s">
        <v>284</v>
      </c>
      <c r="B30" s="325"/>
      <c r="C30" s="325"/>
      <c r="D30" s="307"/>
      <c r="E30" s="325"/>
      <c r="F30" s="325"/>
      <c r="G30" s="325"/>
      <c r="H30" s="307"/>
      <c r="I30" s="307"/>
      <c r="J30" s="307"/>
      <c r="K30" s="307"/>
      <c r="L30" s="307"/>
      <c r="M30" s="307"/>
      <c r="N30" s="325"/>
      <c r="O30" s="325"/>
      <c r="P30" s="307"/>
      <c r="Q30" s="325"/>
      <c r="R30" s="325"/>
      <c r="S30" s="325"/>
      <c r="T30" s="307"/>
      <c r="U30" s="325"/>
      <c r="V30" s="325"/>
      <c r="W30" s="325"/>
      <c r="X30" s="325"/>
      <c r="Y30" s="325"/>
      <c r="Z30" s="307"/>
      <c r="AA30" s="325"/>
      <c r="AB30" s="307"/>
      <c r="AC30" s="307"/>
      <c r="AD30" s="325"/>
      <c r="AE30" s="325"/>
      <c r="AF30" s="307"/>
      <c r="AG30" s="307"/>
      <c r="AH30" s="307"/>
      <c r="AI30" s="307"/>
      <c r="AJ30" s="325"/>
      <c r="AK30" s="325"/>
      <c r="AL30" s="325"/>
      <c r="AM30" s="325"/>
      <c r="AN30" s="303">
        <f t="shared" si="2"/>
        <v>0</v>
      </c>
    </row>
    <row r="31" spans="1:40" ht="14.5" x14ac:dyDescent="0.35">
      <c r="A31" s="366" t="s">
        <v>318</v>
      </c>
      <c r="B31" s="323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14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  <c r="AA31" s="323"/>
      <c r="AB31" s="314"/>
      <c r="AC31" s="323"/>
      <c r="AD31" s="323"/>
      <c r="AE31" s="323"/>
      <c r="AF31" s="323"/>
      <c r="AG31" s="323"/>
      <c r="AH31" s="323"/>
      <c r="AI31" s="323"/>
      <c r="AJ31" s="323"/>
      <c r="AK31" s="323"/>
      <c r="AL31" s="323"/>
      <c r="AM31" s="323"/>
      <c r="AN31" s="303">
        <f t="shared" si="2"/>
        <v>0</v>
      </c>
    </row>
    <row r="32" spans="1:40" ht="14.5" x14ac:dyDescent="0.35">
      <c r="A32" s="367" t="s">
        <v>286</v>
      </c>
      <c r="B32" s="307"/>
      <c r="C32" s="307"/>
      <c r="D32" s="307"/>
      <c r="E32" s="307"/>
      <c r="F32" s="307"/>
      <c r="G32" s="307"/>
      <c r="H32" s="307"/>
      <c r="I32" s="307"/>
      <c r="J32" s="307"/>
      <c r="K32" s="325"/>
      <c r="L32" s="307"/>
      <c r="M32" s="307"/>
      <c r="N32" s="307"/>
      <c r="O32" s="307"/>
      <c r="P32" s="307"/>
      <c r="Q32" s="307"/>
      <c r="R32" s="325"/>
      <c r="S32" s="307"/>
      <c r="T32" s="307"/>
      <c r="U32" s="307"/>
      <c r="V32" s="325"/>
      <c r="W32" s="307"/>
      <c r="X32" s="325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25"/>
      <c r="AK32" s="325"/>
      <c r="AL32" s="325"/>
      <c r="AM32" s="325"/>
      <c r="AN32" s="303">
        <f t="shared" si="2"/>
        <v>0</v>
      </c>
    </row>
    <row r="33" spans="1:40" ht="14.5" x14ac:dyDescent="0.35">
      <c r="A33" s="366" t="s">
        <v>287</v>
      </c>
      <c r="B33" s="314"/>
      <c r="C33" s="323"/>
      <c r="D33" s="323"/>
      <c r="E33" s="323"/>
      <c r="F33" s="323"/>
      <c r="G33" s="323"/>
      <c r="H33" s="314"/>
      <c r="I33" s="314"/>
      <c r="J33" s="314"/>
      <c r="K33" s="314"/>
      <c r="L33" s="323"/>
      <c r="M33" s="323"/>
      <c r="N33" s="323"/>
      <c r="O33" s="323"/>
      <c r="P33" s="314"/>
      <c r="Q33" s="323"/>
      <c r="R33" s="323"/>
      <c r="S33" s="314"/>
      <c r="T33" s="323"/>
      <c r="U33" s="323"/>
      <c r="V33" s="323"/>
      <c r="W33" s="323"/>
      <c r="X33" s="323"/>
      <c r="Y33" s="314"/>
      <c r="Z33" s="314"/>
      <c r="AA33" s="314"/>
      <c r="AB33" s="314"/>
      <c r="AC33" s="314"/>
      <c r="AD33" s="323"/>
      <c r="AE33" s="323"/>
      <c r="AF33" s="323"/>
      <c r="AG33" s="323"/>
      <c r="AH33" s="323"/>
      <c r="AI33" s="323"/>
      <c r="AJ33" s="323"/>
      <c r="AK33" s="323"/>
      <c r="AL33" s="323"/>
      <c r="AM33" s="323"/>
      <c r="AN33" s="303">
        <f t="shared" si="2"/>
        <v>0</v>
      </c>
    </row>
    <row r="34" spans="1:40" ht="14.5" x14ac:dyDescent="0.35">
      <c r="A34" s="367" t="s">
        <v>319</v>
      </c>
      <c r="B34" s="307"/>
      <c r="C34" s="307"/>
      <c r="D34" s="307"/>
      <c r="E34" s="307"/>
      <c r="F34" s="307"/>
      <c r="G34" s="307"/>
      <c r="H34" s="325"/>
      <c r="I34" s="325"/>
      <c r="J34" s="307"/>
      <c r="K34" s="325"/>
      <c r="L34" s="325"/>
      <c r="M34" s="307"/>
      <c r="N34" s="307"/>
      <c r="O34" s="325"/>
      <c r="P34" s="325"/>
      <c r="Q34" s="307"/>
      <c r="R34" s="307"/>
      <c r="S34" s="325"/>
      <c r="T34" s="307"/>
      <c r="U34" s="307"/>
      <c r="V34" s="325"/>
      <c r="W34" s="307"/>
      <c r="X34" s="307"/>
      <c r="Y34" s="325"/>
      <c r="Z34" s="325"/>
      <c r="AA34" s="307"/>
      <c r="AB34" s="327"/>
      <c r="AC34" s="307"/>
      <c r="AD34" s="307"/>
      <c r="AE34" s="307"/>
      <c r="AF34" s="307"/>
      <c r="AG34" s="307"/>
      <c r="AH34" s="325"/>
      <c r="AI34" s="325"/>
      <c r="AJ34" s="325"/>
      <c r="AK34" s="325"/>
      <c r="AL34" s="325"/>
      <c r="AM34" s="325"/>
      <c r="AN34" s="303">
        <f t="shared" si="2"/>
        <v>0</v>
      </c>
    </row>
    <row r="35" spans="1:40" ht="14.5" x14ac:dyDescent="0.35">
      <c r="A35" s="366" t="s">
        <v>289</v>
      </c>
      <c r="B35" s="314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23"/>
      <c r="W35" s="314"/>
      <c r="X35" s="330"/>
      <c r="Y35" s="323"/>
      <c r="Z35" s="323"/>
      <c r="AA35" s="323"/>
      <c r="AB35" s="323"/>
      <c r="AC35" s="323"/>
      <c r="AD35" s="323"/>
      <c r="AE35" s="323"/>
      <c r="AF35" s="323"/>
      <c r="AG35" s="323"/>
      <c r="AH35" s="314"/>
      <c r="AI35" s="314"/>
      <c r="AJ35" s="323"/>
      <c r="AK35" s="323"/>
      <c r="AL35" s="323"/>
      <c r="AM35" s="323"/>
      <c r="AN35" s="303">
        <f t="shared" si="2"/>
        <v>0</v>
      </c>
    </row>
    <row r="36" spans="1:40" ht="14.5" x14ac:dyDescent="0.35">
      <c r="A36" s="364" t="s">
        <v>320</v>
      </c>
      <c r="B36" s="305"/>
      <c r="C36" s="305"/>
      <c r="D36" s="305"/>
      <c r="E36" s="305"/>
      <c r="F36" s="305"/>
      <c r="G36" s="305"/>
      <c r="H36" s="305"/>
      <c r="I36" s="305"/>
      <c r="J36" s="334"/>
      <c r="K36" s="305"/>
      <c r="L36" s="305"/>
      <c r="M36" s="305"/>
      <c r="N36" s="307"/>
      <c r="O36" s="307"/>
      <c r="P36" s="325"/>
      <c r="Q36" s="307"/>
      <c r="R36" s="307"/>
      <c r="S36" s="307"/>
      <c r="T36" s="307"/>
      <c r="U36" s="307"/>
      <c r="V36" s="325"/>
      <c r="W36" s="307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07"/>
      <c r="AI36" s="307"/>
      <c r="AJ36" s="325"/>
      <c r="AK36" s="325"/>
      <c r="AL36" s="325"/>
      <c r="AM36" s="325"/>
      <c r="AN36" s="303">
        <f t="shared" si="2"/>
        <v>0</v>
      </c>
    </row>
    <row r="37" spans="1:40" ht="14.5" x14ac:dyDescent="0.35">
      <c r="A37" s="366" t="s">
        <v>291</v>
      </c>
      <c r="B37" s="314"/>
      <c r="C37" s="323"/>
      <c r="D37" s="314"/>
      <c r="E37" s="314"/>
      <c r="F37" s="323"/>
      <c r="G37" s="314"/>
      <c r="H37" s="314"/>
      <c r="I37" s="314"/>
      <c r="J37" s="323"/>
      <c r="K37" s="314"/>
      <c r="L37" s="314"/>
      <c r="M37" s="314"/>
      <c r="N37" s="314"/>
      <c r="O37" s="314"/>
      <c r="P37" s="314"/>
      <c r="Q37" s="314"/>
      <c r="R37" s="323"/>
      <c r="S37" s="323"/>
      <c r="T37" s="314"/>
      <c r="U37" s="314"/>
      <c r="V37" s="323"/>
      <c r="W37" s="314"/>
      <c r="X37" s="330"/>
      <c r="Y37" s="323"/>
      <c r="Z37" s="323"/>
      <c r="AA37" s="323"/>
      <c r="AB37" s="323"/>
      <c r="AC37" s="331"/>
      <c r="AD37" s="331"/>
      <c r="AE37" s="331"/>
      <c r="AF37" s="331"/>
      <c r="AG37" s="331"/>
      <c r="AH37" s="333"/>
      <c r="AI37" s="333"/>
      <c r="AJ37" s="331"/>
      <c r="AK37" s="331"/>
      <c r="AL37" s="331"/>
      <c r="AM37" s="331"/>
      <c r="AN37" s="303">
        <f t="shared" si="2"/>
        <v>0</v>
      </c>
    </row>
    <row r="38" spans="1:40" ht="14.5" x14ac:dyDescent="0.35">
      <c r="A38" s="364" t="s">
        <v>292</v>
      </c>
      <c r="B38" s="305"/>
      <c r="C38" s="305"/>
      <c r="D38" s="307"/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7"/>
      <c r="P38" s="305"/>
      <c r="Q38" s="305"/>
      <c r="R38" s="305"/>
      <c r="S38" s="305"/>
      <c r="T38" s="305"/>
      <c r="U38" s="305"/>
      <c r="V38" s="334"/>
      <c r="W38" s="305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05"/>
      <c r="AI38" s="305"/>
      <c r="AJ38" s="334"/>
      <c r="AK38" s="334"/>
      <c r="AL38" s="334"/>
      <c r="AM38" s="334"/>
      <c r="AN38" s="303">
        <f t="shared" si="2"/>
        <v>0</v>
      </c>
    </row>
    <row r="39" spans="1:40" ht="14.5" x14ac:dyDescent="0.35">
      <c r="A39" s="366" t="s">
        <v>321</v>
      </c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23"/>
      <c r="W39" s="314"/>
      <c r="X39" s="323"/>
      <c r="Y39" s="323"/>
      <c r="Z39" s="323"/>
      <c r="AA39" s="323"/>
      <c r="AB39" s="323"/>
      <c r="AC39" s="331"/>
      <c r="AD39" s="331"/>
      <c r="AE39" s="331"/>
      <c r="AF39" s="331"/>
      <c r="AG39" s="331"/>
      <c r="AH39" s="333"/>
      <c r="AI39" s="333"/>
      <c r="AJ39" s="331"/>
      <c r="AK39" s="331"/>
      <c r="AL39" s="331"/>
      <c r="AM39" s="331"/>
      <c r="AN39" s="303">
        <f t="shared" si="2"/>
        <v>0</v>
      </c>
    </row>
    <row r="40" spans="1:40" ht="14.5" x14ac:dyDescent="0.35">
      <c r="A40" s="364" t="s">
        <v>322</v>
      </c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  <c r="Z40" s="334"/>
      <c r="AA40" s="334"/>
      <c r="AB40" s="334"/>
      <c r="AC40" s="334"/>
      <c r="AD40" s="334"/>
      <c r="AE40" s="334"/>
      <c r="AF40" s="334"/>
      <c r="AG40" s="334"/>
      <c r="AH40" s="334"/>
      <c r="AI40" s="334"/>
      <c r="AJ40" s="334"/>
      <c r="AK40" s="334"/>
      <c r="AL40" s="334"/>
      <c r="AM40" s="334"/>
      <c r="AN40" s="303">
        <f t="shared" si="2"/>
        <v>0</v>
      </c>
    </row>
    <row r="41" spans="1:40" ht="14.5" x14ac:dyDescent="0.35">
      <c r="A41" s="371" t="s">
        <v>323</v>
      </c>
      <c r="B41" s="336">
        <f t="shared" ref="B41:AM41" si="3">SUM(B9:B40)</f>
        <v>0</v>
      </c>
      <c r="C41" s="336">
        <f t="shared" si="3"/>
        <v>0</v>
      </c>
      <c r="D41" s="336">
        <f t="shared" si="3"/>
        <v>0</v>
      </c>
      <c r="E41" s="336">
        <f t="shared" si="3"/>
        <v>0</v>
      </c>
      <c r="F41" s="336">
        <f t="shared" si="3"/>
        <v>0</v>
      </c>
      <c r="G41" s="336">
        <f t="shared" si="3"/>
        <v>0</v>
      </c>
      <c r="H41" s="336">
        <f t="shared" si="3"/>
        <v>0</v>
      </c>
      <c r="I41" s="336">
        <f t="shared" si="3"/>
        <v>0</v>
      </c>
      <c r="J41" s="336">
        <f t="shared" si="3"/>
        <v>0</v>
      </c>
      <c r="K41" s="336">
        <f t="shared" si="3"/>
        <v>0</v>
      </c>
      <c r="L41" s="336">
        <f t="shared" si="3"/>
        <v>0</v>
      </c>
      <c r="M41" s="336">
        <f t="shared" si="3"/>
        <v>0</v>
      </c>
      <c r="N41" s="336">
        <f t="shared" si="3"/>
        <v>0</v>
      </c>
      <c r="O41" s="336">
        <f t="shared" si="3"/>
        <v>0</v>
      </c>
      <c r="P41" s="336">
        <f t="shared" si="3"/>
        <v>0</v>
      </c>
      <c r="Q41" s="336">
        <f t="shared" si="3"/>
        <v>0</v>
      </c>
      <c r="R41" s="336">
        <f t="shared" si="3"/>
        <v>0</v>
      </c>
      <c r="S41" s="336">
        <f t="shared" si="3"/>
        <v>0</v>
      </c>
      <c r="T41" s="336">
        <f t="shared" si="3"/>
        <v>0</v>
      </c>
      <c r="U41" s="336">
        <f t="shared" si="3"/>
        <v>0</v>
      </c>
      <c r="V41" s="336">
        <f t="shared" si="3"/>
        <v>0</v>
      </c>
      <c r="W41" s="336">
        <f t="shared" si="3"/>
        <v>0</v>
      </c>
      <c r="X41" s="336">
        <f t="shared" si="3"/>
        <v>0</v>
      </c>
      <c r="Y41" s="336">
        <f t="shared" si="3"/>
        <v>0</v>
      </c>
      <c r="Z41" s="336">
        <f t="shared" si="3"/>
        <v>0</v>
      </c>
      <c r="AA41" s="336">
        <f t="shared" si="3"/>
        <v>0</v>
      </c>
      <c r="AB41" s="336">
        <f t="shared" si="3"/>
        <v>0</v>
      </c>
      <c r="AC41" s="336">
        <f t="shared" si="3"/>
        <v>0</v>
      </c>
      <c r="AD41" s="336">
        <f t="shared" si="3"/>
        <v>0</v>
      </c>
      <c r="AE41" s="336">
        <f t="shared" si="3"/>
        <v>0</v>
      </c>
      <c r="AF41" s="336">
        <f t="shared" si="3"/>
        <v>0</v>
      </c>
      <c r="AG41" s="336">
        <f t="shared" si="3"/>
        <v>0</v>
      </c>
      <c r="AH41" s="336">
        <f t="shared" si="3"/>
        <v>0</v>
      </c>
      <c r="AI41" s="336">
        <f t="shared" si="3"/>
        <v>0</v>
      </c>
      <c r="AJ41" s="336">
        <f t="shared" si="3"/>
        <v>0</v>
      </c>
      <c r="AK41" s="336">
        <f t="shared" si="3"/>
        <v>0</v>
      </c>
      <c r="AL41" s="336">
        <f t="shared" si="3"/>
        <v>0</v>
      </c>
      <c r="AM41" s="336">
        <f t="shared" si="3"/>
        <v>0</v>
      </c>
      <c r="AN41" s="303">
        <f t="shared" si="2"/>
        <v>0</v>
      </c>
    </row>
    <row r="42" spans="1:40" ht="14.5" x14ac:dyDescent="0.35">
      <c r="A42" s="364" t="s">
        <v>8</v>
      </c>
      <c r="B42" s="305">
        <f t="shared" ref="B42:AM42" si="4">B5-B6-B41</f>
        <v>0</v>
      </c>
      <c r="C42" s="305">
        <f t="shared" si="4"/>
        <v>0</v>
      </c>
      <c r="D42" s="305">
        <f t="shared" si="4"/>
        <v>0</v>
      </c>
      <c r="E42" s="305">
        <f t="shared" si="4"/>
        <v>0</v>
      </c>
      <c r="F42" s="305">
        <f t="shared" si="4"/>
        <v>0</v>
      </c>
      <c r="G42" s="305">
        <f t="shared" si="4"/>
        <v>0</v>
      </c>
      <c r="H42" s="305">
        <f t="shared" si="4"/>
        <v>0</v>
      </c>
      <c r="I42" s="305">
        <f t="shared" si="4"/>
        <v>0</v>
      </c>
      <c r="J42" s="305">
        <f t="shared" si="4"/>
        <v>0</v>
      </c>
      <c r="K42" s="305">
        <f t="shared" si="4"/>
        <v>0</v>
      </c>
      <c r="L42" s="305">
        <f t="shared" si="4"/>
        <v>0</v>
      </c>
      <c r="M42" s="305">
        <f t="shared" si="4"/>
        <v>0</v>
      </c>
      <c r="N42" s="305">
        <f t="shared" si="4"/>
        <v>0</v>
      </c>
      <c r="O42" s="305">
        <f t="shared" si="4"/>
        <v>0</v>
      </c>
      <c r="P42" s="305">
        <f t="shared" si="4"/>
        <v>0</v>
      </c>
      <c r="Q42" s="305">
        <f t="shared" si="4"/>
        <v>0</v>
      </c>
      <c r="R42" s="305">
        <f t="shared" si="4"/>
        <v>0</v>
      </c>
      <c r="S42" s="305">
        <f t="shared" si="4"/>
        <v>0</v>
      </c>
      <c r="T42" s="305">
        <f t="shared" si="4"/>
        <v>0</v>
      </c>
      <c r="U42" s="305">
        <f t="shared" si="4"/>
        <v>0</v>
      </c>
      <c r="V42" s="305">
        <f t="shared" si="4"/>
        <v>0</v>
      </c>
      <c r="W42" s="305">
        <f t="shared" si="4"/>
        <v>0</v>
      </c>
      <c r="X42" s="305">
        <f t="shared" si="4"/>
        <v>0</v>
      </c>
      <c r="Y42" s="305">
        <f t="shared" si="4"/>
        <v>0</v>
      </c>
      <c r="Z42" s="305">
        <f t="shared" si="4"/>
        <v>0</v>
      </c>
      <c r="AA42" s="305">
        <f t="shared" si="4"/>
        <v>0</v>
      </c>
      <c r="AB42" s="305">
        <f t="shared" si="4"/>
        <v>0</v>
      </c>
      <c r="AC42" s="305">
        <f t="shared" si="4"/>
        <v>0</v>
      </c>
      <c r="AD42" s="305">
        <f t="shared" si="4"/>
        <v>0</v>
      </c>
      <c r="AE42" s="305">
        <f t="shared" si="4"/>
        <v>0</v>
      </c>
      <c r="AF42" s="305">
        <f t="shared" si="4"/>
        <v>0</v>
      </c>
      <c r="AG42" s="305">
        <f t="shared" si="4"/>
        <v>0</v>
      </c>
      <c r="AH42" s="305">
        <f t="shared" si="4"/>
        <v>0</v>
      </c>
      <c r="AI42" s="305">
        <f t="shared" si="4"/>
        <v>0</v>
      </c>
      <c r="AJ42" s="305">
        <f t="shared" si="4"/>
        <v>0</v>
      </c>
      <c r="AK42" s="305">
        <f t="shared" si="4"/>
        <v>0</v>
      </c>
      <c r="AL42" s="305">
        <f t="shared" si="4"/>
        <v>0</v>
      </c>
      <c r="AM42" s="305">
        <f t="shared" si="4"/>
        <v>0</v>
      </c>
      <c r="AN42" s="303">
        <f t="shared" si="2"/>
        <v>0</v>
      </c>
    </row>
    <row r="43" spans="1:40" ht="14.5" x14ac:dyDescent="0.35">
      <c r="A43" s="364" t="s">
        <v>325</v>
      </c>
      <c r="B43" s="305">
        <f t="shared" ref="B43:AC43" si="5">B42*20%</f>
        <v>0</v>
      </c>
      <c r="C43" s="305">
        <f t="shared" si="5"/>
        <v>0</v>
      </c>
      <c r="D43" s="305">
        <f t="shared" si="5"/>
        <v>0</v>
      </c>
      <c r="E43" s="305">
        <f t="shared" si="5"/>
        <v>0</v>
      </c>
      <c r="F43" s="305">
        <f t="shared" si="5"/>
        <v>0</v>
      </c>
      <c r="G43" s="305">
        <f t="shared" si="5"/>
        <v>0</v>
      </c>
      <c r="H43" s="305">
        <f t="shared" si="5"/>
        <v>0</v>
      </c>
      <c r="I43" s="305">
        <f t="shared" si="5"/>
        <v>0</v>
      </c>
      <c r="J43" s="305">
        <f t="shared" si="5"/>
        <v>0</v>
      </c>
      <c r="K43" s="305">
        <f t="shared" si="5"/>
        <v>0</v>
      </c>
      <c r="L43" s="305">
        <f t="shared" si="5"/>
        <v>0</v>
      </c>
      <c r="M43" s="305">
        <f t="shared" si="5"/>
        <v>0</v>
      </c>
      <c r="N43" s="305">
        <f t="shared" si="5"/>
        <v>0</v>
      </c>
      <c r="O43" s="305">
        <f t="shared" si="5"/>
        <v>0</v>
      </c>
      <c r="P43" s="305">
        <f t="shared" si="5"/>
        <v>0</v>
      </c>
      <c r="Q43" s="305">
        <f t="shared" si="5"/>
        <v>0</v>
      </c>
      <c r="R43" s="305">
        <f t="shared" si="5"/>
        <v>0</v>
      </c>
      <c r="S43" s="305">
        <f t="shared" si="5"/>
        <v>0</v>
      </c>
      <c r="T43" s="305">
        <f t="shared" si="5"/>
        <v>0</v>
      </c>
      <c r="U43" s="305">
        <f t="shared" si="5"/>
        <v>0</v>
      </c>
      <c r="V43" s="305">
        <f t="shared" si="5"/>
        <v>0</v>
      </c>
      <c r="W43" s="305">
        <f t="shared" si="5"/>
        <v>0</v>
      </c>
      <c r="X43" s="305">
        <f t="shared" si="5"/>
        <v>0</v>
      </c>
      <c r="Y43" s="305">
        <f t="shared" si="5"/>
        <v>0</v>
      </c>
      <c r="Z43" s="305">
        <f t="shared" si="5"/>
        <v>0</v>
      </c>
      <c r="AA43" s="305">
        <f t="shared" si="5"/>
        <v>0</v>
      </c>
      <c r="AB43" s="305">
        <f t="shared" si="5"/>
        <v>0</v>
      </c>
      <c r="AC43" s="305">
        <f t="shared" si="5"/>
        <v>0</v>
      </c>
      <c r="AD43" s="305">
        <f t="shared" ref="AD43:AE43" si="6">AD6-AD7-AD42</f>
        <v>0</v>
      </c>
      <c r="AE43" s="305">
        <f t="shared" si="6"/>
        <v>0</v>
      </c>
      <c r="AF43" s="305">
        <f t="shared" ref="AF43:AM43" si="7">AF42*20%</f>
        <v>0</v>
      </c>
      <c r="AG43" s="305">
        <f t="shared" si="7"/>
        <v>0</v>
      </c>
      <c r="AH43" s="305">
        <f t="shared" si="7"/>
        <v>0</v>
      </c>
      <c r="AI43" s="305">
        <f t="shared" si="7"/>
        <v>0</v>
      </c>
      <c r="AJ43" s="305">
        <f t="shared" si="7"/>
        <v>0</v>
      </c>
      <c r="AK43" s="305">
        <f t="shared" si="7"/>
        <v>0</v>
      </c>
      <c r="AL43" s="305">
        <f t="shared" si="7"/>
        <v>0</v>
      </c>
      <c r="AM43" s="305">
        <f t="shared" si="7"/>
        <v>0</v>
      </c>
      <c r="AN43" s="303">
        <f t="shared" si="2"/>
        <v>0</v>
      </c>
    </row>
    <row r="44" spans="1:40" ht="14.5" x14ac:dyDescent="0.35">
      <c r="A44" s="364" t="s">
        <v>81</v>
      </c>
      <c r="B44" s="305">
        <f t="shared" ref="B44:AC44" si="8">B42*80%</f>
        <v>0</v>
      </c>
      <c r="C44" s="305">
        <f t="shared" si="8"/>
        <v>0</v>
      </c>
      <c r="D44" s="305">
        <f t="shared" si="8"/>
        <v>0</v>
      </c>
      <c r="E44" s="305">
        <f t="shared" si="8"/>
        <v>0</v>
      </c>
      <c r="F44" s="305">
        <f t="shared" si="8"/>
        <v>0</v>
      </c>
      <c r="G44" s="305">
        <f t="shared" si="8"/>
        <v>0</v>
      </c>
      <c r="H44" s="305">
        <f t="shared" si="8"/>
        <v>0</v>
      </c>
      <c r="I44" s="305">
        <f t="shared" si="8"/>
        <v>0</v>
      </c>
      <c r="J44" s="305">
        <f t="shared" si="8"/>
        <v>0</v>
      </c>
      <c r="K44" s="305">
        <f t="shared" si="8"/>
        <v>0</v>
      </c>
      <c r="L44" s="305">
        <f t="shared" si="8"/>
        <v>0</v>
      </c>
      <c r="M44" s="305">
        <f t="shared" si="8"/>
        <v>0</v>
      </c>
      <c r="N44" s="305">
        <f t="shared" si="8"/>
        <v>0</v>
      </c>
      <c r="O44" s="305">
        <f t="shared" si="8"/>
        <v>0</v>
      </c>
      <c r="P44" s="305">
        <f t="shared" si="8"/>
        <v>0</v>
      </c>
      <c r="Q44" s="305">
        <f t="shared" si="8"/>
        <v>0</v>
      </c>
      <c r="R44" s="305">
        <f t="shared" si="8"/>
        <v>0</v>
      </c>
      <c r="S44" s="305">
        <f t="shared" si="8"/>
        <v>0</v>
      </c>
      <c r="T44" s="305">
        <f t="shared" si="8"/>
        <v>0</v>
      </c>
      <c r="U44" s="305">
        <f t="shared" si="8"/>
        <v>0</v>
      </c>
      <c r="V44" s="305">
        <f t="shared" si="8"/>
        <v>0</v>
      </c>
      <c r="W44" s="305">
        <f t="shared" si="8"/>
        <v>0</v>
      </c>
      <c r="X44" s="305">
        <f t="shared" si="8"/>
        <v>0</v>
      </c>
      <c r="Y44" s="305">
        <f t="shared" si="8"/>
        <v>0</v>
      </c>
      <c r="Z44" s="305">
        <f t="shared" si="8"/>
        <v>0</v>
      </c>
      <c r="AA44" s="305">
        <f t="shared" si="8"/>
        <v>0</v>
      </c>
      <c r="AB44" s="305">
        <f t="shared" si="8"/>
        <v>0</v>
      </c>
      <c r="AC44" s="305">
        <f t="shared" si="8"/>
        <v>0</v>
      </c>
      <c r="AD44" s="305">
        <f t="shared" ref="AD44:AE44" si="9">AD7-AD8-AD43</f>
        <v>0</v>
      </c>
      <c r="AE44" s="305">
        <f t="shared" si="9"/>
        <v>0</v>
      </c>
      <c r="AF44" s="305">
        <f t="shared" ref="AF44:AM44" si="10">AF42*80%</f>
        <v>0</v>
      </c>
      <c r="AG44" s="305">
        <f t="shared" si="10"/>
        <v>0</v>
      </c>
      <c r="AH44" s="305">
        <f t="shared" si="10"/>
        <v>0</v>
      </c>
      <c r="AI44" s="305">
        <f t="shared" si="10"/>
        <v>0</v>
      </c>
      <c r="AJ44" s="305">
        <f t="shared" si="10"/>
        <v>0</v>
      </c>
      <c r="AK44" s="305">
        <f t="shared" si="10"/>
        <v>0</v>
      </c>
      <c r="AL44" s="305">
        <f t="shared" si="10"/>
        <v>0</v>
      </c>
      <c r="AM44" s="305">
        <f t="shared" si="10"/>
        <v>0</v>
      </c>
      <c r="AN44" s="303">
        <f t="shared" si="2"/>
        <v>0</v>
      </c>
    </row>
    <row r="45" spans="1:40" ht="14.5" x14ac:dyDescent="0.35">
      <c r="A45" s="362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  <c r="Z45" s="334"/>
      <c r="AA45" s="334"/>
      <c r="AB45" s="334"/>
      <c r="AC45" s="334"/>
      <c r="AD45" s="334"/>
      <c r="AE45" s="334"/>
      <c r="AF45" s="334"/>
      <c r="AG45" s="334"/>
      <c r="AH45" s="334"/>
      <c r="AI45" s="334"/>
      <c r="AJ45" s="334"/>
      <c r="AK45" s="334"/>
      <c r="AL45" s="334"/>
      <c r="AM45" s="334"/>
      <c r="AN45" s="350"/>
    </row>
    <row r="46" spans="1:40" ht="11.25" customHeight="1" x14ac:dyDescent="0.35">
      <c r="A46" s="358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  <c r="AM46" s="289"/>
      <c r="AN46" s="289"/>
    </row>
    <row r="47" spans="1:40" ht="14.5" x14ac:dyDescent="0.35">
      <c r="A47" s="358"/>
      <c r="B47" s="291"/>
      <c r="C47" s="289"/>
      <c r="D47" s="289"/>
      <c r="E47" s="291" t="s">
        <v>327</v>
      </c>
      <c r="F47" s="289"/>
      <c r="G47" s="289"/>
      <c r="H47" s="291" t="s">
        <v>328</v>
      </c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</row>
    <row r="48" spans="1:40" ht="14.5" x14ac:dyDescent="0.35">
      <c r="A48" s="358"/>
      <c r="B48" s="338" t="s">
        <v>329</v>
      </c>
      <c r="C48" s="289"/>
      <c r="D48" s="289"/>
      <c r="E48" s="338" t="s">
        <v>330</v>
      </c>
      <c r="F48" s="289"/>
      <c r="G48" s="289"/>
      <c r="H48" s="338" t="s">
        <v>331</v>
      </c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</row>
    <row r="49" spans="1:40" ht="14.5" x14ac:dyDescent="0.35">
      <c r="A49" s="358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33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</row>
    <row r="50" spans="1:40" ht="14.5" x14ac:dyDescent="0.35">
      <c r="A50" s="358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  <c r="AM50" s="289"/>
      <c r="AN50" s="289"/>
    </row>
    <row r="51" spans="1:40" ht="14.5" x14ac:dyDescent="0.35">
      <c r="A51" s="358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9"/>
      <c r="AN51" s="289"/>
    </row>
    <row r="52" spans="1:40" ht="14.5" x14ac:dyDescent="0.35">
      <c r="A52" s="372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  <c r="AM52" s="289"/>
      <c r="AN52" s="289"/>
    </row>
    <row r="53" spans="1:40" ht="14.5" x14ac:dyDescent="0.35">
      <c r="A53" s="373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</row>
    <row r="54" spans="1:40" ht="14.5" x14ac:dyDescent="0.35">
      <c r="A54" s="373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</row>
    <row r="55" spans="1:40" ht="14.5" x14ac:dyDescent="0.35">
      <c r="A55" s="373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</row>
    <row r="56" spans="1:40" ht="14.5" x14ac:dyDescent="0.35">
      <c r="A56" s="373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</row>
    <row r="57" spans="1:40" ht="14.5" x14ac:dyDescent="0.35">
      <c r="A57" s="373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</row>
    <row r="58" spans="1:40" ht="14.5" x14ac:dyDescent="0.35">
      <c r="A58" s="373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</row>
    <row r="59" spans="1:40" ht="14.5" x14ac:dyDescent="0.35">
      <c r="A59" s="373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</row>
    <row r="60" spans="1:40" ht="14.5" x14ac:dyDescent="0.35">
      <c r="A60" s="373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</row>
    <row r="61" spans="1:40" ht="14.5" x14ac:dyDescent="0.35">
      <c r="A61" s="373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</row>
    <row r="62" spans="1:40" ht="14.5" x14ac:dyDescent="0.35">
      <c r="A62" s="373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</row>
    <row r="63" spans="1:40" ht="14.5" x14ac:dyDescent="0.35">
      <c r="A63" s="373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 ht="14.5" x14ac:dyDescent="0.35">
      <c r="A64" s="373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</row>
    <row r="65" spans="1:40" ht="14.5" x14ac:dyDescent="0.35">
      <c r="A65" s="373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</row>
    <row r="66" spans="1:40" ht="14.5" x14ac:dyDescent="0.35">
      <c r="A66" s="373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</row>
    <row r="67" spans="1:40" ht="14.5" x14ac:dyDescent="0.35">
      <c r="A67" s="373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</row>
    <row r="68" spans="1:40" ht="14.5" x14ac:dyDescent="0.35">
      <c r="A68" s="373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</row>
    <row r="69" spans="1:40" ht="14.5" x14ac:dyDescent="0.35">
      <c r="A69" s="373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</row>
    <row r="70" spans="1:40" ht="14.5" x14ac:dyDescent="0.35">
      <c r="A70" s="373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</row>
    <row r="71" spans="1:40" ht="14.5" x14ac:dyDescent="0.35">
      <c r="A71" s="373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</row>
    <row r="72" spans="1:40" ht="14.5" x14ac:dyDescent="0.35">
      <c r="A72" s="373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</row>
    <row r="73" spans="1:40" ht="14.5" x14ac:dyDescent="0.35">
      <c r="A73" s="373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</row>
    <row r="74" spans="1:40" ht="14.5" x14ac:dyDescent="0.35">
      <c r="A74" s="373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</row>
    <row r="75" spans="1:40" ht="14.5" x14ac:dyDescent="0.35">
      <c r="A75" s="373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</row>
    <row r="76" spans="1:40" ht="14.5" x14ac:dyDescent="0.35">
      <c r="A76" s="373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</row>
    <row r="77" spans="1:40" ht="14.5" x14ac:dyDescent="0.35">
      <c r="A77" s="373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</row>
    <row r="78" spans="1:40" ht="14.5" x14ac:dyDescent="0.35">
      <c r="A78" s="374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  <c r="M78" s="341"/>
      <c r="N78" s="341"/>
      <c r="O78" s="341"/>
      <c r="P78" s="341"/>
      <c r="Q78" s="341"/>
      <c r="R78" s="341"/>
      <c r="S78" s="341"/>
      <c r="T78" s="341"/>
      <c r="U78" s="341"/>
      <c r="V78" s="341"/>
      <c r="W78" s="341"/>
      <c r="X78" s="341"/>
      <c r="Y78" s="341"/>
      <c r="Z78" s="341"/>
      <c r="AA78" s="341"/>
      <c r="AB78" s="341"/>
      <c r="AC78" s="341"/>
      <c r="AD78" s="341"/>
      <c r="AE78" s="341"/>
      <c r="AF78" s="141"/>
      <c r="AG78" s="141"/>
      <c r="AH78" s="141"/>
      <c r="AI78" s="141"/>
      <c r="AJ78" s="141"/>
      <c r="AK78" s="141"/>
      <c r="AL78" s="141"/>
      <c r="AM78" s="141"/>
      <c r="AN78" s="141"/>
    </row>
    <row r="79" spans="1:40" ht="14.5" x14ac:dyDescent="0.35">
      <c r="A79" s="375"/>
      <c r="B79" s="343"/>
      <c r="C79" s="343"/>
      <c r="D79" s="343"/>
      <c r="E79" s="343"/>
      <c r="F79" s="343"/>
      <c r="G79" s="343"/>
      <c r="H79" s="343"/>
      <c r="I79" s="343"/>
      <c r="J79" s="343"/>
      <c r="K79" s="343"/>
      <c r="L79" s="343"/>
      <c r="M79" s="343"/>
      <c r="N79" s="343"/>
      <c r="O79" s="343"/>
      <c r="P79" s="343"/>
      <c r="Q79" s="343"/>
      <c r="R79" s="343"/>
      <c r="S79" s="343"/>
      <c r="T79" s="343"/>
      <c r="U79" s="343"/>
      <c r="V79" s="343"/>
      <c r="W79" s="343"/>
      <c r="X79" s="343"/>
      <c r="Y79" s="343"/>
      <c r="Z79" s="343"/>
      <c r="AA79" s="343"/>
      <c r="AB79" s="343"/>
      <c r="AC79" s="343"/>
      <c r="AD79" s="343"/>
      <c r="AE79" s="343"/>
      <c r="AF79" s="141"/>
      <c r="AG79" s="141"/>
      <c r="AH79" s="141"/>
      <c r="AI79" s="141"/>
      <c r="AJ79" s="141"/>
      <c r="AK79" s="141"/>
      <c r="AL79" s="141"/>
      <c r="AM79" s="141"/>
      <c r="AN79" s="141"/>
    </row>
    <row r="80" spans="1:40" ht="14.5" x14ac:dyDescent="0.35">
      <c r="A80" s="375"/>
      <c r="B80" s="343"/>
      <c r="C80" s="343"/>
      <c r="D80" s="343"/>
      <c r="E80" s="343"/>
      <c r="F80" s="343"/>
      <c r="G80" s="343"/>
      <c r="H80" s="343"/>
      <c r="I80" s="343"/>
      <c r="J80" s="343"/>
      <c r="K80" s="343"/>
      <c r="L80" s="343"/>
      <c r="M80" s="343"/>
      <c r="N80" s="343"/>
      <c r="O80" s="343"/>
      <c r="P80" s="343"/>
      <c r="Q80" s="343"/>
      <c r="R80" s="343"/>
      <c r="S80" s="343"/>
      <c r="T80" s="343"/>
      <c r="U80" s="343"/>
      <c r="V80" s="343"/>
      <c r="W80" s="343"/>
      <c r="X80" s="343"/>
      <c r="Y80" s="343"/>
      <c r="Z80" s="343"/>
      <c r="AA80" s="343"/>
      <c r="AB80" s="343"/>
      <c r="AC80" s="343"/>
      <c r="AD80" s="343"/>
      <c r="AE80" s="343"/>
      <c r="AF80" s="141"/>
      <c r="AG80" s="141"/>
      <c r="AH80" s="141"/>
      <c r="AI80" s="141"/>
      <c r="AJ80" s="141"/>
      <c r="AK80" s="141"/>
      <c r="AL80" s="141"/>
      <c r="AM80" s="141"/>
      <c r="AN80" s="141"/>
    </row>
    <row r="81" spans="1:40" ht="14.5" x14ac:dyDescent="0.35">
      <c r="A81" s="375"/>
      <c r="B81" s="343"/>
      <c r="C81" s="343"/>
      <c r="D81" s="343"/>
      <c r="E81" s="343"/>
      <c r="F81" s="343"/>
      <c r="G81" s="343"/>
      <c r="H81" s="343"/>
      <c r="I81" s="343"/>
      <c r="J81" s="343"/>
      <c r="K81" s="343"/>
      <c r="L81" s="343"/>
      <c r="M81" s="343"/>
      <c r="N81" s="343"/>
      <c r="O81" s="343"/>
      <c r="P81" s="343"/>
      <c r="Q81" s="343"/>
      <c r="R81" s="343"/>
      <c r="S81" s="343"/>
      <c r="T81" s="343"/>
      <c r="U81" s="343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141"/>
      <c r="AG81" s="141"/>
      <c r="AH81" s="141"/>
      <c r="AI81" s="141"/>
      <c r="AJ81" s="141"/>
      <c r="AK81" s="141"/>
      <c r="AL81" s="141"/>
      <c r="AM81" s="141"/>
      <c r="AN81" s="141"/>
    </row>
    <row r="82" spans="1:40" ht="14.5" x14ac:dyDescent="0.35">
      <c r="A82" s="375"/>
      <c r="B82" s="343"/>
      <c r="C82" s="343"/>
      <c r="D82" s="343"/>
      <c r="E82" s="343"/>
      <c r="F82" s="343"/>
      <c r="G82" s="343"/>
      <c r="H82" s="343"/>
      <c r="I82" s="343"/>
      <c r="J82" s="343"/>
      <c r="K82" s="343"/>
      <c r="L82" s="343"/>
      <c r="M82" s="343"/>
      <c r="N82" s="343"/>
      <c r="O82" s="343"/>
      <c r="P82" s="343"/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141"/>
      <c r="AG82" s="141"/>
      <c r="AH82" s="141"/>
      <c r="AI82" s="141"/>
      <c r="AJ82" s="141"/>
      <c r="AK82" s="141"/>
      <c r="AL82" s="141"/>
      <c r="AM82" s="141"/>
      <c r="AN82" s="141"/>
    </row>
    <row r="83" spans="1:40" ht="14.5" x14ac:dyDescent="0.35">
      <c r="A83" s="375"/>
      <c r="B83" s="343"/>
      <c r="C83" s="343"/>
      <c r="D83" s="343"/>
      <c r="E83" s="343"/>
      <c r="F83" s="343"/>
      <c r="G83" s="343"/>
      <c r="H83" s="343"/>
      <c r="I83" s="343"/>
      <c r="J83" s="343"/>
      <c r="K83" s="343"/>
      <c r="L83" s="343"/>
      <c r="M83" s="343"/>
      <c r="N83" s="343"/>
      <c r="O83" s="343"/>
      <c r="P83" s="343"/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141"/>
      <c r="AG83" s="141"/>
      <c r="AH83" s="141"/>
      <c r="AI83" s="141"/>
      <c r="AJ83" s="141"/>
      <c r="AK83" s="141"/>
      <c r="AL83" s="141"/>
      <c r="AM83" s="141"/>
      <c r="AN83" s="141"/>
    </row>
    <row r="84" spans="1:40" ht="14.5" x14ac:dyDescent="0.35">
      <c r="A84" s="375"/>
      <c r="B84" s="343"/>
      <c r="C84" s="343"/>
      <c r="D84" s="343"/>
      <c r="E84" s="343"/>
      <c r="F84" s="343"/>
      <c r="G84" s="343"/>
      <c r="H84" s="343"/>
      <c r="I84" s="343"/>
      <c r="J84" s="343"/>
      <c r="K84" s="343"/>
      <c r="L84" s="343"/>
      <c r="M84" s="343"/>
      <c r="N84" s="343"/>
      <c r="O84" s="343"/>
      <c r="P84" s="343"/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141"/>
      <c r="AG84" s="141"/>
      <c r="AH84" s="141"/>
      <c r="AI84" s="141"/>
      <c r="AJ84" s="141"/>
      <c r="AK84" s="141"/>
      <c r="AL84" s="141"/>
      <c r="AM84" s="141"/>
      <c r="AN84" s="141"/>
    </row>
    <row r="85" spans="1:40" ht="14.5" x14ac:dyDescent="0.35">
      <c r="A85" s="375"/>
      <c r="B85" s="343"/>
      <c r="C85" s="343"/>
      <c r="D85" s="343"/>
      <c r="E85" s="343"/>
      <c r="F85" s="343"/>
      <c r="G85" s="343"/>
      <c r="H85" s="343"/>
      <c r="I85" s="343"/>
      <c r="J85" s="343"/>
      <c r="K85" s="343"/>
      <c r="L85" s="343"/>
      <c r="M85" s="343"/>
      <c r="N85" s="343"/>
      <c r="O85" s="343"/>
      <c r="P85" s="343"/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141"/>
      <c r="AG85" s="141"/>
      <c r="AH85" s="141"/>
      <c r="AI85" s="141"/>
      <c r="AJ85" s="141"/>
      <c r="AK85" s="141"/>
      <c r="AL85" s="141"/>
      <c r="AM85" s="141"/>
      <c r="AN85" s="141"/>
    </row>
    <row r="86" spans="1:40" ht="14.5" x14ac:dyDescent="0.35">
      <c r="A86" s="375"/>
      <c r="B86" s="343"/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141"/>
      <c r="AG86" s="141"/>
      <c r="AH86" s="141"/>
      <c r="AI86" s="141"/>
      <c r="AJ86" s="141"/>
      <c r="AK86" s="141"/>
      <c r="AL86" s="141"/>
      <c r="AM86" s="141"/>
      <c r="AN86" s="141"/>
    </row>
    <row r="87" spans="1:40" ht="14.5" x14ac:dyDescent="0.35">
      <c r="A87" s="375"/>
      <c r="B87" s="343"/>
      <c r="C87" s="343"/>
      <c r="D87" s="343"/>
      <c r="E87" s="343"/>
      <c r="F87" s="343"/>
      <c r="G87" s="343"/>
      <c r="H87" s="343"/>
      <c r="I87" s="343"/>
      <c r="J87" s="343"/>
      <c r="K87" s="343"/>
      <c r="L87" s="343"/>
      <c r="M87" s="343"/>
      <c r="N87" s="343"/>
      <c r="O87" s="343"/>
      <c r="P87" s="343"/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141"/>
      <c r="AG87" s="141"/>
      <c r="AH87" s="141"/>
      <c r="AI87" s="141"/>
      <c r="AJ87" s="141"/>
      <c r="AK87" s="141"/>
      <c r="AL87" s="141"/>
      <c r="AM87" s="141"/>
      <c r="AN87" s="141"/>
    </row>
    <row r="88" spans="1:40" ht="14.5" x14ac:dyDescent="0.35">
      <c r="A88" s="375"/>
      <c r="B88" s="343"/>
      <c r="C88" s="343"/>
      <c r="D88" s="343"/>
      <c r="E88" s="343"/>
      <c r="F88" s="343"/>
      <c r="G88" s="343"/>
      <c r="H88" s="343"/>
      <c r="I88" s="343"/>
      <c r="J88" s="343"/>
      <c r="K88" s="343"/>
      <c r="L88" s="343"/>
      <c r="M88" s="343"/>
      <c r="N88" s="343"/>
      <c r="O88" s="343"/>
      <c r="P88" s="343"/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141"/>
      <c r="AG88" s="141"/>
      <c r="AH88" s="141"/>
      <c r="AI88" s="141"/>
      <c r="AJ88" s="141"/>
      <c r="AK88" s="141"/>
      <c r="AL88" s="141"/>
      <c r="AM88" s="141"/>
      <c r="AN88" s="141"/>
    </row>
    <row r="89" spans="1:40" ht="14.5" x14ac:dyDescent="0.35">
      <c r="A89" s="375"/>
      <c r="B89" s="343"/>
      <c r="C89" s="343"/>
      <c r="D89" s="343"/>
      <c r="E89" s="343"/>
      <c r="F89" s="343"/>
      <c r="G89" s="343"/>
      <c r="H89" s="343"/>
      <c r="I89" s="343"/>
      <c r="J89" s="343"/>
      <c r="K89" s="343"/>
      <c r="L89" s="343"/>
      <c r="M89" s="343"/>
      <c r="N89" s="343"/>
      <c r="O89" s="343"/>
      <c r="P89" s="343"/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141"/>
      <c r="AG89" s="141"/>
      <c r="AH89" s="141"/>
      <c r="AI89" s="141"/>
      <c r="AJ89" s="141"/>
      <c r="AK89" s="141"/>
      <c r="AL89" s="141"/>
      <c r="AM89" s="141"/>
      <c r="AN89" s="141"/>
    </row>
    <row r="90" spans="1:40" ht="14.5" x14ac:dyDescent="0.35">
      <c r="A90" s="375"/>
      <c r="B90" s="343"/>
      <c r="C90" s="343"/>
      <c r="D90" s="343"/>
      <c r="E90" s="343"/>
      <c r="F90" s="343"/>
      <c r="G90" s="343"/>
      <c r="H90" s="343"/>
      <c r="I90" s="343"/>
      <c r="J90" s="343"/>
      <c r="K90" s="343"/>
      <c r="L90" s="343"/>
      <c r="M90" s="343"/>
      <c r="N90" s="343"/>
      <c r="O90" s="343"/>
      <c r="P90" s="343"/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141"/>
      <c r="AG90" s="141"/>
      <c r="AH90" s="141"/>
      <c r="AI90" s="141"/>
      <c r="AJ90" s="141"/>
      <c r="AK90" s="141"/>
      <c r="AL90" s="141"/>
      <c r="AM90" s="141"/>
      <c r="AN90" s="141"/>
    </row>
    <row r="91" spans="1:40" ht="14.5" x14ac:dyDescent="0.35">
      <c r="A91" s="375"/>
      <c r="B91" s="343"/>
      <c r="C91" s="343"/>
      <c r="D91" s="343"/>
      <c r="E91" s="343"/>
      <c r="F91" s="343"/>
      <c r="G91" s="343"/>
      <c r="H91" s="343"/>
      <c r="I91" s="343"/>
      <c r="J91" s="343"/>
      <c r="K91" s="343"/>
      <c r="L91" s="343"/>
      <c r="M91" s="343"/>
      <c r="N91" s="343"/>
      <c r="O91" s="343"/>
      <c r="P91" s="343"/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141"/>
      <c r="AG91" s="141"/>
      <c r="AH91" s="141"/>
      <c r="AI91" s="141"/>
      <c r="AJ91" s="141"/>
      <c r="AK91" s="141"/>
      <c r="AL91" s="141"/>
      <c r="AM91" s="141"/>
      <c r="AN91" s="141"/>
    </row>
    <row r="92" spans="1:40" ht="14.5" x14ac:dyDescent="0.35">
      <c r="A92" s="375"/>
      <c r="B92" s="343"/>
      <c r="C92" s="343"/>
      <c r="D92" s="343"/>
      <c r="E92" s="343"/>
      <c r="F92" s="343"/>
      <c r="G92" s="343"/>
      <c r="H92" s="343"/>
      <c r="I92" s="343"/>
      <c r="J92" s="343"/>
      <c r="K92" s="343"/>
      <c r="L92" s="343"/>
      <c r="M92" s="343"/>
      <c r="N92" s="343"/>
      <c r="O92" s="343"/>
      <c r="P92" s="343"/>
      <c r="Q92" s="343"/>
      <c r="R92" s="343"/>
      <c r="S92" s="343"/>
      <c r="T92" s="343"/>
      <c r="U92" s="343"/>
      <c r="V92" s="343"/>
      <c r="W92" s="343"/>
      <c r="X92" s="343"/>
      <c r="Y92" s="343"/>
      <c r="Z92" s="343"/>
      <c r="AA92" s="343"/>
      <c r="AB92" s="343"/>
      <c r="AC92" s="343"/>
      <c r="AD92" s="343"/>
      <c r="AE92" s="343"/>
      <c r="AF92" s="141"/>
      <c r="AG92" s="141"/>
      <c r="AH92" s="141"/>
      <c r="AI92" s="141"/>
      <c r="AJ92" s="141"/>
      <c r="AK92" s="141"/>
      <c r="AL92" s="141"/>
      <c r="AM92" s="141"/>
      <c r="AN92" s="141"/>
    </row>
    <row r="93" spans="1:40" ht="14.5" x14ac:dyDescent="0.35">
      <c r="A93" s="375"/>
      <c r="B93" s="343"/>
      <c r="C93" s="343"/>
      <c r="D93" s="343"/>
      <c r="E93" s="343"/>
      <c r="F93" s="343"/>
      <c r="G93" s="343"/>
      <c r="H93" s="343"/>
      <c r="I93" s="343"/>
      <c r="J93" s="343"/>
      <c r="K93" s="343"/>
      <c r="L93" s="343"/>
      <c r="M93" s="343"/>
      <c r="N93" s="343"/>
      <c r="O93" s="343"/>
      <c r="P93" s="343"/>
      <c r="Q93" s="343"/>
      <c r="R93" s="343"/>
      <c r="S93" s="343"/>
      <c r="T93" s="343"/>
      <c r="U93" s="343"/>
      <c r="V93" s="343"/>
      <c r="W93" s="343"/>
      <c r="X93" s="343"/>
      <c r="Y93" s="343"/>
      <c r="Z93" s="343"/>
      <c r="AA93" s="343"/>
      <c r="AB93" s="343"/>
      <c r="AC93" s="343"/>
      <c r="AD93" s="343"/>
      <c r="AE93" s="343"/>
      <c r="AF93" s="141"/>
      <c r="AG93" s="141"/>
      <c r="AH93" s="141"/>
      <c r="AI93" s="141"/>
      <c r="AJ93" s="141"/>
      <c r="AK93" s="141"/>
      <c r="AL93" s="141"/>
      <c r="AM93" s="141"/>
      <c r="AN93" s="141"/>
    </row>
    <row r="94" spans="1:40" ht="14.5" x14ac:dyDescent="0.35">
      <c r="A94" s="375"/>
      <c r="B94" s="343"/>
      <c r="C94" s="343"/>
      <c r="D94" s="343"/>
      <c r="E94" s="343"/>
      <c r="F94" s="343"/>
      <c r="G94" s="343"/>
      <c r="H94" s="343"/>
      <c r="I94" s="343"/>
      <c r="J94" s="343"/>
      <c r="K94" s="343"/>
      <c r="L94" s="343"/>
      <c r="M94" s="343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3"/>
      <c r="AB94" s="343"/>
      <c r="AC94" s="343"/>
      <c r="AD94" s="343"/>
      <c r="AE94" s="343"/>
      <c r="AF94" s="141"/>
      <c r="AG94" s="141"/>
      <c r="AH94" s="141"/>
      <c r="AI94" s="141"/>
      <c r="AJ94" s="141"/>
      <c r="AK94" s="141"/>
      <c r="AL94" s="141"/>
      <c r="AM94" s="141"/>
      <c r="AN94" s="141"/>
    </row>
    <row r="95" spans="1:40" ht="14.5" x14ac:dyDescent="0.35">
      <c r="A95" s="375"/>
      <c r="B95" s="343"/>
      <c r="C95" s="343"/>
      <c r="D95" s="343"/>
      <c r="E95" s="343"/>
      <c r="F95" s="343"/>
      <c r="G95" s="343"/>
      <c r="H95" s="343"/>
      <c r="I95" s="343"/>
      <c r="J95" s="343"/>
      <c r="K95" s="343"/>
      <c r="L95" s="343"/>
      <c r="M95" s="343"/>
      <c r="N95" s="343"/>
      <c r="O95" s="343"/>
      <c r="P95" s="343"/>
      <c r="Q95" s="343"/>
      <c r="R95" s="343"/>
      <c r="S95" s="343"/>
      <c r="T95" s="343"/>
      <c r="U95" s="343"/>
      <c r="V95" s="343"/>
      <c r="W95" s="343"/>
      <c r="X95" s="343"/>
      <c r="Y95" s="343"/>
      <c r="Z95" s="343"/>
      <c r="AA95" s="343"/>
      <c r="AB95" s="343"/>
      <c r="AC95" s="343"/>
      <c r="AD95" s="343"/>
      <c r="AE95" s="343"/>
      <c r="AF95" s="141"/>
      <c r="AG95" s="141"/>
      <c r="AH95" s="141"/>
      <c r="AI95" s="141"/>
      <c r="AJ95" s="141"/>
      <c r="AK95" s="141"/>
      <c r="AL95" s="141"/>
      <c r="AM95" s="141"/>
      <c r="AN95" s="141"/>
    </row>
    <row r="96" spans="1:40" ht="14.5" x14ac:dyDescent="0.35">
      <c r="A96" s="375"/>
      <c r="B96" s="343"/>
      <c r="C96" s="343"/>
      <c r="D96" s="343"/>
      <c r="E96" s="343"/>
      <c r="F96" s="343"/>
      <c r="G96" s="343"/>
      <c r="H96" s="343"/>
      <c r="I96" s="343"/>
      <c r="J96" s="343"/>
      <c r="K96" s="343"/>
      <c r="L96" s="343"/>
      <c r="M96" s="343"/>
      <c r="N96" s="343"/>
      <c r="O96" s="343"/>
      <c r="P96" s="343"/>
      <c r="Q96" s="343"/>
      <c r="R96" s="343"/>
      <c r="S96" s="343"/>
      <c r="T96" s="343"/>
      <c r="U96" s="343"/>
      <c r="V96" s="343"/>
      <c r="W96" s="343"/>
      <c r="X96" s="343"/>
      <c r="Y96" s="343"/>
      <c r="Z96" s="343"/>
      <c r="AA96" s="343"/>
      <c r="AB96" s="343"/>
      <c r="AC96" s="343"/>
      <c r="AD96" s="343"/>
      <c r="AE96" s="343"/>
      <c r="AF96" s="141"/>
      <c r="AG96" s="141"/>
      <c r="AH96" s="141"/>
      <c r="AI96" s="141"/>
      <c r="AJ96" s="141"/>
      <c r="AK96" s="141"/>
      <c r="AL96" s="141"/>
      <c r="AM96" s="141"/>
      <c r="AN96" s="141"/>
    </row>
    <row r="97" spans="1:40" ht="14.5" x14ac:dyDescent="0.35">
      <c r="A97" s="375"/>
      <c r="B97" s="343"/>
      <c r="C97" s="343"/>
      <c r="D97" s="343"/>
      <c r="E97" s="343"/>
      <c r="F97" s="343"/>
      <c r="G97" s="343"/>
      <c r="H97" s="343"/>
      <c r="I97" s="343"/>
      <c r="J97" s="343"/>
      <c r="K97" s="343"/>
      <c r="L97" s="343"/>
      <c r="M97" s="343"/>
      <c r="N97" s="343"/>
      <c r="O97" s="343"/>
      <c r="P97" s="343"/>
      <c r="Q97" s="343"/>
      <c r="R97" s="343"/>
      <c r="S97" s="343"/>
      <c r="T97" s="343"/>
      <c r="U97" s="343"/>
      <c r="V97" s="343"/>
      <c r="W97" s="343"/>
      <c r="X97" s="343"/>
      <c r="Y97" s="343"/>
      <c r="Z97" s="343"/>
      <c r="AA97" s="343"/>
      <c r="AB97" s="343"/>
      <c r="AC97" s="343"/>
      <c r="AD97" s="343"/>
      <c r="AE97" s="343"/>
      <c r="AF97" s="141"/>
      <c r="AG97" s="141"/>
      <c r="AH97" s="141"/>
      <c r="AI97" s="141"/>
      <c r="AJ97" s="141"/>
      <c r="AK97" s="141"/>
      <c r="AL97" s="141"/>
      <c r="AM97" s="141"/>
      <c r="AN97" s="141"/>
    </row>
    <row r="98" spans="1:40" ht="14.5" x14ac:dyDescent="0.35">
      <c r="A98" s="375"/>
      <c r="B98" s="343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343"/>
      <c r="V98" s="343"/>
      <c r="W98" s="343"/>
      <c r="X98" s="343"/>
      <c r="Y98" s="343"/>
      <c r="Z98" s="343"/>
      <c r="AA98" s="343"/>
      <c r="AB98" s="343"/>
      <c r="AC98" s="343"/>
      <c r="AD98" s="343"/>
      <c r="AE98" s="343"/>
      <c r="AF98" s="141"/>
      <c r="AG98" s="141"/>
      <c r="AH98" s="141"/>
      <c r="AI98" s="141"/>
      <c r="AJ98" s="141"/>
      <c r="AK98" s="141"/>
      <c r="AL98" s="141"/>
      <c r="AM98" s="141"/>
      <c r="AN98" s="141"/>
    </row>
    <row r="99" spans="1:40" ht="14.5" x14ac:dyDescent="0.35">
      <c r="A99" s="375"/>
      <c r="B99" s="343"/>
      <c r="C99" s="343"/>
      <c r="D99" s="343"/>
      <c r="E99" s="343"/>
      <c r="F99" s="343"/>
      <c r="G99" s="343"/>
      <c r="H99" s="343"/>
      <c r="I99" s="343"/>
      <c r="J99" s="343"/>
      <c r="K99" s="343"/>
      <c r="L99" s="343"/>
      <c r="M99" s="343"/>
      <c r="N99" s="343"/>
      <c r="O99" s="343"/>
      <c r="P99" s="343"/>
      <c r="Q99" s="343"/>
      <c r="R99" s="343"/>
      <c r="S99" s="343"/>
      <c r="T99" s="343"/>
      <c r="U99" s="343"/>
      <c r="V99" s="343"/>
      <c r="W99" s="343"/>
      <c r="X99" s="343"/>
      <c r="Y99" s="343"/>
      <c r="Z99" s="343"/>
      <c r="AA99" s="343"/>
      <c r="AB99" s="343"/>
      <c r="AC99" s="343"/>
      <c r="AD99" s="343"/>
      <c r="AE99" s="343"/>
      <c r="AF99" s="141"/>
      <c r="AG99" s="141"/>
      <c r="AH99" s="141"/>
      <c r="AI99" s="141"/>
      <c r="AJ99" s="141"/>
      <c r="AK99" s="141"/>
      <c r="AL99" s="141"/>
      <c r="AM99" s="141"/>
      <c r="AN99" s="141"/>
    </row>
    <row r="100" spans="1:40" ht="14.5" x14ac:dyDescent="0.35">
      <c r="A100" s="375"/>
      <c r="B100" s="343"/>
      <c r="C100" s="343"/>
      <c r="D100" s="343"/>
      <c r="E100" s="343"/>
      <c r="F100" s="343"/>
      <c r="G100" s="343"/>
      <c r="H100" s="343"/>
      <c r="I100" s="343"/>
      <c r="J100" s="343"/>
      <c r="K100" s="343"/>
      <c r="L100" s="343"/>
      <c r="M100" s="343"/>
      <c r="N100" s="343"/>
      <c r="O100" s="343"/>
      <c r="P100" s="343"/>
      <c r="Q100" s="343"/>
      <c r="R100" s="343"/>
      <c r="S100" s="343"/>
      <c r="T100" s="343"/>
      <c r="U100" s="343"/>
      <c r="V100" s="343"/>
      <c r="W100" s="343"/>
      <c r="X100" s="343"/>
      <c r="Y100" s="343"/>
      <c r="Z100" s="343"/>
      <c r="AA100" s="343"/>
      <c r="AB100" s="343"/>
      <c r="AC100" s="343"/>
      <c r="AD100" s="343"/>
      <c r="AE100" s="343"/>
      <c r="AF100" s="141"/>
      <c r="AG100" s="141"/>
      <c r="AH100" s="141"/>
      <c r="AI100" s="141"/>
      <c r="AJ100" s="141"/>
      <c r="AK100" s="141"/>
      <c r="AL100" s="141"/>
      <c r="AM100" s="141"/>
      <c r="AN100" s="141"/>
    </row>
    <row r="101" spans="1:40" ht="14.5" x14ac:dyDescent="0.35">
      <c r="A101" s="375"/>
      <c r="B101" s="343"/>
      <c r="C101" s="343"/>
      <c r="D101" s="343"/>
      <c r="E101" s="343"/>
      <c r="F101" s="343"/>
      <c r="G101" s="343"/>
      <c r="H101" s="343"/>
      <c r="I101" s="343"/>
      <c r="J101" s="343"/>
      <c r="K101" s="343"/>
      <c r="L101" s="343"/>
      <c r="M101" s="343"/>
      <c r="N101" s="343"/>
      <c r="O101" s="343"/>
      <c r="P101" s="343"/>
      <c r="Q101" s="343"/>
      <c r="R101" s="343"/>
      <c r="S101" s="343"/>
      <c r="T101" s="343"/>
      <c r="U101" s="343"/>
      <c r="V101" s="343"/>
      <c r="W101" s="343"/>
      <c r="X101" s="343"/>
      <c r="Y101" s="343"/>
      <c r="Z101" s="343"/>
      <c r="AA101" s="343"/>
      <c r="AB101" s="343"/>
      <c r="AC101" s="343"/>
      <c r="AD101" s="343"/>
      <c r="AE101" s="343"/>
      <c r="AF101" s="141"/>
      <c r="AG101" s="141"/>
      <c r="AH101" s="141"/>
      <c r="AI101" s="141"/>
      <c r="AJ101" s="141"/>
      <c r="AK101" s="141"/>
      <c r="AL101" s="141"/>
      <c r="AM101" s="141"/>
      <c r="AN101" s="141"/>
    </row>
    <row r="102" spans="1:40" ht="14.5" x14ac:dyDescent="0.35">
      <c r="A102" s="375"/>
      <c r="B102" s="343"/>
      <c r="C102" s="343"/>
      <c r="D102" s="343"/>
      <c r="E102" s="343"/>
      <c r="F102" s="343"/>
      <c r="G102" s="343"/>
      <c r="H102" s="343"/>
      <c r="I102" s="343"/>
      <c r="J102" s="343"/>
      <c r="K102" s="343"/>
      <c r="L102" s="343"/>
      <c r="M102" s="343"/>
      <c r="N102" s="343"/>
      <c r="O102" s="343"/>
      <c r="P102" s="343"/>
      <c r="Q102" s="343"/>
      <c r="R102" s="343"/>
      <c r="S102" s="343"/>
      <c r="T102" s="343"/>
      <c r="U102" s="343"/>
      <c r="V102" s="343"/>
      <c r="W102" s="343"/>
      <c r="X102" s="343"/>
      <c r="Y102" s="343"/>
      <c r="Z102" s="343"/>
      <c r="AA102" s="343"/>
      <c r="AB102" s="343"/>
      <c r="AC102" s="343"/>
      <c r="AD102" s="343"/>
      <c r="AE102" s="343"/>
      <c r="AF102" s="141"/>
      <c r="AG102" s="141"/>
      <c r="AH102" s="141"/>
      <c r="AI102" s="141"/>
      <c r="AJ102" s="141"/>
      <c r="AK102" s="141"/>
      <c r="AL102" s="141"/>
      <c r="AM102" s="141"/>
      <c r="AN102" s="141"/>
    </row>
    <row r="103" spans="1:40" ht="14.5" x14ac:dyDescent="0.35">
      <c r="A103" s="375"/>
      <c r="B103" s="343"/>
      <c r="C103" s="343"/>
      <c r="D103" s="343"/>
      <c r="E103" s="343"/>
      <c r="F103" s="343"/>
      <c r="G103" s="343"/>
      <c r="H103" s="343"/>
      <c r="I103" s="343"/>
      <c r="J103" s="343"/>
      <c r="K103" s="343"/>
      <c r="L103" s="343"/>
      <c r="M103" s="343"/>
      <c r="N103" s="343"/>
      <c r="O103" s="343"/>
      <c r="P103" s="343"/>
      <c r="Q103" s="343"/>
      <c r="R103" s="343"/>
      <c r="S103" s="343"/>
      <c r="T103" s="343"/>
      <c r="U103" s="343"/>
      <c r="V103" s="343"/>
      <c r="W103" s="343"/>
      <c r="X103" s="343"/>
      <c r="Y103" s="343"/>
      <c r="Z103" s="343"/>
      <c r="AA103" s="343"/>
      <c r="AB103" s="343"/>
      <c r="AC103" s="343"/>
      <c r="AD103" s="343"/>
      <c r="AE103" s="343"/>
      <c r="AF103" s="141"/>
      <c r="AG103" s="141"/>
      <c r="AH103" s="141"/>
      <c r="AI103" s="141"/>
      <c r="AJ103" s="141"/>
      <c r="AK103" s="141"/>
      <c r="AL103" s="141"/>
      <c r="AM103" s="141"/>
      <c r="AN103" s="141"/>
    </row>
    <row r="104" spans="1:40" ht="14.5" x14ac:dyDescent="0.35">
      <c r="A104" s="375"/>
      <c r="B104" s="343"/>
      <c r="C104" s="343"/>
      <c r="D104" s="343"/>
      <c r="E104" s="343"/>
      <c r="F104" s="343"/>
      <c r="G104" s="343"/>
      <c r="H104" s="343"/>
      <c r="I104" s="343"/>
      <c r="J104" s="343"/>
      <c r="K104" s="343"/>
      <c r="L104" s="343"/>
      <c r="M104" s="343"/>
      <c r="N104" s="343"/>
      <c r="O104" s="343"/>
      <c r="P104" s="343"/>
      <c r="Q104" s="343"/>
      <c r="R104" s="343"/>
      <c r="S104" s="343"/>
      <c r="T104" s="343"/>
      <c r="U104" s="343"/>
      <c r="V104" s="343"/>
      <c r="W104" s="343"/>
      <c r="X104" s="343"/>
      <c r="Y104" s="343"/>
      <c r="Z104" s="343"/>
      <c r="AA104" s="343"/>
      <c r="AB104" s="343"/>
      <c r="AC104" s="343"/>
      <c r="AD104" s="343"/>
      <c r="AE104" s="343"/>
      <c r="AF104" s="141"/>
      <c r="AG104" s="141"/>
      <c r="AH104" s="141"/>
      <c r="AI104" s="141"/>
      <c r="AJ104" s="141"/>
      <c r="AK104" s="141"/>
      <c r="AL104" s="141"/>
      <c r="AM104" s="141"/>
      <c r="AN104" s="141"/>
    </row>
    <row r="105" spans="1:40" ht="14.5" x14ac:dyDescent="0.35">
      <c r="A105" s="375"/>
      <c r="B105" s="343"/>
      <c r="C105" s="343"/>
      <c r="D105" s="343"/>
      <c r="E105" s="343"/>
      <c r="F105" s="343"/>
      <c r="G105" s="343"/>
      <c r="H105" s="343"/>
      <c r="I105" s="343"/>
      <c r="J105" s="343"/>
      <c r="K105" s="343"/>
      <c r="L105" s="343"/>
      <c r="M105" s="343"/>
      <c r="N105" s="343"/>
      <c r="O105" s="343"/>
      <c r="P105" s="343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3"/>
      <c r="AB105" s="343"/>
      <c r="AC105" s="343"/>
      <c r="AD105" s="343"/>
      <c r="AE105" s="343"/>
      <c r="AF105" s="141"/>
      <c r="AG105" s="141"/>
      <c r="AH105" s="141"/>
      <c r="AI105" s="141"/>
      <c r="AJ105" s="141"/>
      <c r="AK105" s="141"/>
      <c r="AL105" s="141"/>
      <c r="AM105" s="141"/>
      <c r="AN105" s="141"/>
    </row>
    <row r="106" spans="1:40" ht="14.5" x14ac:dyDescent="0.35">
      <c r="A106" s="375"/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43"/>
      <c r="Q106" s="343"/>
      <c r="R106" s="343"/>
      <c r="S106" s="343"/>
      <c r="T106" s="343"/>
      <c r="U106" s="343"/>
      <c r="V106" s="343"/>
      <c r="W106" s="343"/>
      <c r="X106" s="343"/>
      <c r="Y106" s="343"/>
      <c r="Z106" s="343"/>
      <c r="AA106" s="343"/>
      <c r="AB106" s="343"/>
      <c r="AC106" s="343"/>
      <c r="AD106" s="343"/>
      <c r="AE106" s="343"/>
      <c r="AF106" s="141"/>
      <c r="AG106" s="141"/>
      <c r="AH106" s="141"/>
      <c r="AI106" s="141"/>
      <c r="AJ106" s="141"/>
      <c r="AK106" s="141"/>
      <c r="AL106" s="141"/>
      <c r="AM106" s="141"/>
      <c r="AN106" s="141"/>
    </row>
    <row r="107" spans="1:40" ht="14.5" x14ac:dyDescent="0.35">
      <c r="A107" s="375"/>
      <c r="B107" s="343"/>
      <c r="C107" s="343"/>
      <c r="D107" s="343"/>
      <c r="E107" s="343"/>
      <c r="F107" s="343"/>
      <c r="G107" s="343"/>
      <c r="H107" s="343"/>
      <c r="I107" s="343"/>
      <c r="J107" s="343"/>
      <c r="K107" s="343"/>
      <c r="L107" s="343"/>
      <c r="M107" s="343"/>
      <c r="N107" s="343"/>
      <c r="O107" s="343"/>
      <c r="P107" s="343"/>
      <c r="Q107" s="343"/>
      <c r="R107" s="343"/>
      <c r="S107" s="343"/>
      <c r="T107" s="343"/>
      <c r="U107" s="343"/>
      <c r="V107" s="343"/>
      <c r="W107" s="343"/>
      <c r="X107" s="343"/>
      <c r="Y107" s="343"/>
      <c r="Z107" s="343"/>
      <c r="AA107" s="343"/>
      <c r="AB107" s="343"/>
      <c r="AC107" s="343"/>
      <c r="AD107" s="343"/>
      <c r="AE107" s="343"/>
      <c r="AF107" s="141"/>
      <c r="AG107" s="141"/>
      <c r="AH107" s="141"/>
      <c r="AI107" s="141"/>
      <c r="AJ107" s="141"/>
      <c r="AK107" s="141"/>
      <c r="AL107" s="141"/>
      <c r="AM107" s="141"/>
      <c r="AN107" s="141"/>
    </row>
    <row r="108" spans="1:40" ht="14.5" x14ac:dyDescent="0.35">
      <c r="A108" s="375"/>
      <c r="B108" s="343"/>
      <c r="C108" s="343"/>
      <c r="D108" s="343"/>
      <c r="E108" s="343"/>
      <c r="F108" s="343"/>
      <c r="G108" s="343"/>
      <c r="H108" s="343"/>
      <c r="I108" s="343"/>
      <c r="J108" s="343"/>
      <c r="K108" s="343"/>
      <c r="L108" s="343"/>
      <c r="M108" s="343"/>
      <c r="N108" s="343"/>
      <c r="O108" s="343"/>
      <c r="P108" s="343"/>
      <c r="Q108" s="343"/>
      <c r="R108" s="343"/>
      <c r="S108" s="343"/>
      <c r="T108" s="343"/>
      <c r="U108" s="343"/>
      <c r="V108" s="343"/>
      <c r="W108" s="343"/>
      <c r="X108" s="343"/>
      <c r="Y108" s="343"/>
      <c r="Z108" s="343"/>
      <c r="AA108" s="343"/>
      <c r="AB108" s="343"/>
      <c r="AC108" s="343"/>
      <c r="AD108" s="343"/>
      <c r="AE108" s="343"/>
      <c r="AF108" s="141"/>
      <c r="AG108" s="141"/>
      <c r="AH108" s="141"/>
      <c r="AI108" s="141"/>
      <c r="AJ108" s="141"/>
      <c r="AK108" s="141"/>
      <c r="AL108" s="141"/>
      <c r="AM108" s="141"/>
      <c r="AN108" s="141"/>
    </row>
    <row r="109" spans="1:40" ht="14.5" x14ac:dyDescent="0.35">
      <c r="A109" s="375"/>
      <c r="B109" s="343"/>
      <c r="C109" s="343"/>
      <c r="D109" s="343"/>
      <c r="E109" s="343"/>
      <c r="F109" s="343"/>
      <c r="G109" s="343"/>
      <c r="H109" s="343"/>
      <c r="I109" s="343"/>
      <c r="J109" s="343"/>
      <c r="K109" s="343"/>
      <c r="L109" s="343"/>
      <c r="M109" s="343"/>
      <c r="N109" s="343"/>
      <c r="O109" s="343"/>
      <c r="P109" s="343"/>
      <c r="Q109" s="343"/>
      <c r="R109" s="343"/>
      <c r="S109" s="343"/>
      <c r="T109" s="343"/>
      <c r="U109" s="343"/>
      <c r="V109" s="343"/>
      <c r="W109" s="343"/>
      <c r="X109" s="343"/>
      <c r="Y109" s="343"/>
      <c r="Z109" s="343"/>
      <c r="AA109" s="343"/>
      <c r="AB109" s="343"/>
      <c r="AC109" s="343"/>
      <c r="AD109" s="343"/>
      <c r="AE109" s="343"/>
      <c r="AF109" s="141"/>
      <c r="AG109" s="141"/>
      <c r="AH109" s="141"/>
      <c r="AI109" s="141"/>
      <c r="AJ109" s="141"/>
      <c r="AK109" s="141"/>
      <c r="AL109" s="141"/>
      <c r="AM109" s="141"/>
      <c r="AN109" s="141"/>
    </row>
    <row r="110" spans="1:40" ht="14.5" x14ac:dyDescent="0.35">
      <c r="A110" s="375"/>
      <c r="B110" s="343"/>
      <c r="C110" s="343"/>
      <c r="D110" s="343"/>
      <c r="E110" s="343"/>
      <c r="F110" s="343"/>
      <c r="G110" s="343"/>
      <c r="H110" s="343"/>
      <c r="I110" s="343"/>
      <c r="J110" s="343"/>
      <c r="K110" s="343"/>
      <c r="L110" s="343"/>
      <c r="M110" s="343"/>
      <c r="N110" s="343"/>
      <c r="O110" s="343"/>
      <c r="P110" s="343"/>
      <c r="Q110" s="343"/>
      <c r="R110" s="343"/>
      <c r="S110" s="343"/>
      <c r="T110" s="343"/>
      <c r="U110" s="343"/>
      <c r="V110" s="343"/>
      <c r="W110" s="343"/>
      <c r="X110" s="343"/>
      <c r="Y110" s="343"/>
      <c r="Z110" s="343"/>
      <c r="AA110" s="343"/>
      <c r="AB110" s="343"/>
      <c r="AC110" s="343"/>
      <c r="AD110" s="343"/>
      <c r="AE110" s="343"/>
      <c r="AF110" s="141"/>
      <c r="AG110" s="141"/>
      <c r="AH110" s="141"/>
      <c r="AI110" s="141"/>
      <c r="AJ110" s="141"/>
      <c r="AK110" s="141"/>
      <c r="AL110" s="141"/>
      <c r="AM110" s="141"/>
      <c r="AN110" s="141"/>
    </row>
    <row r="111" spans="1:40" ht="14.5" x14ac:dyDescent="0.35">
      <c r="A111" s="375"/>
      <c r="B111" s="343"/>
      <c r="C111" s="343"/>
      <c r="D111" s="343"/>
      <c r="E111" s="343"/>
      <c r="F111" s="343"/>
      <c r="G111" s="343"/>
      <c r="H111" s="343"/>
      <c r="I111" s="343"/>
      <c r="J111" s="343"/>
      <c r="K111" s="343"/>
      <c r="L111" s="343"/>
      <c r="M111" s="343"/>
      <c r="N111" s="343"/>
      <c r="O111" s="343"/>
      <c r="P111" s="343"/>
      <c r="Q111" s="343"/>
      <c r="R111" s="343"/>
      <c r="S111" s="343"/>
      <c r="T111" s="343"/>
      <c r="U111" s="343"/>
      <c r="V111" s="343"/>
      <c r="W111" s="343"/>
      <c r="X111" s="343"/>
      <c r="Y111" s="343"/>
      <c r="Z111" s="343"/>
      <c r="AA111" s="343"/>
      <c r="AB111" s="343"/>
      <c r="AC111" s="343"/>
      <c r="AD111" s="343"/>
      <c r="AE111" s="343"/>
      <c r="AF111" s="141"/>
      <c r="AG111" s="141"/>
      <c r="AH111" s="141"/>
      <c r="AI111" s="141"/>
      <c r="AJ111" s="141"/>
      <c r="AK111" s="141"/>
      <c r="AL111" s="141"/>
      <c r="AM111" s="141"/>
      <c r="AN111" s="141"/>
    </row>
    <row r="112" spans="1:40" ht="14.5" x14ac:dyDescent="0.35">
      <c r="A112" s="375"/>
      <c r="B112" s="343"/>
      <c r="C112" s="343"/>
      <c r="D112" s="343"/>
      <c r="E112" s="343"/>
      <c r="F112" s="343"/>
      <c r="G112" s="343"/>
      <c r="H112" s="343"/>
      <c r="I112" s="343"/>
      <c r="J112" s="343"/>
      <c r="K112" s="343"/>
      <c r="L112" s="343"/>
      <c r="M112" s="343"/>
      <c r="N112" s="343"/>
      <c r="O112" s="343"/>
      <c r="P112" s="343"/>
      <c r="Q112" s="343"/>
      <c r="R112" s="343"/>
      <c r="S112" s="343"/>
      <c r="T112" s="343"/>
      <c r="U112" s="343"/>
      <c r="V112" s="343"/>
      <c r="W112" s="343"/>
      <c r="X112" s="343"/>
      <c r="Y112" s="343"/>
      <c r="Z112" s="343"/>
      <c r="AA112" s="343"/>
      <c r="AB112" s="343"/>
      <c r="AC112" s="343"/>
      <c r="AD112" s="343"/>
      <c r="AE112" s="343"/>
      <c r="AF112" s="141"/>
      <c r="AG112" s="141"/>
      <c r="AH112" s="141"/>
      <c r="AI112" s="141"/>
      <c r="AJ112" s="141"/>
      <c r="AK112" s="141"/>
      <c r="AL112" s="141"/>
      <c r="AM112" s="141"/>
      <c r="AN112" s="141"/>
    </row>
    <row r="113" spans="1:40" ht="14.5" x14ac:dyDescent="0.35">
      <c r="A113" s="375"/>
      <c r="B113" s="343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3"/>
      <c r="Q113" s="343"/>
      <c r="R113" s="343"/>
      <c r="S113" s="343"/>
      <c r="T113" s="343"/>
      <c r="U113" s="343"/>
      <c r="V113" s="343"/>
      <c r="W113" s="343"/>
      <c r="X113" s="343"/>
      <c r="Y113" s="343"/>
      <c r="Z113" s="343"/>
      <c r="AA113" s="343"/>
      <c r="AB113" s="343"/>
      <c r="AC113" s="343"/>
      <c r="AD113" s="343"/>
      <c r="AE113" s="343"/>
      <c r="AF113" s="141"/>
      <c r="AG113" s="141"/>
      <c r="AH113" s="141"/>
      <c r="AI113" s="141"/>
      <c r="AJ113" s="141"/>
      <c r="AK113" s="141"/>
      <c r="AL113" s="141"/>
      <c r="AM113" s="141"/>
      <c r="AN113" s="141"/>
    </row>
    <row r="114" spans="1:40" ht="14.5" x14ac:dyDescent="0.35">
      <c r="A114" s="375"/>
      <c r="B114" s="343"/>
      <c r="C114" s="343"/>
      <c r="D114" s="343"/>
      <c r="E114" s="343"/>
      <c r="F114" s="343"/>
      <c r="G114" s="343"/>
      <c r="H114" s="343"/>
      <c r="I114" s="343"/>
      <c r="J114" s="343"/>
      <c r="K114" s="343"/>
      <c r="L114" s="343"/>
      <c r="M114" s="343"/>
      <c r="N114" s="343"/>
      <c r="O114" s="343"/>
      <c r="P114" s="343"/>
      <c r="Q114" s="343"/>
      <c r="R114" s="343"/>
      <c r="S114" s="343"/>
      <c r="T114" s="343"/>
      <c r="U114" s="343"/>
      <c r="V114" s="343"/>
      <c r="W114" s="343"/>
      <c r="X114" s="343"/>
      <c r="Y114" s="343"/>
      <c r="Z114" s="343"/>
      <c r="AA114" s="343"/>
      <c r="AB114" s="343"/>
      <c r="AC114" s="343"/>
      <c r="AD114" s="343"/>
      <c r="AE114" s="343"/>
      <c r="AF114" s="141"/>
      <c r="AG114" s="141"/>
      <c r="AH114" s="141"/>
      <c r="AI114" s="141"/>
      <c r="AJ114" s="141"/>
      <c r="AK114" s="141"/>
      <c r="AL114" s="141"/>
      <c r="AM114" s="141"/>
      <c r="AN114" s="141"/>
    </row>
    <row r="115" spans="1:40" ht="14.5" x14ac:dyDescent="0.35">
      <c r="A115" s="375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3"/>
      <c r="Q115" s="343"/>
      <c r="R115" s="343"/>
      <c r="S115" s="343"/>
      <c r="T115" s="343"/>
      <c r="U115" s="343"/>
      <c r="V115" s="343"/>
      <c r="W115" s="343"/>
      <c r="X115" s="343"/>
      <c r="Y115" s="343"/>
      <c r="Z115" s="343"/>
      <c r="AA115" s="343"/>
      <c r="AB115" s="343"/>
      <c r="AC115" s="343"/>
      <c r="AD115" s="343"/>
      <c r="AE115" s="343"/>
      <c r="AF115" s="141"/>
      <c r="AG115" s="141"/>
      <c r="AH115" s="141"/>
      <c r="AI115" s="141"/>
      <c r="AJ115" s="141"/>
      <c r="AK115" s="141"/>
      <c r="AL115" s="141"/>
      <c r="AM115" s="141"/>
      <c r="AN115" s="141"/>
    </row>
    <row r="116" spans="1:40" ht="14.5" x14ac:dyDescent="0.35">
      <c r="A116" s="375"/>
      <c r="B116" s="343"/>
      <c r="C116" s="343"/>
      <c r="D116" s="343"/>
      <c r="E116" s="343"/>
      <c r="F116" s="343"/>
      <c r="G116" s="343"/>
      <c r="H116" s="343"/>
      <c r="I116" s="343"/>
      <c r="J116" s="343"/>
      <c r="K116" s="343"/>
      <c r="L116" s="343"/>
      <c r="M116" s="343"/>
      <c r="N116" s="343"/>
      <c r="O116" s="343"/>
      <c r="P116" s="343"/>
      <c r="Q116" s="343"/>
      <c r="R116" s="343"/>
      <c r="S116" s="343"/>
      <c r="T116" s="343"/>
      <c r="U116" s="343"/>
      <c r="V116" s="343"/>
      <c r="W116" s="343"/>
      <c r="X116" s="343"/>
      <c r="Y116" s="343"/>
      <c r="Z116" s="343"/>
      <c r="AA116" s="343"/>
      <c r="AB116" s="343"/>
      <c r="AC116" s="343"/>
      <c r="AD116" s="343"/>
      <c r="AE116" s="343"/>
      <c r="AF116" s="141"/>
      <c r="AG116" s="141"/>
      <c r="AH116" s="141"/>
      <c r="AI116" s="141"/>
      <c r="AJ116" s="141"/>
      <c r="AK116" s="141"/>
      <c r="AL116" s="141"/>
      <c r="AM116" s="141"/>
      <c r="AN116" s="141"/>
    </row>
    <row r="117" spans="1:40" ht="14.5" x14ac:dyDescent="0.35">
      <c r="A117" s="375"/>
      <c r="B117" s="343"/>
      <c r="C117" s="343"/>
      <c r="D117" s="343"/>
      <c r="E117" s="343"/>
      <c r="F117" s="343"/>
      <c r="G117" s="343"/>
      <c r="H117" s="343"/>
      <c r="I117" s="343"/>
      <c r="J117" s="343"/>
      <c r="K117" s="343"/>
      <c r="L117" s="343"/>
      <c r="M117" s="343"/>
      <c r="N117" s="343"/>
      <c r="O117" s="343"/>
      <c r="P117" s="343"/>
      <c r="Q117" s="343"/>
      <c r="R117" s="343"/>
      <c r="S117" s="343"/>
      <c r="T117" s="343"/>
      <c r="U117" s="343"/>
      <c r="V117" s="343"/>
      <c r="W117" s="343"/>
      <c r="X117" s="343"/>
      <c r="Y117" s="343"/>
      <c r="Z117" s="343"/>
      <c r="AA117" s="343"/>
      <c r="AB117" s="343"/>
      <c r="AC117" s="343"/>
      <c r="AD117" s="343"/>
      <c r="AE117" s="343"/>
      <c r="AF117" s="141"/>
      <c r="AG117" s="141"/>
      <c r="AH117" s="141"/>
      <c r="AI117" s="141"/>
      <c r="AJ117" s="141"/>
      <c r="AK117" s="141"/>
      <c r="AL117" s="141"/>
      <c r="AM117" s="141"/>
      <c r="AN117" s="141"/>
    </row>
    <row r="118" spans="1:40" ht="14.5" x14ac:dyDescent="0.35">
      <c r="A118" s="375"/>
      <c r="B118" s="343"/>
      <c r="C118" s="343"/>
      <c r="D118" s="343"/>
      <c r="E118" s="343"/>
      <c r="F118" s="343"/>
      <c r="G118" s="343"/>
      <c r="H118" s="343"/>
      <c r="I118" s="343"/>
      <c r="J118" s="343"/>
      <c r="K118" s="343"/>
      <c r="L118" s="343"/>
      <c r="M118" s="343"/>
      <c r="N118" s="343"/>
      <c r="O118" s="343"/>
      <c r="P118" s="343"/>
      <c r="Q118" s="343"/>
      <c r="R118" s="343"/>
      <c r="S118" s="343"/>
      <c r="T118" s="343"/>
      <c r="U118" s="343"/>
      <c r="V118" s="343"/>
      <c r="W118" s="343"/>
      <c r="X118" s="343"/>
      <c r="Y118" s="343"/>
      <c r="Z118" s="343"/>
      <c r="AA118" s="343"/>
      <c r="AB118" s="343"/>
      <c r="AC118" s="343"/>
      <c r="AD118" s="343"/>
      <c r="AE118" s="343"/>
      <c r="AF118" s="141"/>
      <c r="AG118" s="141"/>
      <c r="AH118" s="141"/>
      <c r="AI118" s="141"/>
      <c r="AJ118" s="141"/>
      <c r="AK118" s="141"/>
      <c r="AL118" s="141"/>
      <c r="AM118" s="141"/>
      <c r="AN118" s="141"/>
    </row>
    <row r="119" spans="1:40" ht="14.5" x14ac:dyDescent="0.35">
      <c r="A119" s="375"/>
      <c r="B119" s="343"/>
      <c r="C119" s="343"/>
      <c r="D119" s="343"/>
      <c r="E119" s="343"/>
      <c r="F119" s="343"/>
      <c r="G119" s="343"/>
      <c r="H119" s="343"/>
      <c r="I119" s="343"/>
      <c r="J119" s="343"/>
      <c r="K119" s="343"/>
      <c r="L119" s="343"/>
      <c r="M119" s="343"/>
      <c r="N119" s="343"/>
      <c r="O119" s="343"/>
      <c r="P119" s="343"/>
      <c r="Q119" s="343"/>
      <c r="R119" s="343"/>
      <c r="S119" s="343"/>
      <c r="T119" s="343"/>
      <c r="U119" s="343"/>
      <c r="V119" s="343"/>
      <c r="W119" s="343"/>
      <c r="X119" s="343"/>
      <c r="Y119" s="343"/>
      <c r="Z119" s="343"/>
      <c r="AA119" s="343"/>
      <c r="AB119" s="343"/>
      <c r="AC119" s="343"/>
      <c r="AD119" s="343"/>
      <c r="AE119" s="343"/>
      <c r="AF119" s="141"/>
      <c r="AG119" s="141"/>
      <c r="AH119" s="141"/>
      <c r="AI119" s="141"/>
      <c r="AJ119" s="141"/>
      <c r="AK119" s="141"/>
      <c r="AL119" s="141"/>
      <c r="AM119" s="141"/>
      <c r="AN119" s="141"/>
    </row>
    <row r="120" spans="1:40" ht="14.5" x14ac:dyDescent="0.35">
      <c r="A120" s="375"/>
      <c r="B120" s="343"/>
      <c r="C120" s="343"/>
      <c r="D120" s="343"/>
      <c r="E120" s="343"/>
      <c r="F120" s="343"/>
      <c r="G120" s="343"/>
      <c r="H120" s="343"/>
      <c r="I120" s="343"/>
      <c r="J120" s="343"/>
      <c r="K120" s="343"/>
      <c r="L120" s="343"/>
      <c r="M120" s="343"/>
      <c r="N120" s="343"/>
      <c r="O120" s="343"/>
      <c r="P120" s="343"/>
      <c r="Q120" s="343"/>
      <c r="R120" s="343"/>
      <c r="S120" s="343"/>
      <c r="T120" s="343"/>
      <c r="U120" s="343"/>
      <c r="V120" s="343"/>
      <c r="W120" s="343"/>
      <c r="X120" s="343"/>
      <c r="Y120" s="343"/>
      <c r="Z120" s="343"/>
      <c r="AA120" s="343"/>
      <c r="AB120" s="343"/>
      <c r="AC120" s="343"/>
      <c r="AD120" s="343"/>
      <c r="AE120" s="343"/>
      <c r="AF120" s="141"/>
      <c r="AG120" s="141"/>
      <c r="AH120" s="141"/>
      <c r="AI120" s="141"/>
      <c r="AJ120" s="141"/>
      <c r="AK120" s="141"/>
      <c r="AL120" s="141"/>
      <c r="AM120" s="141"/>
      <c r="AN120" s="141"/>
    </row>
    <row r="121" spans="1:40" ht="14.5" x14ac:dyDescent="0.35">
      <c r="A121" s="375"/>
      <c r="B121" s="343"/>
      <c r="C121" s="343"/>
      <c r="D121" s="343"/>
      <c r="E121" s="343"/>
      <c r="F121" s="343"/>
      <c r="G121" s="343"/>
      <c r="H121" s="343"/>
      <c r="I121" s="343"/>
      <c r="J121" s="343"/>
      <c r="K121" s="343"/>
      <c r="L121" s="343"/>
      <c r="M121" s="343"/>
      <c r="N121" s="343"/>
      <c r="O121" s="343"/>
      <c r="P121" s="343"/>
      <c r="Q121" s="343"/>
      <c r="R121" s="343"/>
      <c r="S121" s="343"/>
      <c r="T121" s="343"/>
      <c r="U121" s="343"/>
      <c r="V121" s="343"/>
      <c r="W121" s="343"/>
      <c r="X121" s="343"/>
      <c r="Y121" s="343"/>
      <c r="Z121" s="343"/>
      <c r="AA121" s="343"/>
      <c r="AB121" s="343"/>
      <c r="AC121" s="343"/>
      <c r="AD121" s="343"/>
      <c r="AE121" s="343"/>
      <c r="AF121" s="141"/>
      <c r="AG121" s="141"/>
      <c r="AH121" s="141"/>
      <c r="AI121" s="141"/>
      <c r="AJ121" s="141"/>
      <c r="AK121" s="141"/>
      <c r="AL121" s="141"/>
      <c r="AM121" s="141"/>
      <c r="AN121" s="141"/>
    </row>
    <row r="122" spans="1:40" ht="14.5" x14ac:dyDescent="0.35">
      <c r="A122" s="375"/>
      <c r="B122" s="343"/>
      <c r="C122" s="343"/>
      <c r="D122" s="343"/>
      <c r="E122" s="343"/>
      <c r="F122" s="343"/>
      <c r="G122" s="343"/>
      <c r="H122" s="343"/>
      <c r="I122" s="343"/>
      <c r="J122" s="343"/>
      <c r="K122" s="343"/>
      <c r="L122" s="343"/>
      <c r="M122" s="343"/>
      <c r="N122" s="343"/>
      <c r="O122" s="343"/>
      <c r="P122" s="343"/>
      <c r="Q122" s="343"/>
      <c r="R122" s="343"/>
      <c r="S122" s="343"/>
      <c r="T122" s="343"/>
      <c r="U122" s="343"/>
      <c r="V122" s="343"/>
      <c r="W122" s="343"/>
      <c r="X122" s="343"/>
      <c r="Y122" s="343"/>
      <c r="Z122" s="343"/>
      <c r="AA122" s="343"/>
      <c r="AB122" s="343"/>
      <c r="AC122" s="343"/>
      <c r="AD122" s="343"/>
      <c r="AE122" s="343"/>
      <c r="AF122" s="141"/>
      <c r="AG122" s="141"/>
      <c r="AH122" s="141"/>
      <c r="AI122" s="141"/>
      <c r="AJ122" s="141"/>
      <c r="AK122" s="141"/>
      <c r="AL122" s="141"/>
      <c r="AM122" s="141"/>
      <c r="AN122" s="141"/>
    </row>
    <row r="123" spans="1:40" ht="14.5" x14ac:dyDescent="0.35">
      <c r="A123" s="375"/>
      <c r="B123" s="343"/>
      <c r="C123" s="343"/>
      <c r="D123" s="343"/>
      <c r="E123" s="343"/>
      <c r="F123" s="343"/>
      <c r="G123" s="343"/>
      <c r="H123" s="343"/>
      <c r="I123" s="343"/>
      <c r="J123" s="343"/>
      <c r="K123" s="343"/>
      <c r="L123" s="343"/>
      <c r="M123" s="343"/>
      <c r="N123" s="343"/>
      <c r="O123" s="343"/>
      <c r="P123" s="343"/>
      <c r="Q123" s="343"/>
      <c r="R123" s="343"/>
      <c r="S123" s="343"/>
      <c r="T123" s="343"/>
      <c r="U123" s="343"/>
      <c r="V123" s="343"/>
      <c r="W123" s="343"/>
      <c r="X123" s="343"/>
      <c r="Y123" s="343"/>
      <c r="Z123" s="343"/>
      <c r="AA123" s="343"/>
      <c r="AB123" s="343"/>
      <c r="AC123" s="343"/>
      <c r="AD123" s="343"/>
      <c r="AE123" s="343"/>
      <c r="AF123" s="141"/>
      <c r="AG123" s="141"/>
      <c r="AH123" s="141"/>
      <c r="AI123" s="141"/>
      <c r="AJ123" s="141"/>
      <c r="AK123" s="141"/>
      <c r="AL123" s="141"/>
      <c r="AM123" s="141"/>
      <c r="AN123" s="141"/>
    </row>
    <row r="124" spans="1:40" ht="14.5" x14ac:dyDescent="0.35">
      <c r="A124" s="375"/>
      <c r="B124" s="343"/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  <c r="T124" s="343"/>
      <c r="U124" s="343"/>
      <c r="V124" s="343"/>
      <c r="W124" s="343"/>
      <c r="X124" s="343"/>
      <c r="Y124" s="343"/>
      <c r="Z124" s="343"/>
      <c r="AA124" s="343"/>
      <c r="AB124" s="343"/>
      <c r="AC124" s="343"/>
      <c r="AD124" s="343"/>
      <c r="AE124" s="343"/>
      <c r="AF124" s="141"/>
      <c r="AG124" s="141"/>
      <c r="AH124" s="141"/>
      <c r="AI124" s="141"/>
      <c r="AJ124" s="141"/>
      <c r="AK124" s="141"/>
      <c r="AL124" s="141"/>
      <c r="AM124" s="141"/>
      <c r="AN124" s="141"/>
    </row>
    <row r="125" spans="1:40" ht="14.5" x14ac:dyDescent="0.35">
      <c r="A125" s="375"/>
      <c r="B125" s="343"/>
      <c r="C125" s="343"/>
      <c r="D125" s="343"/>
      <c r="E125" s="343"/>
      <c r="F125" s="343"/>
      <c r="G125" s="343"/>
      <c r="H125" s="343"/>
      <c r="I125" s="343"/>
      <c r="J125" s="343"/>
      <c r="K125" s="343"/>
      <c r="L125" s="343"/>
      <c r="M125" s="343"/>
      <c r="N125" s="343"/>
      <c r="O125" s="343"/>
      <c r="P125" s="343"/>
      <c r="Q125" s="343"/>
      <c r="R125" s="343"/>
      <c r="S125" s="343"/>
      <c r="T125" s="343"/>
      <c r="U125" s="343"/>
      <c r="V125" s="343"/>
      <c r="W125" s="343"/>
      <c r="X125" s="343"/>
      <c r="Y125" s="343"/>
      <c r="Z125" s="343"/>
      <c r="AA125" s="343"/>
      <c r="AB125" s="343"/>
      <c r="AC125" s="343"/>
      <c r="AD125" s="343"/>
      <c r="AE125" s="343"/>
      <c r="AF125" s="141"/>
      <c r="AG125" s="141"/>
      <c r="AH125" s="141"/>
      <c r="AI125" s="141"/>
      <c r="AJ125" s="141"/>
      <c r="AK125" s="141"/>
      <c r="AL125" s="141"/>
      <c r="AM125" s="141"/>
      <c r="AN125" s="141"/>
    </row>
    <row r="126" spans="1:40" ht="14.5" x14ac:dyDescent="0.35">
      <c r="A126" s="375"/>
      <c r="B126" s="343"/>
      <c r="C126" s="343"/>
      <c r="D126" s="343"/>
      <c r="E126" s="343"/>
      <c r="F126" s="343"/>
      <c r="G126" s="343"/>
      <c r="H126" s="343"/>
      <c r="I126" s="343"/>
      <c r="J126" s="343"/>
      <c r="K126" s="343"/>
      <c r="L126" s="343"/>
      <c r="M126" s="343"/>
      <c r="N126" s="343"/>
      <c r="O126" s="343"/>
      <c r="P126" s="343"/>
      <c r="Q126" s="343"/>
      <c r="R126" s="343"/>
      <c r="S126" s="343"/>
      <c r="T126" s="343"/>
      <c r="U126" s="343"/>
      <c r="V126" s="343"/>
      <c r="W126" s="343"/>
      <c r="X126" s="343"/>
      <c r="Y126" s="343"/>
      <c r="Z126" s="343"/>
      <c r="AA126" s="343"/>
      <c r="AB126" s="343"/>
      <c r="AC126" s="343"/>
      <c r="AD126" s="343"/>
      <c r="AE126" s="343"/>
      <c r="AF126" s="141"/>
      <c r="AG126" s="141"/>
      <c r="AH126" s="141"/>
      <c r="AI126" s="141"/>
      <c r="AJ126" s="141"/>
      <c r="AK126" s="141"/>
      <c r="AL126" s="141"/>
      <c r="AM126" s="141"/>
      <c r="AN126" s="141"/>
    </row>
    <row r="127" spans="1:40" ht="14.5" x14ac:dyDescent="0.35">
      <c r="A127" s="375"/>
      <c r="B127" s="343"/>
      <c r="C127" s="343"/>
      <c r="D127" s="343"/>
      <c r="E127" s="343"/>
      <c r="F127" s="343"/>
      <c r="G127" s="343"/>
      <c r="H127" s="343"/>
      <c r="I127" s="343"/>
      <c r="J127" s="343"/>
      <c r="K127" s="343"/>
      <c r="L127" s="343"/>
      <c r="M127" s="343"/>
      <c r="N127" s="343"/>
      <c r="O127" s="343"/>
      <c r="P127" s="343"/>
      <c r="Q127" s="343"/>
      <c r="R127" s="343"/>
      <c r="S127" s="343"/>
      <c r="T127" s="343"/>
      <c r="U127" s="343"/>
      <c r="V127" s="343"/>
      <c r="W127" s="343"/>
      <c r="X127" s="343"/>
      <c r="Y127" s="343"/>
      <c r="Z127" s="343"/>
      <c r="AA127" s="343"/>
      <c r="AB127" s="343"/>
      <c r="AC127" s="343"/>
      <c r="AD127" s="343"/>
      <c r="AE127" s="343"/>
      <c r="AF127" s="141"/>
      <c r="AG127" s="141"/>
      <c r="AH127" s="141"/>
      <c r="AI127" s="141"/>
      <c r="AJ127" s="141"/>
      <c r="AK127" s="141"/>
      <c r="AL127" s="141"/>
      <c r="AM127" s="141"/>
      <c r="AN127" s="141"/>
    </row>
    <row r="128" spans="1:40" ht="14.5" x14ac:dyDescent="0.35">
      <c r="A128" s="375"/>
      <c r="B128" s="343"/>
      <c r="C128" s="343"/>
      <c r="D128" s="343"/>
      <c r="E128" s="343"/>
      <c r="F128" s="343"/>
      <c r="G128" s="343"/>
      <c r="H128" s="343"/>
      <c r="I128" s="343"/>
      <c r="J128" s="343"/>
      <c r="K128" s="343"/>
      <c r="L128" s="343"/>
      <c r="M128" s="343"/>
      <c r="N128" s="343"/>
      <c r="O128" s="343"/>
      <c r="P128" s="343"/>
      <c r="Q128" s="343"/>
      <c r="R128" s="343"/>
      <c r="S128" s="343"/>
      <c r="T128" s="343"/>
      <c r="U128" s="343"/>
      <c r="V128" s="343"/>
      <c r="W128" s="343"/>
      <c r="X128" s="343"/>
      <c r="Y128" s="343"/>
      <c r="Z128" s="343"/>
      <c r="AA128" s="343"/>
      <c r="AB128" s="343"/>
      <c r="AC128" s="343"/>
      <c r="AD128" s="343"/>
      <c r="AE128" s="343"/>
      <c r="AF128" s="141"/>
      <c r="AG128" s="141"/>
      <c r="AH128" s="141"/>
      <c r="AI128" s="141"/>
      <c r="AJ128" s="141"/>
      <c r="AK128" s="141"/>
      <c r="AL128" s="141"/>
      <c r="AM128" s="141"/>
      <c r="AN128" s="141"/>
    </row>
    <row r="129" spans="1:40" ht="14.5" x14ac:dyDescent="0.35">
      <c r="A129" s="375"/>
      <c r="B129" s="343"/>
      <c r="C129" s="343"/>
      <c r="D129" s="343"/>
      <c r="E129" s="343"/>
      <c r="F129" s="343"/>
      <c r="G129" s="343"/>
      <c r="H129" s="343"/>
      <c r="I129" s="343"/>
      <c r="J129" s="343"/>
      <c r="K129" s="343"/>
      <c r="L129" s="343"/>
      <c r="M129" s="343"/>
      <c r="N129" s="343"/>
      <c r="O129" s="343"/>
      <c r="P129" s="343"/>
      <c r="Q129" s="343"/>
      <c r="R129" s="343"/>
      <c r="S129" s="343"/>
      <c r="T129" s="343"/>
      <c r="U129" s="343"/>
      <c r="V129" s="343"/>
      <c r="W129" s="343"/>
      <c r="X129" s="343"/>
      <c r="Y129" s="343"/>
      <c r="Z129" s="343"/>
      <c r="AA129" s="343"/>
      <c r="AB129" s="343"/>
      <c r="AC129" s="343"/>
      <c r="AD129" s="343"/>
      <c r="AE129" s="343"/>
      <c r="AF129" s="141"/>
      <c r="AG129" s="141"/>
      <c r="AH129" s="141"/>
      <c r="AI129" s="141"/>
      <c r="AJ129" s="141"/>
      <c r="AK129" s="141"/>
      <c r="AL129" s="141"/>
      <c r="AM129" s="141"/>
      <c r="AN129" s="141"/>
    </row>
    <row r="130" spans="1:40" ht="14.5" x14ac:dyDescent="0.35">
      <c r="A130" s="375"/>
      <c r="B130" s="343"/>
      <c r="C130" s="343"/>
      <c r="D130" s="343"/>
      <c r="E130" s="343"/>
      <c r="F130" s="343"/>
      <c r="G130" s="343"/>
      <c r="H130" s="343"/>
      <c r="I130" s="343"/>
      <c r="J130" s="343"/>
      <c r="K130" s="343"/>
      <c r="L130" s="343"/>
      <c r="M130" s="343"/>
      <c r="N130" s="343"/>
      <c r="O130" s="343"/>
      <c r="P130" s="343"/>
      <c r="Q130" s="343"/>
      <c r="R130" s="343"/>
      <c r="S130" s="343"/>
      <c r="T130" s="343"/>
      <c r="U130" s="343"/>
      <c r="V130" s="343"/>
      <c r="W130" s="343"/>
      <c r="X130" s="343"/>
      <c r="Y130" s="343"/>
      <c r="Z130" s="343"/>
      <c r="AA130" s="343"/>
      <c r="AB130" s="343"/>
      <c r="AC130" s="343"/>
      <c r="AD130" s="343"/>
      <c r="AE130" s="343"/>
      <c r="AF130" s="141"/>
      <c r="AG130" s="141"/>
      <c r="AH130" s="141"/>
      <c r="AI130" s="141"/>
      <c r="AJ130" s="141"/>
      <c r="AK130" s="141"/>
      <c r="AL130" s="141"/>
      <c r="AM130" s="141"/>
      <c r="AN130" s="141"/>
    </row>
    <row r="131" spans="1:40" ht="14.5" x14ac:dyDescent="0.35">
      <c r="A131" s="375"/>
      <c r="B131" s="343"/>
      <c r="C131" s="343"/>
      <c r="D131" s="343"/>
      <c r="E131" s="343"/>
      <c r="F131" s="343"/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3"/>
      <c r="V131" s="343"/>
      <c r="W131" s="343"/>
      <c r="X131" s="343"/>
      <c r="Y131" s="343"/>
      <c r="Z131" s="343"/>
      <c r="AA131" s="343"/>
      <c r="AB131" s="343"/>
      <c r="AC131" s="343"/>
      <c r="AD131" s="343"/>
      <c r="AE131" s="343"/>
      <c r="AF131" s="141"/>
      <c r="AG131" s="141"/>
      <c r="AH131" s="141"/>
      <c r="AI131" s="141"/>
      <c r="AJ131" s="141"/>
      <c r="AK131" s="141"/>
      <c r="AL131" s="141"/>
      <c r="AM131" s="141"/>
      <c r="AN131" s="141"/>
    </row>
    <row r="132" spans="1:40" ht="14.5" x14ac:dyDescent="0.35">
      <c r="A132" s="375"/>
      <c r="B132" s="343"/>
      <c r="C132" s="343"/>
      <c r="D132" s="343"/>
      <c r="E132" s="343"/>
      <c r="F132" s="343"/>
      <c r="G132" s="343"/>
      <c r="H132" s="343"/>
      <c r="I132" s="343"/>
      <c r="J132" s="343"/>
      <c r="K132" s="343"/>
      <c r="L132" s="343"/>
      <c r="M132" s="343"/>
      <c r="N132" s="343"/>
      <c r="O132" s="343"/>
      <c r="P132" s="343"/>
      <c r="Q132" s="343"/>
      <c r="R132" s="343"/>
      <c r="S132" s="343"/>
      <c r="T132" s="343"/>
      <c r="U132" s="343"/>
      <c r="V132" s="343"/>
      <c r="W132" s="343"/>
      <c r="X132" s="343"/>
      <c r="Y132" s="343"/>
      <c r="Z132" s="343"/>
      <c r="AA132" s="343"/>
      <c r="AB132" s="343"/>
      <c r="AC132" s="343"/>
      <c r="AD132" s="343"/>
      <c r="AE132" s="343"/>
      <c r="AF132" s="141"/>
      <c r="AG132" s="141"/>
      <c r="AH132" s="141"/>
      <c r="AI132" s="141"/>
      <c r="AJ132" s="141"/>
      <c r="AK132" s="141"/>
      <c r="AL132" s="141"/>
      <c r="AM132" s="141"/>
      <c r="AN132" s="141"/>
    </row>
    <row r="133" spans="1:40" ht="14.5" x14ac:dyDescent="0.35">
      <c r="A133" s="375"/>
      <c r="B133" s="343"/>
      <c r="C133" s="343"/>
      <c r="D133" s="343"/>
      <c r="E133" s="343"/>
      <c r="F133" s="343"/>
      <c r="G133" s="343"/>
      <c r="H133" s="343"/>
      <c r="I133" s="343"/>
      <c r="J133" s="343"/>
      <c r="K133" s="343"/>
      <c r="L133" s="343"/>
      <c r="M133" s="343"/>
      <c r="N133" s="343"/>
      <c r="O133" s="343"/>
      <c r="P133" s="343"/>
      <c r="Q133" s="343"/>
      <c r="R133" s="343"/>
      <c r="S133" s="343"/>
      <c r="T133" s="343"/>
      <c r="U133" s="343"/>
      <c r="V133" s="343"/>
      <c r="W133" s="343"/>
      <c r="X133" s="343"/>
      <c r="Y133" s="343"/>
      <c r="Z133" s="343"/>
      <c r="AA133" s="343"/>
      <c r="AB133" s="343"/>
      <c r="AC133" s="343"/>
      <c r="AD133" s="343"/>
      <c r="AE133" s="343"/>
      <c r="AF133" s="141"/>
      <c r="AG133" s="141"/>
      <c r="AH133" s="141"/>
      <c r="AI133" s="141"/>
      <c r="AJ133" s="141"/>
      <c r="AK133" s="141"/>
      <c r="AL133" s="141"/>
      <c r="AM133" s="141"/>
      <c r="AN133" s="141"/>
    </row>
    <row r="134" spans="1:40" ht="14.5" x14ac:dyDescent="0.35">
      <c r="A134" s="375"/>
      <c r="B134" s="343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343"/>
      <c r="O134" s="343"/>
      <c r="P134" s="343"/>
      <c r="Q134" s="343"/>
      <c r="R134" s="343"/>
      <c r="S134" s="343"/>
      <c r="T134" s="343"/>
      <c r="U134" s="343"/>
      <c r="V134" s="343"/>
      <c r="W134" s="343"/>
      <c r="X134" s="343"/>
      <c r="Y134" s="343"/>
      <c r="Z134" s="343"/>
      <c r="AA134" s="343"/>
      <c r="AB134" s="343"/>
      <c r="AC134" s="343"/>
      <c r="AD134" s="343"/>
      <c r="AE134" s="343"/>
      <c r="AF134" s="141"/>
      <c r="AG134" s="141"/>
      <c r="AH134" s="141"/>
      <c r="AI134" s="141"/>
      <c r="AJ134" s="141"/>
      <c r="AK134" s="141"/>
      <c r="AL134" s="141"/>
      <c r="AM134" s="141"/>
      <c r="AN134" s="141"/>
    </row>
    <row r="135" spans="1:40" ht="14.5" x14ac:dyDescent="0.35">
      <c r="A135" s="375"/>
      <c r="B135" s="343"/>
      <c r="C135" s="343"/>
      <c r="D135" s="343"/>
      <c r="E135" s="343"/>
      <c r="F135" s="343"/>
      <c r="G135" s="343"/>
      <c r="H135" s="343"/>
      <c r="I135" s="343"/>
      <c r="J135" s="343"/>
      <c r="K135" s="343"/>
      <c r="L135" s="343"/>
      <c r="M135" s="343"/>
      <c r="N135" s="343"/>
      <c r="O135" s="343"/>
      <c r="P135" s="343"/>
      <c r="Q135" s="343"/>
      <c r="R135" s="343"/>
      <c r="S135" s="343"/>
      <c r="T135" s="343"/>
      <c r="U135" s="343"/>
      <c r="V135" s="343"/>
      <c r="W135" s="343"/>
      <c r="X135" s="343"/>
      <c r="Y135" s="343"/>
      <c r="Z135" s="343"/>
      <c r="AA135" s="343"/>
      <c r="AB135" s="343"/>
      <c r="AC135" s="343"/>
      <c r="AD135" s="343"/>
      <c r="AE135" s="343"/>
      <c r="AF135" s="141"/>
      <c r="AG135" s="141"/>
      <c r="AH135" s="141"/>
      <c r="AI135" s="141"/>
      <c r="AJ135" s="141"/>
      <c r="AK135" s="141"/>
      <c r="AL135" s="141"/>
      <c r="AM135" s="141"/>
      <c r="AN135" s="141"/>
    </row>
    <row r="136" spans="1:40" ht="14.5" x14ac:dyDescent="0.35">
      <c r="A136" s="375"/>
      <c r="B136" s="343"/>
      <c r="C136" s="343"/>
      <c r="D136" s="343"/>
      <c r="E136" s="343"/>
      <c r="F136" s="343"/>
      <c r="G136" s="343"/>
      <c r="H136" s="343"/>
      <c r="I136" s="343"/>
      <c r="J136" s="343"/>
      <c r="K136" s="343"/>
      <c r="L136" s="343"/>
      <c r="M136" s="343"/>
      <c r="N136" s="343"/>
      <c r="O136" s="343"/>
      <c r="P136" s="343"/>
      <c r="Q136" s="343"/>
      <c r="R136" s="343"/>
      <c r="S136" s="343"/>
      <c r="T136" s="343"/>
      <c r="U136" s="343"/>
      <c r="V136" s="343"/>
      <c r="W136" s="343"/>
      <c r="X136" s="343"/>
      <c r="Y136" s="343"/>
      <c r="Z136" s="343"/>
      <c r="AA136" s="343"/>
      <c r="AB136" s="343"/>
      <c r="AC136" s="343"/>
      <c r="AD136" s="343"/>
      <c r="AE136" s="343"/>
      <c r="AF136" s="141"/>
      <c r="AG136" s="141"/>
      <c r="AH136" s="141"/>
      <c r="AI136" s="141"/>
      <c r="AJ136" s="141"/>
      <c r="AK136" s="141"/>
      <c r="AL136" s="141"/>
      <c r="AM136" s="141"/>
      <c r="AN136" s="141"/>
    </row>
    <row r="137" spans="1:40" ht="14.5" x14ac:dyDescent="0.35">
      <c r="A137" s="375"/>
      <c r="B137" s="343"/>
      <c r="C137" s="343"/>
      <c r="D137" s="343"/>
      <c r="E137" s="343"/>
      <c r="F137" s="343"/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3"/>
      <c r="V137" s="343"/>
      <c r="W137" s="343"/>
      <c r="X137" s="343"/>
      <c r="Y137" s="343"/>
      <c r="Z137" s="343"/>
      <c r="AA137" s="343"/>
      <c r="AB137" s="343"/>
      <c r="AC137" s="343"/>
      <c r="AD137" s="343"/>
      <c r="AE137" s="343"/>
      <c r="AF137" s="141"/>
      <c r="AG137" s="141"/>
      <c r="AH137" s="141"/>
      <c r="AI137" s="141"/>
      <c r="AJ137" s="141"/>
      <c r="AK137" s="141"/>
      <c r="AL137" s="141"/>
      <c r="AM137" s="141"/>
      <c r="AN137" s="141"/>
    </row>
    <row r="138" spans="1:40" ht="14.5" x14ac:dyDescent="0.35">
      <c r="A138" s="375"/>
      <c r="B138" s="343"/>
      <c r="C138" s="343"/>
      <c r="D138" s="343"/>
      <c r="E138" s="343"/>
      <c r="F138" s="343"/>
      <c r="G138" s="343"/>
      <c r="H138" s="343"/>
      <c r="I138" s="343"/>
      <c r="J138" s="343"/>
      <c r="K138" s="343"/>
      <c r="L138" s="343"/>
      <c r="M138" s="343"/>
      <c r="N138" s="343"/>
      <c r="O138" s="343"/>
      <c r="P138" s="343"/>
      <c r="Q138" s="343"/>
      <c r="R138" s="343"/>
      <c r="S138" s="343"/>
      <c r="T138" s="343"/>
      <c r="U138" s="343"/>
      <c r="V138" s="343"/>
      <c r="W138" s="343"/>
      <c r="X138" s="343"/>
      <c r="Y138" s="343"/>
      <c r="Z138" s="343"/>
      <c r="AA138" s="343"/>
      <c r="AB138" s="343"/>
      <c r="AC138" s="343"/>
      <c r="AD138" s="343"/>
      <c r="AE138" s="343"/>
      <c r="AF138" s="141"/>
      <c r="AG138" s="141"/>
      <c r="AH138" s="141"/>
      <c r="AI138" s="141"/>
      <c r="AJ138" s="141"/>
      <c r="AK138" s="141"/>
      <c r="AL138" s="141"/>
      <c r="AM138" s="141"/>
      <c r="AN138" s="141"/>
    </row>
    <row r="139" spans="1:40" ht="14.5" x14ac:dyDescent="0.35">
      <c r="A139" s="375"/>
      <c r="B139" s="343"/>
      <c r="C139" s="343"/>
      <c r="D139" s="343"/>
      <c r="E139" s="343"/>
      <c r="F139" s="343"/>
      <c r="G139" s="343"/>
      <c r="H139" s="343"/>
      <c r="I139" s="343"/>
      <c r="J139" s="343"/>
      <c r="K139" s="343"/>
      <c r="L139" s="343"/>
      <c r="M139" s="343"/>
      <c r="N139" s="343"/>
      <c r="O139" s="343"/>
      <c r="P139" s="343"/>
      <c r="Q139" s="343"/>
      <c r="R139" s="343"/>
      <c r="S139" s="343"/>
      <c r="T139" s="343"/>
      <c r="U139" s="343"/>
      <c r="V139" s="343"/>
      <c r="W139" s="343"/>
      <c r="X139" s="343"/>
      <c r="Y139" s="343"/>
      <c r="Z139" s="343"/>
      <c r="AA139" s="343"/>
      <c r="AB139" s="343"/>
      <c r="AC139" s="343"/>
      <c r="AD139" s="343"/>
      <c r="AE139" s="343"/>
      <c r="AF139" s="141"/>
      <c r="AG139" s="141"/>
      <c r="AH139" s="141"/>
      <c r="AI139" s="141"/>
      <c r="AJ139" s="141"/>
      <c r="AK139" s="141"/>
      <c r="AL139" s="141"/>
      <c r="AM139" s="141"/>
      <c r="AN139" s="141"/>
    </row>
    <row r="140" spans="1:40" ht="14.5" x14ac:dyDescent="0.35">
      <c r="A140" s="375"/>
      <c r="B140" s="343"/>
      <c r="C140" s="343"/>
      <c r="D140" s="343"/>
      <c r="E140" s="343"/>
      <c r="F140" s="343"/>
      <c r="G140" s="343"/>
      <c r="H140" s="343"/>
      <c r="I140" s="343"/>
      <c r="J140" s="343"/>
      <c r="K140" s="343"/>
      <c r="L140" s="343"/>
      <c r="M140" s="343"/>
      <c r="N140" s="343"/>
      <c r="O140" s="343"/>
      <c r="P140" s="343"/>
      <c r="Q140" s="343"/>
      <c r="R140" s="343"/>
      <c r="S140" s="343"/>
      <c r="T140" s="343"/>
      <c r="U140" s="343"/>
      <c r="V140" s="343"/>
      <c r="W140" s="343"/>
      <c r="X140" s="343"/>
      <c r="Y140" s="343"/>
      <c r="Z140" s="343"/>
      <c r="AA140" s="343"/>
      <c r="AB140" s="343"/>
      <c r="AC140" s="343"/>
      <c r="AD140" s="343"/>
      <c r="AE140" s="343"/>
      <c r="AF140" s="141"/>
      <c r="AG140" s="141"/>
      <c r="AH140" s="141"/>
      <c r="AI140" s="141"/>
      <c r="AJ140" s="141"/>
      <c r="AK140" s="141"/>
      <c r="AL140" s="141"/>
      <c r="AM140" s="141"/>
      <c r="AN140" s="141"/>
    </row>
    <row r="141" spans="1:40" ht="14.5" x14ac:dyDescent="0.35">
      <c r="A141" s="375"/>
      <c r="B141" s="343"/>
      <c r="C141" s="343"/>
      <c r="D141" s="343"/>
      <c r="E141" s="343"/>
      <c r="F141" s="343"/>
      <c r="G141" s="343"/>
      <c r="H141" s="343"/>
      <c r="I141" s="343"/>
      <c r="J141" s="343"/>
      <c r="K141" s="343"/>
      <c r="L141" s="343"/>
      <c r="M141" s="343"/>
      <c r="N141" s="343"/>
      <c r="O141" s="343"/>
      <c r="P141" s="343"/>
      <c r="Q141" s="343"/>
      <c r="R141" s="343"/>
      <c r="S141" s="343"/>
      <c r="T141" s="343"/>
      <c r="U141" s="343"/>
      <c r="V141" s="343"/>
      <c r="W141" s="343"/>
      <c r="X141" s="343"/>
      <c r="Y141" s="343"/>
      <c r="Z141" s="343"/>
      <c r="AA141" s="343"/>
      <c r="AB141" s="343"/>
      <c r="AC141" s="343"/>
      <c r="AD141" s="343"/>
      <c r="AE141" s="343"/>
      <c r="AF141" s="141"/>
      <c r="AG141" s="141"/>
      <c r="AH141" s="141"/>
      <c r="AI141" s="141"/>
      <c r="AJ141" s="141"/>
      <c r="AK141" s="141"/>
      <c r="AL141" s="141"/>
      <c r="AM141" s="141"/>
      <c r="AN141" s="141"/>
    </row>
    <row r="142" spans="1:40" ht="14.5" x14ac:dyDescent="0.35">
      <c r="A142" s="375"/>
      <c r="B142" s="343"/>
      <c r="C142" s="343"/>
      <c r="D142" s="343"/>
      <c r="E142" s="343"/>
      <c r="F142" s="343"/>
      <c r="G142" s="343"/>
      <c r="H142" s="343"/>
      <c r="I142" s="343"/>
      <c r="J142" s="343"/>
      <c r="K142" s="343"/>
      <c r="L142" s="343"/>
      <c r="M142" s="343"/>
      <c r="N142" s="343"/>
      <c r="O142" s="343"/>
      <c r="P142" s="343"/>
      <c r="Q142" s="343"/>
      <c r="R142" s="343"/>
      <c r="S142" s="343"/>
      <c r="T142" s="343"/>
      <c r="U142" s="343"/>
      <c r="V142" s="343"/>
      <c r="W142" s="343"/>
      <c r="X142" s="343"/>
      <c r="Y142" s="343"/>
      <c r="Z142" s="343"/>
      <c r="AA142" s="343"/>
      <c r="AB142" s="343"/>
      <c r="AC142" s="343"/>
      <c r="AD142" s="343"/>
      <c r="AE142" s="343"/>
      <c r="AF142" s="141"/>
      <c r="AG142" s="141"/>
      <c r="AH142" s="141"/>
      <c r="AI142" s="141"/>
      <c r="AJ142" s="141"/>
      <c r="AK142" s="141"/>
      <c r="AL142" s="141"/>
      <c r="AM142" s="141"/>
      <c r="AN142" s="141"/>
    </row>
    <row r="143" spans="1:40" ht="14.5" x14ac:dyDescent="0.35">
      <c r="A143" s="375"/>
      <c r="B143" s="343"/>
      <c r="C143" s="343"/>
      <c r="D143" s="343"/>
      <c r="E143" s="343"/>
      <c r="F143" s="343"/>
      <c r="G143" s="343"/>
      <c r="H143" s="343"/>
      <c r="I143" s="343"/>
      <c r="J143" s="343"/>
      <c r="K143" s="343"/>
      <c r="L143" s="343"/>
      <c r="M143" s="343"/>
      <c r="N143" s="343"/>
      <c r="O143" s="343"/>
      <c r="P143" s="343"/>
      <c r="Q143" s="343"/>
      <c r="R143" s="343"/>
      <c r="S143" s="343"/>
      <c r="T143" s="343"/>
      <c r="U143" s="343"/>
      <c r="V143" s="343"/>
      <c r="W143" s="343"/>
      <c r="X143" s="343"/>
      <c r="Y143" s="343"/>
      <c r="Z143" s="343"/>
      <c r="AA143" s="343"/>
      <c r="AB143" s="343"/>
      <c r="AC143" s="343"/>
      <c r="AD143" s="343"/>
      <c r="AE143" s="343"/>
      <c r="AF143" s="141"/>
      <c r="AG143" s="141"/>
      <c r="AH143" s="141"/>
      <c r="AI143" s="141"/>
      <c r="AJ143" s="141"/>
      <c r="AK143" s="141"/>
      <c r="AL143" s="141"/>
      <c r="AM143" s="141"/>
      <c r="AN143" s="141"/>
    </row>
    <row r="144" spans="1:40" ht="14.5" x14ac:dyDescent="0.35">
      <c r="A144" s="375"/>
      <c r="B144" s="343"/>
      <c r="C144" s="343"/>
      <c r="D144" s="343"/>
      <c r="E144" s="343"/>
      <c r="F144" s="343"/>
      <c r="G144" s="343"/>
      <c r="H144" s="343"/>
      <c r="I144" s="343"/>
      <c r="J144" s="343"/>
      <c r="K144" s="343"/>
      <c r="L144" s="343"/>
      <c r="M144" s="343"/>
      <c r="N144" s="343"/>
      <c r="O144" s="343"/>
      <c r="P144" s="343"/>
      <c r="Q144" s="343"/>
      <c r="R144" s="343"/>
      <c r="S144" s="343"/>
      <c r="T144" s="343"/>
      <c r="U144" s="343"/>
      <c r="V144" s="343"/>
      <c r="W144" s="343"/>
      <c r="X144" s="343"/>
      <c r="Y144" s="343"/>
      <c r="Z144" s="343"/>
      <c r="AA144" s="343"/>
      <c r="AB144" s="343"/>
      <c r="AC144" s="343"/>
      <c r="AD144" s="343"/>
      <c r="AE144" s="343"/>
      <c r="AF144" s="141"/>
      <c r="AG144" s="141"/>
      <c r="AH144" s="141"/>
      <c r="AI144" s="141"/>
      <c r="AJ144" s="141"/>
      <c r="AK144" s="141"/>
      <c r="AL144" s="141"/>
      <c r="AM144" s="141"/>
      <c r="AN144" s="141"/>
    </row>
    <row r="145" spans="1:40" ht="14.5" x14ac:dyDescent="0.35">
      <c r="A145" s="375"/>
      <c r="B145" s="343"/>
      <c r="C145" s="343"/>
      <c r="D145" s="343"/>
      <c r="E145" s="343"/>
      <c r="F145" s="343"/>
      <c r="G145" s="343"/>
      <c r="H145" s="343"/>
      <c r="I145" s="343"/>
      <c r="J145" s="343"/>
      <c r="K145" s="343"/>
      <c r="L145" s="343"/>
      <c r="M145" s="343"/>
      <c r="N145" s="343"/>
      <c r="O145" s="343"/>
      <c r="P145" s="343"/>
      <c r="Q145" s="343"/>
      <c r="R145" s="343"/>
      <c r="S145" s="343"/>
      <c r="T145" s="343"/>
      <c r="U145" s="343"/>
      <c r="V145" s="343"/>
      <c r="W145" s="343"/>
      <c r="X145" s="343"/>
      <c r="Y145" s="343"/>
      <c r="Z145" s="343"/>
      <c r="AA145" s="343"/>
      <c r="AB145" s="343"/>
      <c r="AC145" s="343"/>
      <c r="AD145" s="343"/>
      <c r="AE145" s="343"/>
      <c r="AF145" s="141"/>
      <c r="AG145" s="141"/>
      <c r="AH145" s="141"/>
      <c r="AI145" s="141"/>
      <c r="AJ145" s="141"/>
      <c r="AK145" s="141"/>
      <c r="AL145" s="141"/>
      <c r="AM145" s="141"/>
      <c r="AN145" s="141"/>
    </row>
    <row r="146" spans="1:40" ht="14.5" x14ac:dyDescent="0.35">
      <c r="A146" s="375"/>
      <c r="B146" s="343"/>
      <c r="C146" s="343"/>
      <c r="D146" s="343"/>
      <c r="E146" s="343"/>
      <c r="F146" s="343"/>
      <c r="G146" s="343"/>
      <c r="H146" s="343"/>
      <c r="I146" s="343"/>
      <c r="J146" s="343"/>
      <c r="K146" s="343"/>
      <c r="L146" s="343"/>
      <c r="M146" s="343"/>
      <c r="N146" s="343"/>
      <c r="O146" s="343"/>
      <c r="P146" s="343"/>
      <c r="Q146" s="343"/>
      <c r="R146" s="343"/>
      <c r="S146" s="343"/>
      <c r="T146" s="343"/>
      <c r="U146" s="343"/>
      <c r="V146" s="343"/>
      <c r="W146" s="343"/>
      <c r="X146" s="343"/>
      <c r="Y146" s="343"/>
      <c r="Z146" s="343"/>
      <c r="AA146" s="343"/>
      <c r="AB146" s="343"/>
      <c r="AC146" s="343"/>
      <c r="AD146" s="343"/>
      <c r="AE146" s="343"/>
      <c r="AF146" s="141"/>
      <c r="AG146" s="141"/>
      <c r="AH146" s="141"/>
      <c r="AI146" s="141"/>
      <c r="AJ146" s="141"/>
      <c r="AK146" s="141"/>
      <c r="AL146" s="141"/>
      <c r="AM146" s="141"/>
      <c r="AN146" s="141"/>
    </row>
    <row r="147" spans="1:40" ht="14.5" x14ac:dyDescent="0.35">
      <c r="A147" s="375"/>
      <c r="B147" s="343"/>
      <c r="C147" s="343"/>
      <c r="D147" s="343"/>
      <c r="E147" s="343"/>
      <c r="F147" s="343"/>
      <c r="G147" s="343"/>
      <c r="H147" s="343"/>
      <c r="I147" s="343"/>
      <c r="J147" s="343"/>
      <c r="K147" s="343"/>
      <c r="L147" s="343"/>
      <c r="M147" s="343"/>
      <c r="N147" s="343"/>
      <c r="O147" s="343"/>
      <c r="P147" s="343"/>
      <c r="Q147" s="343"/>
      <c r="R147" s="343"/>
      <c r="S147" s="343"/>
      <c r="T147" s="343"/>
      <c r="U147" s="343"/>
      <c r="V147" s="343"/>
      <c r="W147" s="343"/>
      <c r="X147" s="343"/>
      <c r="Y147" s="343"/>
      <c r="Z147" s="343"/>
      <c r="AA147" s="343"/>
      <c r="AB147" s="343"/>
      <c r="AC147" s="343"/>
      <c r="AD147" s="343"/>
      <c r="AE147" s="343"/>
      <c r="AF147" s="141"/>
      <c r="AG147" s="141"/>
      <c r="AH147" s="141"/>
      <c r="AI147" s="141"/>
      <c r="AJ147" s="141"/>
      <c r="AK147" s="141"/>
      <c r="AL147" s="141"/>
      <c r="AM147" s="141"/>
      <c r="AN147" s="141"/>
    </row>
    <row r="148" spans="1:40" ht="14.5" x14ac:dyDescent="0.35">
      <c r="A148" s="375"/>
      <c r="B148" s="343"/>
      <c r="C148" s="343"/>
      <c r="D148" s="343"/>
      <c r="E148" s="343"/>
      <c r="F148" s="343"/>
      <c r="G148" s="343"/>
      <c r="H148" s="343"/>
      <c r="I148" s="343"/>
      <c r="J148" s="343"/>
      <c r="K148" s="343"/>
      <c r="L148" s="343"/>
      <c r="M148" s="343"/>
      <c r="N148" s="343"/>
      <c r="O148" s="343"/>
      <c r="P148" s="343"/>
      <c r="Q148" s="343"/>
      <c r="R148" s="343"/>
      <c r="S148" s="343"/>
      <c r="T148" s="343"/>
      <c r="U148" s="343"/>
      <c r="V148" s="343"/>
      <c r="W148" s="343"/>
      <c r="X148" s="343"/>
      <c r="Y148" s="343"/>
      <c r="Z148" s="343"/>
      <c r="AA148" s="343"/>
      <c r="AB148" s="343"/>
      <c r="AC148" s="343"/>
      <c r="AD148" s="343"/>
      <c r="AE148" s="343"/>
      <c r="AF148" s="141"/>
      <c r="AG148" s="141"/>
      <c r="AH148" s="141"/>
      <c r="AI148" s="141"/>
      <c r="AJ148" s="141"/>
      <c r="AK148" s="141"/>
      <c r="AL148" s="141"/>
      <c r="AM148" s="141"/>
      <c r="AN148" s="141"/>
    </row>
    <row r="149" spans="1:40" ht="14.5" x14ac:dyDescent="0.35">
      <c r="A149" s="375"/>
      <c r="B149" s="343"/>
      <c r="C149" s="343"/>
      <c r="D149" s="343"/>
      <c r="E149" s="343"/>
      <c r="F149" s="343"/>
      <c r="G149" s="343"/>
      <c r="H149" s="343"/>
      <c r="I149" s="343"/>
      <c r="J149" s="343"/>
      <c r="K149" s="343"/>
      <c r="L149" s="343"/>
      <c r="M149" s="343"/>
      <c r="N149" s="343"/>
      <c r="O149" s="343"/>
      <c r="P149" s="343"/>
      <c r="Q149" s="343"/>
      <c r="R149" s="343"/>
      <c r="S149" s="343"/>
      <c r="T149" s="343"/>
      <c r="U149" s="343"/>
      <c r="V149" s="343"/>
      <c r="W149" s="343"/>
      <c r="X149" s="343"/>
      <c r="Y149" s="343"/>
      <c r="Z149" s="343"/>
      <c r="AA149" s="343"/>
      <c r="AB149" s="343"/>
      <c r="AC149" s="343"/>
      <c r="AD149" s="343"/>
      <c r="AE149" s="343"/>
      <c r="AF149" s="141"/>
      <c r="AG149" s="141"/>
      <c r="AH149" s="141"/>
      <c r="AI149" s="141"/>
      <c r="AJ149" s="141"/>
      <c r="AK149" s="141"/>
      <c r="AL149" s="141"/>
      <c r="AM149" s="141"/>
      <c r="AN149" s="141"/>
    </row>
    <row r="150" spans="1:40" ht="14.5" x14ac:dyDescent="0.35">
      <c r="A150" s="375"/>
      <c r="B150" s="343"/>
      <c r="C150" s="343"/>
      <c r="D150" s="343"/>
      <c r="E150" s="343"/>
      <c r="F150" s="343"/>
      <c r="G150" s="343"/>
      <c r="H150" s="343"/>
      <c r="I150" s="343"/>
      <c r="J150" s="343"/>
      <c r="K150" s="343"/>
      <c r="L150" s="343"/>
      <c r="M150" s="343"/>
      <c r="N150" s="343"/>
      <c r="O150" s="343"/>
      <c r="P150" s="343"/>
      <c r="Q150" s="343"/>
      <c r="R150" s="343"/>
      <c r="S150" s="343"/>
      <c r="T150" s="343"/>
      <c r="U150" s="343"/>
      <c r="V150" s="343"/>
      <c r="W150" s="343"/>
      <c r="X150" s="343"/>
      <c r="Y150" s="343"/>
      <c r="Z150" s="343"/>
      <c r="AA150" s="343"/>
      <c r="AB150" s="343"/>
      <c r="AC150" s="343"/>
      <c r="AD150" s="343"/>
      <c r="AE150" s="343"/>
      <c r="AF150" s="141"/>
      <c r="AG150" s="141"/>
      <c r="AH150" s="141"/>
      <c r="AI150" s="141"/>
      <c r="AJ150" s="141"/>
      <c r="AK150" s="141"/>
      <c r="AL150" s="141"/>
      <c r="AM150" s="141"/>
      <c r="AN150" s="141"/>
    </row>
    <row r="151" spans="1:40" ht="14.5" x14ac:dyDescent="0.35">
      <c r="A151" s="375"/>
      <c r="B151" s="343"/>
      <c r="C151" s="343"/>
      <c r="D151" s="343"/>
      <c r="E151" s="343"/>
      <c r="F151" s="343"/>
      <c r="G151" s="343"/>
      <c r="H151" s="343"/>
      <c r="I151" s="343"/>
      <c r="J151" s="343"/>
      <c r="K151" s="343"/>
      <c r="L151" s="343"/>
      <c r="M151" s="343"/>
      <c r="N151" s="343"/>
      <c r="O151" s="343"/>
      <c r="P151" s="343"/>
      <c r="Q151" s="343"/>
      <c r="R151" s="343"/>
      <c r="S151" s="343"/>
      <c r="T151" s="343"/>
      <c r="U151" s="343"/>
      <c r="V151" s="343"/>
      <c r="W151" s="343"/>
      <c r="X151" s="343"/>
      <c r="Y151" s="343"/>
      <c r="Z151" s="343"/>
      <c r="AA151" s="343"/>
      <c r="AB151" s="343"/>
      <c r="AC151" s="343"/>
      <c r="AD151" s="343"/>
      <c r="AE151" s="343"/>
      <c r="AF151" s="141"/>
      <c r="AG151" s="141"/>
      <c r="AH151" s="141"/>
      <c r="AI151" s="141"/>
      <c r="AJ151" s="141"/>
      <c r="AK151" s="141"/>
      <c r="AL151" s="141"/>
      <c r="AM151" s="141"/>
      <c r="AN151" s="141"/>
    </row>
    <row r="152" spans="1:40" ht="14.5" x14ac:dyDescent="0.35">
      <c r="A152" s="375"/>
      <c r="B152" s="343"/>
      <c r="C152" s="343"/>
      <c r="D152" s="343"/>
      <c r="E152" s="343"/>
      <c r="F152" s="343"/>
      <c r="G152" s="343"/>
      <c r="H152" s="343"/>
      <c r="I152" s="343"/>
      <c r="J152" s="343"/>
      <c r="K152" s="343"/>
      <c r="L152" s="343"/>
      <c r="M152" s="343"/>
      <c r="N152" s="343"/>
      <c r="O152" s="343"/>
      <c r="P152" s="343"/>
      <c r="Q152" s="343"/>
      <c r="R152" s="343"/>
      <c r="S152" s="343"/>
      <c r="T152" s="343"/>
      <c r="U152" s="343"/>
      <c r="V152" s="343"/>
      <c r="W152" s="343"/>
      <c r="X152" s="343"/>
      <c r="Y152" s="343"/>
      <c r="Z152" s="343"/>
      <c r="AA152" s="343"/>
      <c r="AB152" s="343"/>
      <c r="AC152" s="343"/>
      <c r="AD152" s="343"/>
      <c r="AE152" s="343"/>
      <c r="AF152" s="141"/>
      <c r="AG152" s="141"/>
      <c r="AH152" s="141"/>
      <c r="AI152" s="141"/>
      <c r="AJ152" s="141"/>
      <c r="AK152" s="141"/>
      <c r="AL152" s="141"/>
      <c r="AM152" s="141"/>
      <c r="AN152" s="141"/>
    </row>
    <row r="153" spans="1:40" ht="14.5" x14ac:dyDescent="0.35">
      <c r="A153" s="375"/>
      <c r="B153" s="343"/>
      <c r="C153" s="343"/>
      <c r="D153" s="343"/>
      <c r="E153" s="343"/>
      <c r="F153" s="343"/>
      <c r="G153" s="343"/>
      <c r="H153" s="343"/>
      <c r="I153" s="343"/>
      <c r="J153" s="343"/>
      <c r="K153" s="343"/>
      <c r="L153" s="343"/>
      <c r="M153" s="343"/>
      <c r="N153" s="343"/>
      <c r="O153" s="343"/>
      <c r="P153" s="343"/>
      <c r="Q153" s="343"/>
      <c r="R153" s="343"/>
      <c r="S153" s="343"/>
      <c r="T153" s="343"/>
      <c r="U153" s="343"/>
      <c r="V153" s="343"/>
      <c r="W153" s="343"/>
      <c r="X153" s="343"/>
      <c r="Y153" s="343"/>
      <c r="Z153" s="343"/>
      <c r="AA153" s="343"/>
      <c r="AB153" s="343"/>
      <c r="AC153" s="343"/>
      <c r="AD153" s="343"/>
      <c r="AE153" s="343"/>
      <c r="AF153" s="141"/>
      <c r="AG153" s="141"/>
      <c r="AH153" s="141"/>
      <c r="AI153" s="141"/>
      <c r="AJ153" s="141"/>
      <c r="AK153" s="141"/>
      <c r="AL153" s="141"/>
      <c r="AM153" s="141"/>
      <c r="AN153" s="141"/>
    </row>
    <row r="154" spans="1:40" ht="14.5" x14ac:dyDescent="0.35">
      <c r="A154" s="375"/>
      <c r="B154" s="343"/>
      <c r="C154" s="343"/>
      <c r="D154" s="343"/>
      <c r="E154" s="343"/>
      <c r="F154" s="343"/>
      <c r="G154" s="343"/>
      <c r="H154" s="343"/>
      <c r="I154" s="343"/>
      <c r="J154" s="343"/>
      <c r="K154" s="343"/>
      <c r="L154" s="343"/>
      <c r="M154" s="343"/>
      <c r="N154" s="343"/>
      <c r="O154" s="343"/>
      <c r="P154" s="343"/>
      <c r="Q154" s="343"/>
      <c r="R154" s="343"/>
      <c r="S154" s="343"/>
      <c r="T154" s="343"/>
      <c r="U154" s="343"/>
      <c r="V154" s="343"/>
      <c r="W154" s="343"/>
      <c r="X154" s="343"/>
      <c r="Y154" s="343"/>
      <c r="Z154" s="343"/>
      <c r="AA154" s="343"/>
      <c r="AB154" s="343"/>
      <c r="AC154" s="343"/>
      <c r="AD154" s="343"/>
      <c r="AE154" s="343"/>
      <c r="AF154" s="141"/>
      <c r="AG154" s="141"/>
      <c r="AH154" s="141"/>
      <c r="AI154" s="141"/>
      <c r="AJ154" s="141"/>
      <c r="AK154" s="141"/>
      <c r="AL154" s="141"/>
      <c r="AM154" s="141"/>
      <c r="AN154" s="141"/>
    </row>
    <row r="155" spans="1:40" ht="14.5" x14ac:dyDescent="0.35">
      <c r="A155" s="375"/>
      <c r="B155" s="343"/>
      <c r="C155" s="343"/>
      <c r="D155" s="343"/>
      <c r="E155" s="343"/>
      <c r="F155" s="343"/>
      <c r="G155" s="343"/>
      <c r="H155" s="343"/>
      <c r="I155" s="343"/>
      <c r="J155" s="343"/>
      <c r="K155" s="343"/>
      <c r="L155" s="343"/>
      <c r="M155" s="343"/>
      <c r="N155" s="343"/>
      <c r="O155" s="343"/>
      <c r="P155" s="343"/>
      <c r="Q155" s="343"/>
      <c r="R155" s="343"/>
      <c r="S155" s="343"/>
      <c r="T155" s="343"/>
      <c r="U155" s="343"/>
      <c r="V155" s="343"/>
      <c r="W155" s="343"/>
      <c r="X155" s="343"/>
      <c r="Y155" s="343"/>
      <c r="Z155" s="343"/>
      <c r="AA155" s="343"/>
      <c r="AB155" s="343"/>
      <c r="AC155" s="343"/>
      <c r="AD155" s="343"/>
      <c r="AE155" s="343"/>
      <c r="AF155" s="141"/>
      <c r="AG155" s="141"/>
      <c r="AH155" s="141"/>
      <c r="AI155" s="141"/>
      <c r="AJ155" s="141"/>
      <c r="AK155" s="141"/>
      <c r="AL155" s="141"/>
      <c r="AM155" s="141"/>
      <c r="AN155" s="141"/>
    </row>
    <row r="156" spans="1:40" ht="14.5" x14ac:dyDescent="0.35">
      <c r="A156" s="375"/>
      <c r="B156" s="343"/>
      <c r="C156" s="343"/>
      <c r="D156" s="343"/>
      <c r="E156" s="343"/>
      <c r="F156" s="343"/>
      <c r="G156" s="343"/>
      <c r="H156" s="343"/>
      <c r="I156" s="343"/>
      <c r="J156" s="343"/>
      <c r="K156" s="343"/>
      <c r="L156" s="343"/>
      <c r="M156" s="343"/>
      <c r="N156" s="343"/>
      <c r="O156" s="343"/>
      <c r="P156" s="343"/>
      <c r="Q156" s="343"/>
      <c r="R156" s="343"/>
      <c r="S156" s="343"/>
      <c r="T156" s="343"/>
      <c r="U156" s="343"/>
      <c r="V156" s="343"/>
      <c r="W156" s="343"/>
      <c r="X156" s="343"/>
      <c r="Y156" s="343"/>
      <c r="Z156" s="343"/>
      <c r="AA156" s="343"/>
      <c r="AB156" s="343"/>
      <c r="AC156" s="343"/>
      <c r="AD156" s="343"/>
      <c r="AE156" s="343"/>
      <c r="AF156" s="141"/>
      <c r="AG156" s="141"/>
      <c r="AH156" s="141"/>
      <c r="AI156" s="141"/>
      <c r="AJ156" s="141"/>
      <c r="AK156" s="141"/>
      <c r="AL156" s="141"/>
      <c r="AM156" s="141"/>
      <c r="AN156" s="141"/>
    </row>
    <row r="157" spans="1:40" ht="14.5" x14ac:dyDescent="0.35">
      <c r="A157" s="375"/>
      <c r="B157" s="343"/>
      <c r="C157" s="343"/>
      <c r="D157" s="343"/>
      <c r="E157" s="343"/>
      <c r="F157" s="343"/>
      <c r="G157" s="343"/>
      <c r="H157" s="343"/>
      <c r="I157" s="343"/>
      <c r="J157" s="343"/>
      <c r="K157" s="343"/>
      <c r="L157" s="343"/>
      <c r="M157" s="343"/>
      <c r="N157" s="343"/>
      <c r="O157" s="343"/>
      <c r="P157" s="343"/>
      <c r="Q157" s="343"/>
      <c r="R157" s="343"/>
      <c r="S157" s="343"/>
      <c r="T157" s="343"/>
      <c r="U157" s="343"/>
      <c r="V157" s="343"/>
      <c r="W157" s="343"/>
      <c r="X157" s="343"/>
      <c r="Y157" s="343"/>
      <c r="Z157" s="343"/>
      <c r="AA157" s="343"/>
      <c r="AB157" s="343"/>
      <c r="AC157" s="343"/>
      <c r="AD157" s="343"/>
      <c r="AE157" s="343"/>
      <c r="AF157" s="141"/>
      <c r="AG157" s="141"/>
      <c r="AH157" s="141"/>
      <c r="AI157" s="141"/>
      <c r="AJ157" s="141"/>
      <c r="AK157" s="141"/>
      <c r="AL157" s="141"/>
      <c r="AM157" s="141"/>
      <c r="AN157" s="141"/>
    </row>
    <row r="158" spans="1:40" ht="14.5" x14ac:dyDescent="0.35">
      <c r="A158" s="375"/>
      <c r="B158" s="343"/>
      <c r="C158" s="343"/>
      <c r="D158" s="343"/>
      <c r="E158" s="343"/>
      <c r="F158" s="343"/>
      <c r="G158" s="343"/>
      <c r="H158" s="343"/>
      <c r="I158" s="343"/>
      <c r="J158" s="343"/>
      <c r="K158" s="343"/>
      <c r="L158" s="343"/>
      <c r="M158" s="343"/>
      <c r="N158" s="343"/>
      <c r="O158" s="343"/>
      <c r="P158" s="343"/>
      <c r="Q158" s="343"/>
      <c r="R158" s="343"/>
      <c r="S158" s="343"/>
      <c r="T158" s="343"/>
      <c r="U158" s="343"/>
      <c r="V158" s="343"/>
      <c r="W158" s="343"/>
      <c r="X158" s="343"/>
      <c r="Y158" s="343"/>
      <c r="Z158" s="343"/>
      <c r="AA158" s="343"/>
      <c r="AB158" s="343"/>
      <c r="AC158" s="343"/>
      <c r="AD158" s="343"/>
      <c r="AE158" s="343"/>
      <c r="AF158" s="141"/>
      <c r="AG158" s="141"/>
      <c r="AH158" s="141"/>
      <c r="AI158" s="141"/>
      <c r="AJ158" s="141"/>
      <c r="AK158" s="141"/>
      <c r="AL158" s="141"/>
      <c r="AM158" s="141"/>
      <c r="AN158" s="141"/>
    </row>
    <row r="159" spans="1:40" ht="14.5" x14ac:dyDescent="0.35">
      <c r="A159" s="375"/>
      <c r="B159" s="343"/>
      <c r="C159" s="343"/>
      <c r="D159" s="343"/>
      <c r="E159" s="343"/>
      <c r="F159" s="343"/>
      <c r="G159" s="343"/>
      <c r="H159" s="343"/>
      <c r="I159" s="343"/>
      <c r="J159" s="343"/>
      <c r="K159" s="343"/>
      <c r="L159" s="343"/>
      <c r="M159" s="343"/>
      <c r="N159" s="343"/>
      <c r="O159" s="343"/>
      <c r="P159" s="343"/>
      <c r="Q159" s="343"/>
      <c r="R159" s="343"/>
      <c r="S159" s="343"/>
      <c r="T159" s="343"/>
      <c r="U159" s="343"/>
      <c r="V159" s="343"/>
      <c r="W159" s="343"/>
      <c r="X159" s="343"/>
      <c r="Y159" s="343"/>
      <c r="Z159" s="343"/>
      <c r="AA159" s="343"/>
      <c r="AB159" s="343"/>
      <c r="AC159" s="343"/>
      <c r="AD159" s="343"/>
      <c r="AE159" s="343"/>
      <c r="AF159" s="141"/>
      <c r="AG159" s="141"/>
      <c r="AH159" s="141"/>
      <c r="AI159" s="141"/>
      <c r="AJ159" s="141"/>
      <c r="AK159" s="141"/>
      <c r="AL159" s="141"/>
      <c r="AM159" s="141"/>
      <c r="AN159" s="141"/>
    </row>
    <row r="160" spans="1:40" ht="14.5" x14ac:dyDescent="0.35">
      <c r="A160" s="375"/>
      <c r="B160" s="343"/>
      <c r="C160" s="343"/>
      <c r="D160" s="343"/>
      <c r="E160" s="343"/>
      <c r="F160" s="343"/>
      <c r="G160" s="343"/>
      <c r="H160" s="343"/>
      <c r="I160" s="343"/>
      <c r="J160" s="343"/>
      <c r="K160" s="343"/>
      <c r="L160" s="343"/>
      <c r="M160" s="343"/>
      <c r="N160" s="343"/>
      <c r="O160" s="343"/>
      <c r="P160" s="343"/>
      <c r="Q160" s="343"/>
      <c r="R160" s="343"/>
      <c r="S160" s="343"/>
      <c r="T160" s="343"/>
      <c r="U160" s="343"/>
      <c r="V160" s="343"/>
      <c r="W160" s="343"/>
      <c r="X160" s="343"/>
      <c r="Y160" s="343"/>
      <c r="Z160" s="343"/>
      <c r="AA160" s="343"/>
      <c r="AB160" s="343"/>
      <c r="AC160" s="343"/>
      <c r="AD160" s="343"/>
      <c r="AE160" s="343"/>
      <c r="AF160" s="141"/>
      <c r="AG160" s="141"/>
      <c r="AH160" s="141"/>
      <c r="AI160" s="141"/>
      <c r="AJ160" s="141"/>
      <c r="AK160" s="141"/>
      <c r="AL160" s="141"/>
      <c r="AM160" s="141"/>
      <c r="AN160" s="141"/>
    </row>
    <row r="161" spans="1:40" ht="14.5" x14ac:dyDescent="0.35">
      <c r="A161" s="375"/>
      <c r="B161" s="343"/>
      <c r="C161" s="343"/>
      <c r="D161" s="343"/>
      <c r="E161" s="343"/>
      <c r="F161" s="343"/>
      <c r="G161" s="343"/>
      <c r="H161" s="343"/>
      <c r="I161" s="343"/>
      <c r="J161" s="343"/>
      <c r="K161" s="343"/>
      <c r="L161" s="343"/>
      <c r="M161" s="343"/>
      <c r="N161" s="343"/>
      <c r="O161" s="343"/>
      <c r="P161" s="343"/>
      <c r="Q161" s="343"/>
      <c r="R161" s="343"/>
      <c r="S161" s="343"/>
      <c r="T161" s="343"/>
      <c r="U161" s="343"/>
      <c r="V161" s="343"/>
      <c r="W161" s="343"/>
      <c r="X161" s="343"/>
      <c r="Y161" s="343"/>
      <c r="Z161" s="343"/>
      <c r="AA161" s="343"/>
      <c r="AB161" s="343"/>
      <c r="AC161" s="343"/>
      <c r="AD161" s="343"/>
      <c r="AE161" s="343"/>
      <c r="AF161" s="141"/>
      <c r="AG161" s="141"/>
      <c r="AH161" s="141"/>
      <c r="AI161" s="141"/>
      <c r="AJ161" s="141"/>
      <c r="AK161" s="141"/>
      <c r="AL161" s="141"/>
      <c r="AM161" s="141"/>
      <c r="AN161" s="141"/>
    </row>
    <row r="162" spans="1:40" ht="14.5" x14ac:dyDescent="0.35">
      <c r="A162" s="375"/>
      <c r="B162" s="343"/>
      <c r="C162" s="343"/>
      <c r="D162" s="343"/>
      <c r="E162" s="343"/>
      <c r="F162" s="343"/>
      <c r="G162" s="343"/>
      <c r="H162" s="343"/>
      <c r="I162" s="343"/>
      <c r="J162" s="343"/>
      <c r="K162" s="343"/>
      <c r="L162" s="343"/>
      <c r="M162" s="343"/>
      <c r="N162" s="343"/>
      <c r="O162" s="343"/>
      <c r="P162" s="343"/>
      <c r="Q162" s="343"/>
      <c r="R162" s="343"/>
      <c r="S162" s="343"/>
      <c r="T162" s="343"/>
      <c r="U162" s="343"/>
      <c r="V162" s="343"/>
      <c r="W162" s="343"/>
      <c r="X162" s="343"/>
      <c r="Y162" s="343"/>
      <c r="Z162" s="343"/>
      <c r="AA162" s="343"/>
      <c r="AB162" s="343"/>
      <c r="AC162" s="343"/>
      <c r="AD162" s="343"/>
      <c r="AE162" s="343"/>
      <c r="AF162" s="141"/>
      <c r="AG162" s="141"/>
      <c r="AH162" s="141"/>
      <c r="AI162" s="141"/>
      <c r="AJ162" s="141"/>
      <c r="AK162" s="141"/>
      <c r="AL162" s="141"/>
      <c r="AM162" s="141"/>
      <c r="AN162" s="141"/>
    </row>
    <row r="163" spans="1:40" ht="14.5" x14ac:dyDescent="0.35">
      <c r="A163" s="375"/>
      <c r="B163" s="343"/>
      <c r="C163" s="343"/>
      <c r="D163" s="343"/>
      <c r="E163" s="343"/>
      <c r="F163" s="343"/>
      <c r="G163" s="343"/>
      <c r="H163" s="343"/>
      <c r="I163" s="343"/>
      <c r="J163" s="343"/>
      <c r="K163" s="343"/>
      <c r="L163" s="343"/>
      <c r="M163" s="343"/>
      <c r="N163" s="343"/>
      <c r="O163" s="343"/>
      <c r="P163" s="343"/>
      <c r="Q163" s="343"/>
      <c r="R163" s="343"/>
      <c r="S163" s="343"/>
      <c r="T163" s="343"/>
      <c r="U163" s="343"/>
      <c r="V163" s="343"/>
      <c r="W163" s="343"/>
      <c r="X163" s="343"/>
      <c r="Y163" s="343"/>
      <c r="Z163" s="343"/>
      <c r="AA163" s="343"/>
      <c r="AB163" s="343"/>
      <c r="AC163" s="343"/>
      <c r="AD163" s="343"/>
      <c r="AE163" s="343"/>
      <c r="AF163" s="141"/>
      <c r="AG163" s="141"/>
      <c r="AH163" s="141"/>
      <c r="AI163" s="141"/>
      <c r="AJ163" s="141"/>
      <c r="AK163" s="141"/>
      <c r="AL163" s="141"/>
      <c r="AM163" s="141"/>
      <c r="AN163" s="141"/>
    </row>
    <row r="164" spans="1:40" ht="14.5" x14ac:dyDescent="0.35">
      <c r="A164" s="375"/>
      <c r="B164" s="343"/>
      <c r="C164" s="343"/>
      <c r="D164" s="343"/>
      <c r="E164" s="343"/>
      <c r="F164" s="343"/>
      <c r="G164" s="343"/>
      <c r="H164" s="343"/>
      <c r="I164" s="343"/>
      <c r="J164" s="343"/>
      <c r="K164" s="343"/>
      <c r="L164" s="343"/>
      <c r="M164" s="343"/>
      <c r="N164" s="343"/>
      <c r="O164" s="343"/>
      <c r="P164" s="343"/>
      <c r="Q164" s="343"/>
      <c r="R164" s="343"/>
      <c r="S164" s="343"/>
      <c r="T164" s="343"/>
      <c r="U164" s="343"/>
      <c r="V164" s="343"/>
      <c r="W164" s="343"/>
      <c r="X164" s="343"/>
      <c r="Y164" s="343"/>
      <c r="Z164" s="343"/>
      <c r="AA164" s="343"/>
      <c r="AB164" s="343"/>
      <c r="AC164" s="343"/>
      <c r="AD164" s="343"/>
      <c r="AE164" s="343"/>
      <c r="AF164" s="141"/>
      <c r="AG164" s="141"/>
      <c r="AH164" s="141"/>
      <c r="AI164" s="141"/>
      <c r="AJ164" s="141"/>
      <c r="AK164" s="141"/>
      <c r="AL164" s="141"/>
      <c r="AM164" s="141"/>
      <c r="AN164" s="141"/>
    </row>
    <row r="165" spans="1:40" ht="14.5" x14ac:dyDescent="0.35">
      <c r="A165" s="375"/>
      <c r="B165" s="343"/>
      <c r="C165" s="343"/>
      <c r="D165" s="343"/>
      <c r="E165" s="343"/>
      <c r="F165" s="343"/>
      <c r="G165" s="343"/>
      <c r="H165" s="343"/>
      <c r="I165" s="343"/>
      <c r="J165" s="343"/>
      <c r="K165" s="343"/>
      <c r="L165" s="343"/>
      <c r="M165" s="343"/>
      <c r="N165" s="343"/>
      <c r="O165" s="343"/>
      <c r="P165" s="343"/>
      <c r="Q165" s="343"/>
      <c r="R165" s="343"/>
      <c r="S165" s="343"/>
      <c r="T165" s="343"/>
      <c r="U165" s="343"/>
      <c r="V165" s="343"/>
      <c r="W165" s="343"/>
      <c r="X165" s="343"/>
      <c r="Y165" s="343"/>
      <c r="Z165" s="343"/>
      <c r="AA165" s="343"/>
      <c r="AB165" s="343"/>
      <c r="AC165" s="343"/>
      <c r="AD165" s="343"/>
      <c r="AE165" s="343"/>
      <c r="AF165" s="141"/>
      <c r="AG165" s="141"/>
      <c r="AH165" s="141"/>
      <c r="AI165" s="141"/>
      <c r="AJ165" s="141"/>
      <c r="AK165" s="141"/>
      <c r="AL165" s="141"/>
      <c r="AM165" s="141"/>
      <c r="AN165" s="141"/>
    </row>
    <row r="166" spans="1:40" ht="14.5" x14ac:dyDescent="0.35">
      <c r="A166" s="375"/>
      <c r="B166" s="343"/>
      <c r="C166" s="343"/>
      <c r="D166" s="343"/>
      <c r="E166" s="343"/>
      <c r="F166" s="343"/>
      <c r="G166" s="343"/>
      <c r="H166" s="343"/>
      <c r="I166" s="343"/>
      <c r="J166" s="343"/>
      <c r="K166" s="343"/>
      <c r="L166" s="343"/>
      <c r="M166" s="343"/>
      <c r="N166" s="343"/>
      <c r="O166" s="343"/>
      <c r="P166" s="343"/>
      <c r="Q166" s="343"/>
      <c r="R166" s="343"/>
      <c r="S166" s="343"/>
      <c r="T166" s="343"/>
      <c r="U166" s="343"/>
      <c r="V166" s="343"/>
      <c r="W166" s="343"/>
      <c r="X166" s="343"/>
      <c r="Y166" s="343"/>
      <c r="Z166" s="343"/>
      <c r="AA166" s="343"/>
      <c r="AB166" s="343"/>
      <c r="AC166" s="343"/>
      <c r="AD166" s="343"/>
      <c r="AE166" s="343"/>
      <c r="AF166" s="141"/>
      <c r="AG166" s="141"/>
      <c r="AH166" s="141"/>
      <c r="AI166" s="141"/>
      <c r="AJ166" s="141"/>
      <c r="AK166" s="141"/>
      <c r="AL166" s="141"/>
      <c r="AM166" s="141"/>
      <c r="AN166" s="141"/>
    </row>
    <row r="167" spans="1:40" ht="14.5" x14ac:dyDescent="0.35">
      <c r="A167" s="375"/>
      <c r="B167" s="343"/>
      <c r="C167" s="343"/>
      <c r="D167" s="343"/>
      <c r="E167" s="343"/>
      <c r="F167" s="343"/>
      <c r="G167" s="343"/>
      <c r="H167" s="343"/>
      <c r="I167" s="343"/>
      <c r="J167" s="343"/>
      <c r="K167" s="343"/>
      <c r="L167" s="343"/>
      <c r="M167" s="343"/>
      <c r="N167" s="343"/>
      <c r="O167" s="343"/>
      <c r="P167" s="343"/>
      <c r="Q167" s="343"/>
      <c r="R167" s="343"/>
      <c r="S167" s="343"/>
      <c r="T167" s="343"/>
      <c r="U167" s="343"/>
      <c r="V167" s="343"/>
      <c r="W167" s="343"/>
      <c r="X167" s="343"/>
      <c r="Y167" s="343"/>
      <c r="Z167" s="343"/>
      <c r="AA167" s="343"/>
      <c r="AB167" s="343"/>
      <c r="AC167" s="343"/>
      <c r="AD167" s="343"/>
      <c r="AE167" s="343"/>
      <c r="AF167" s="141"/>
      <c r="AG167" s="141"/>
      <c r="AH167" s="141"/>
      <c r="AI167" s="141"/>
      <c r="AJ167" s="141"/>
      <c r="AK167" s="141"/>
      <c r="AL167" s="141"/>
      <c r="AM167" s="141"/>
      <c r="AN167" s="141"/>
    </row>
    <row r="168" spans="1:40" ht="14.5" x14ac:dyDescent="0.35">
      <c r="A168" s="375"/>
      <c r="B168" s="343"/>
      <c r="C168" s="343"/>
      <c r="D168" s="343"/>
      <c r="E168" s="343"/>
      <c r="F168" s="343"/>
      <c r="G168" s="343"/>
      <c r="H168" s="343"/>
      <c r="I168" s="343"/>
      <c r="J168" s="343"/>
      <c r="K168" s="343"/>
      <c r="L168" s="343"/>
      <c r="M168" s="343"/>
      <c r="N168" s="343"/>
      <c r="O168" s="343"/>
      <c r="P168" s="343"/>
      <c r="Q168" s="343"/>
      <c r="R168" s="343"/>
      <c r="S168" s="343"/>
      <c r="T168" s="343"/>
      <c r="U168" s="343"/>
      <c r="V168" s="343"/>
      <c r="W168" s="343"/>
      <c r="X168" s="343"/>
      <c r="Y168" s="343"/>
      <c r="Z168" s="343"/>
      <c r="AA168" s="343"/>
      <c r="AB168" s="343"/>
      <c r="AC168" s="343"/>
      <c r="AD168" s="343"/>
      <c r="AE168" s="343"/>
      <c r="AF168" s="141"/>
      <c r="AG168" s="141"/>
      <c r="AH168" s="141"/>
      <c r="AI168" s="141"/>
      <c r="AJ168" s="141"/>
      <c r="AK168" s="141"/>
      <c r="AL168" s="141"/>
      <c r="AM168" s="141"/>
      <c r="AN168" s="141"/>
    </row>
    <row r="169" spans="1:40" ht="14.5" x14ac:dyDescent="0.35">
      <c r="A169" s="375"/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343"/>
      <c r="AB169" s="343"/>
      <c r="AC169" s="343"/>
      <c r="AD169" s="343"/>
      <c r="AE169" s="343"/>
      <c r="AF169" s="141"/>
      <c r="AG169" s="141"/>
      <c r="AH169" s="141"/>
      <c r="AI169" s="141"/>
      <c r="AJ169" s="141"/>
      <c r="AK169" s="141"/>
      <c r="AL169" s="141"/>
      <c r="AM169" s="141"/>
      <c r="AN169" s="141"/>
    </row>
    <row r="170" spans="1:40" ht="14.5" x14ac:dyDescent="0.35">
      <c r="A170" s="375"/>
      <c r="B170" s="343"/>
      <c r="C170" s="343"/>
      <c r="D170" s="343"/>
      <c r="E170" s="343"/>
      <c r="F170" s="343"/>
      <c r="G170" s="343"/>
      <c r="H170" s="343"/>
      <c r="I170" s="343"/>
      <c r="J170" s="343"/>
      <c r="K170" s="343"/>
      <c r="L170" s="343"/>
      <c r="M170" s="343"/>
      <c r="N170" s="343"/>
      <c r="O170" s="343"/>
      <c r="P170" s="343"/>
      <c r="Q170" s="343"/>
      <c r="R170" s="343"/>
      <c r="S170" s="343"/>
      <c r="T170" s="343"/>
      <c r="U170" s="343"/>
      <c r="V170" s="343"/>
      <c r="W170" s="343"/>
      <c r="X170" s="343"/>
      <c r="Y170" s="343"/>
      <c r="Z170" s="343"/>
      <c r="AA170" s="343"/>
      <c r="AB170" s="343"/>
      <c r="AC170" s="343"/>
      <c r="AD170" s="343"/>
      <c r="AE170" s="343"/>
      <c r="AF170" s="141"/>
      <c r="AG170" s="141"/>
      <c r="AH170" s="141"/>
      <c r="AI170" s="141"/>
      <c r="AJ170" s="141"/>
      <c r="AK170" s="141"/>
      <c r="AL170" s="141"/>
      <c r="AM170" s="141"/>
      <c r="AN170" s="141"/>
    </row>
    <row r="171" spans="1:40" ht="14.5" x14ac:dyDescent="0.35">
      <c r="A171" s="375"/>
      <c r="B171" s="343"/>
      <c r="C171" s="343"/>
      <c r="D171" s="343"/>
      <c r="E171" s="343"/>
      <c r="F171" s="343"/>
      <c r="G171" s="343"/>
      <c r="H171" s="343"/>
      <c r="I171" s="343"/>
      <c r="J171" s="343"/>
      <c r="K171" s="343"/>
      <c r="L171" s="343"/>
      <c r="M171" s="343"/>
      <c r="N171" s="343"/>
      <c r="O171" s="343"/>
      <c r="P171" s="343"/>
      <c r="Q171" s="343"/>
      <c r="R171" s="343"/>
      <c r="S171" s="343"/>
      <c r="T171" s="343"/>
      <c r="U171" s="343"/>
      <c r="V171" s="343"/>
      <c r="W171" s="343"/>
      <c r="X171" s="343"/>
      <c r="Y171" s="343"/>
      <c r="Z171" s="343"/>
      <c r="AA171" s="343"/>
      <c r="AB171" s="343"/>
      <c r="AC171" s="343"/>
      <c r="AD171" s="343"/>
      <c r="AE171" s="343"/>
      <c r="AF171" s="141"/>
      <c r="AG171" s="141"/>
      <c r="AH171" s="141"/>
      <c r="AI171" s="141"/>
      <c r="AJ171" s="141"/>
      <c r="AK171" s="141"/>
      <c r="AL171" s="141"/>
      <c r="AM171" s="141"/>
      <c r="AN171" s="141"/>
    </row>
    <row r="172" spans="1:40" ht="14.5" x14ac:dyDescent="0.35">
      <c r="A172" s="375"/>
      <c r="B172" s="343"/>
      <c r="C172" s="343"/>
      <c r="D172" s="343"/>
      <c r="E172" s="343"/>
      <c r="F172" s="343"/>
      <c r="G172" s="343"/>
      <c r="H172" s="343"/>
      <c r="I172" s="343"/>
      <c r="J172" s="343"/>
      <c r="K172" s="343"/>
      <c r="L172" s="343"/>
      <c r="M172" s="343"/>
      <c r="N172" s="343"/>
      <c r="O172" s="343"/>
      <c r="P172" s="343"/>
      <c r="Q172" s="343"/>
      <c r="R172" s="343"/>
      <c r="S172" s="343"/>
      <c r="T172" s="343"/>
      <c r="U172" s="343"/>
      <c r="V172" s="343"/>
      <c r="W172" s="343"/>
      <c r="X172" s="343"/>
      <c r="Y172" s="343"/>
      <c r="Z172" s="343"/>
      <c r="AA172" s="343"/>
      <c r="AB172" s="343"/>
      <c r="AC172" s="343"/>
      <c r="AD172" s="343"/>
      <c r="AE172" s="343"/>
      <c r="AF172" s="141"/>
      <c r="AG172" s="141"/>
      <c r="AH172" s="141"/>
      <c r="AI172" s="141"/>
      <c r="AJ172" s="141"/>
      <c r="AK172" s="141"/>
      <c r="AL172" s="141"/>
      <c r="AM172" s="141"/>
      <c r="AN172" s="141"/>
    </row>
    <row r="173" spans="1:40" ht="14.5" x14ac:dyDescent="0.35">
      <c r="A173" s="375"/>
      <c r="B173" s="343"/>
      <c r="C173" s="343"/>
      <c r="D173" s="343"/>
      <c r="E173" s="343"/>
      <c r="F173" s="343"/>
      <c r="G173" s="343"/>
      <c r="H173" s="343"/>
      <c r="I173" s="343"/>
      <c r="J173" s="343"/>
      <c r="K173" s="343"/>
      <c r="L173" s="343"/>
      <c r="M173" s="343"/>
      <c r="N173" s="343"/>
      <c r="O173" s="343"/>
      <c r="P173" s="343"/>
      <c r="Q173" s="343"/>
      <c r="R173" s="343"/>
      <c r="S173" s="343"/>
      <c r="T173" s="343"/>
      <c r="U173" s="343"/>
      <c r="V173" s="343"/>
      <c r="W173" s="343"/>
      <c r="X173" s="343"/>
      <c r="Y173" s="343"/>
      <c r="Z173" s="343"/>
      <c r="AA173" s="343"/>
      <c r="AB173" s="343"/>
      <c r="AC173" s="343"/>
      <c r="AD173" s="343"/>
      <c r="AE173" s="343"/>
      <c r="AF173" s="141"/>
      <c r="AG173" s="141"/>
      <c r="AH173" s="141"/>
      <c r="AI173" s="141"/>
      <c r="AJ173" s="141"/>
      <c r="AK173" s="141"/>
      <c r="AL173" s="141"/>
      <c r="AM173" s="141"/>
      <c r="AN173" s="141"/>
    </row>
    <row r="174" spans="1:40" ht="14.5" x14ac:dyDescent="0.35">
      <c r="A174" s="375"/>
      <c r="B174" s="343"/>
      <c r="C174" s="343"/>
      <c r="D174" s="343"/>
      <c r="E174" s="343"/>
      <c r="F174" s="343"/>
      <c r="G174" s="343"/>
      <c r="H174" s="343"/>
      <c r="I174" s="343"/>
      <c r="J174" s="343"/>
      <c r="K174" s="343"/>
      <c r="L174" s="343"/>
      <c r="M174" s="343"/>
      <c r="N174" s="343"/>
      <c r="O174" s="343"/>
      <c r="P174" s="343"/>
      <c r="Q174" s="343"/>
      <c r="R174" s="343"/>
      <c r="S174" s="343"/>
      <c r="T174" s="343"/>
      <c r="U174" s="343"/>
      <c r="V174" s="343"/>
      <c r="W174" s="343"/>
      <c r="X174" s="343"/>
      <c r="Y174" s="343"/>
      <c r="Z174" s="343"/>
      <c r="AA174" s="343"/>
      <c r="AB174" s="343"/>
      <c r="AC174" s="343"/>
      <c r="AD174" s="343"/>
      <c r="AE174" s="343"/>
      <c r="AF174" s="141"/>
      <c r="AG174" s="141"/>
      <c r="AH174" s="141"/>
      <c r="AI174" s="141"/>
      <c r="AJ174" s="141"/>
      <c r="AK174" s="141"/>
      <c r="AL174" s="141"/>
      <c r="AM174" s="141"/>
      <c r="AN174" s="141"/>
    </row>
    <row r="175" spans="1:40" ht="14.5" x14ac:dyDescent="0.35">
      <c r="A175" s="375"/>
      <c r="B175" s="343"/>
      <c r="C175" s="343"/>
      <c r="D175" s="343"/>
      <c r="E175" s="343"/>
      <c r="F175" s="343"/>
      <c r="G175" s="343"/>
      <c r="H175" s="343"/>
      <c r="I175" s="343"/>
      <c r="J175" s="343"/>
      <c r="K175" s="343"/>
      <c r="L175" s="343"/>
      <c r="M175" s="343"/>
      <c r="N175" s="343"/>
      <c r="O175" s="343"/>
      <c r="P175" s="343"/>
      <c r="Q175" s="343"/>
      <c r="R175" s="343"/>
      <c r="S175" s="343"/>
      <c r="T175" s="343"/>
      <c r="U175" s="343"/>
      <c r="V175" s="343"/>
      <c r="W175" s="343"/>
      <c r="X175" s="343"/>
      <c r="Y175" s="343"/>
      <c r="Z175" s="343"/>
      <c r="AA175" s="343"/>
      <c r="AB175" s="343"/>
      <c r="AC175" s="343"/>
      <c r="AD175" s="343"/>
      <c r="AE175" s="343"/>
      <c r="AF175" s="141"/>
      <c r="AG175" s="141"/>
      <c r="AH175" s="141"/>
      <c r="AI175" s="141"/>
      <c r="AJ175" s="141"/>
      <c r="AK175" s="141"/>
      <c r="AL175" s="141"/>
      <c r="AM175" s="141"/>
      <c r="AN175" s="141"/>
    </row>
    <row r="176" spans="1:40" ht="14.5" x14ac:dyDescent="0.35">
      <c r="A176" s="375"/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343"/>
      <c r="AB176" s="343"/>
      <c r="AC176" s="343"/>
      <c r="AD176" s="343"/>
      <c r="AE176" s="343"/>
      <c r="AF176" s="141"/>
      <c r="AG176" s="141"/>
      <c r="AH176" s="141"/>
      <c r="AI176" s="141"/>
      <c r="AJ176" s="141"/>
      <c r="AK176" s="141"/>
      <c r="AL176" s="141"/>
      <c r="AM176" s="141"/>
      <c r="AN176" s="141"/>
    </row>
    <row r="177" spans="1:40" ht="14.5" x14ac:dyDescent="0.35">
      <c r="A177" s="375"/>
      <c r="B177" s="343"/>
      <c r="C177" s="343"/>
      <c r="D177" s="343"/>
      <c r="E177" s="343"/>
      <c r="F177" s="343"/>
      <c r="G177" s="343"/>
      <c r="H177" s="343"/>
      <c r="I177" s="343"/>
      <c r="J177" s="343"/>
      <c r="K177" s="343"/>
      <c r="L177" s="343"/>
      <c r="M177" s="343"/>
      <c r="N177" s="343"/>
      <c r="O177" s="343"/>
      <c r="P177" s="343"/>
      <c r="Q177" s="343"/>
      <c r="R177" s="343"/>
      <c r="S177" s="343"/>
      <c r="T177" s="343"/>
      <c r="U177" s="343"/>
      <c r="V177" s="343"/>
      <c r="W177" s="343"/>
      <c r="X177" s="343"/>
      <c r="Y177" s="343"/>
      <c r="Z177" s="343"/>
      <c r="AA177" s="343"/>
      <c r="AB177" s="343"/>
      <c r="AC177" s="343"/>
      <c r="AD177" s="343"/>
      <c r="AE177" s="343"/>
      <c r="AF177" s="141"/>
      <c r="AG177" s="141"/>
      <c r="AH177" s="141"/>
      <c r="AI177" s="141"/>
      <c r="AJ177" s="141"/>
      <c r="AK177" s="141"/>
      <c r="AL177" s="141"/>
      <c r="AM177" s="141"/>
      <c r="AN177" s="141"/>
    </row>
    <row r="178" spans="1:40" ht="14.5" x14ac:dyDescent="0.35">
      <c r="A178" s="375"/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  <c r="AA178" s="343"/>
      <c r="AB178" s="343"/>
      <c r="AC178" s="343"/>
      <c r="AD178" s="343"/>
      <c r="AE178" s="343"/>
      <c r="AF178" s="141"/>
      <c r="AG178" s="141"/>
      <c r="AH178" s="141"/>
      <c r="AI178" s="141"/>
      <c r="AJ178" s="141"/>
      <c r="AK178" s="141"/>
      <c r="AL178" s="141"/>
      <c r="AM178" s="141"/>
      <c r="AN178" s="141"/>
    </row>
    <row r="179" spans="1:40" ht="14.5" x14ac:dyDescent="0.35">
      <c r="A179" s="375"/>
      <c r="B179" s="343"/>
      <c r="C179" s="343"/>
      <c r="D179" s="343"/>
      <c r="E179" s="343"/>
      <c r="F179" s="343"/>
      <c r="G179" s="343"/>
      <c r="H179" s="343"/>
      <c r="I179" s="343"/>
      <c r="J179" s="343"/>
      <c r="K179" s="343"/>
      <c r="L179" s="343"/>
      <c r="M179" s="343"/>
      <c r="N179" s="343"/>
      <c r="O179" s="343"/>
      <c r="P179" s="343"/>
      <c r="Q179" s="343"/>
      <c r="R179" s="343"/>
      <c r="S179" s="343"/>
      <c r="T179" s="343"/>
      <c r="U179" s="343"/>
      <c r="V179" s="343"/>
      <c r="W179" s="343"/>
      <c r="X179" s="343"/>
      <c r="Y179" s="343"/>
      <c r="Z179" s="343"/>
      <c r="AA179" s="343"/>
      <c r="AB179" s="343"/>
      <c r="AC179" s="343"/>
      <c r="AD179" s="343"/>
      <c r="AE179" s="343"/>
      <c r="AF179" s="141"/>
      <c r="AG179" s="141"/>
      <c r="AH179" s="141"/>
      <c r="AI179" s="141"/>
      <c r="AJ179" s="141"/>
      <c r="AK179" s="141"/>
      <c r="AL179" s="141"/>
      <c r="AM179" s="141"/>
      <c r="AN179" s="141"/>
    </row>
    <row r="180" spans="1:40" ht="14.5" x14ac:dyDescent="0.35">
      <c r="A180" s="375"/>
      <c r="B180" s="343"/>
      <c r="C180" s="343"/>
      <c r="D180" s="343"/>
      <c r="E180" s="343"/>
      <c r="F180" s="343"/>
      <c r="G180" s="343"/>
      <c r="H180" s="343"/>
      <c r="I180" s="343"/>
      <c r="J180" s="343"/>
      <c r="K180" s="343"/>
      <c r="L180" s="343"/>
      <c r="M180" s="343"/>
      <c r="N180" s="343"/>
      <c r="O180" s="343"/>
      <c r="P180" s="343"/>
      <c r="Q180" s="343"/>
      <c r="R180" s="343"/>
      <c r="S180" s="343"/>
      <c r="T180" s="343"/>
      <c r="U180" s="343"/>
      <c r="V180" s="343"/>
      <c r="W180" s="343"/>
      <c r="X180" s="343"/>
      <c r="Y180" s="343"/>
      <c r="Z180" s="343"/>
      <c r="AA180" s="343"/>
      <c r="AB180" s="343"/>
      <c r="AC180" s="343"/>
      <c r="AD180" s="343"/>
      <c r="AE180" s="343"/>
      <c r="AF180" s="141"/>
      <c r="AG180" s="141"/>
      <c r="AH180" s="141"/>
      <c r="AI180" s="141"/>
      <c r="AJ180" s="141"/>
      <c r="AK180" s="141"/>
      <c r="AL180" s="141"/>
      <c r="AM180" s="141"/>
      <c r="AN180" s="141"/>
    </row>
    <row r="181" spans="1:40" ht="14.5" x14ac:dyDescent="0.35">
      <c r="A181" s="375"/>
      <c r="B181" s="343"/>
      <c r="C181" s="343"/>
      <c r="D181" s="343"/>
      <c r="E181" s="343"/>
      <c r="F181" s="343"/>
      <c r="G181" s="343"/>
      <c r="H181" s="343"/>
      <c r="I181" s="343"/>
      <c r="J181" s="343"/>
      <c r="K181" s="343"/>
      <c r="L181" s="343"/>
      <c r="M181" s="343"/>
      <c r="N181" s="343"/>
      <c r="O181" s="343"/>
      <c r="P181" s="343"/>
      <c r="Q181" s="343"/>
      <c r="R181" s="343"/>
      <c r="S181" s="343"/>
      <c r="T181" s="343"/>
      <c r="U181" s="343"/>
      <c r="V181" s="343"/>
      <c r="W181" s="343"/>
      <c r="X181" s="343"/>
      <c r="Y181" s="343"/>
      <c r="Z181" s="343"/>
      <c r="AA181" s="343"/>
      <c r="AB181" s="343"/>
      <c r="AC181" s="343"/>
      <c r="AD181" s="343"/>
      <c r="AE181" s="343"/>
      <c r="AF181" s="141"/>
      <c r="AG181" s="141"/>
      <c r="AH181" s="141"/>
      <c r="AI181" s="141"/>
      <c r="AJ181" s="141"/>
      <c r="AK181" s="141"/>
      <c r="AL181" s="141"/>
      <c r="AM181" s="141"/>
      <c r="AN181" s="141"/>
    </row>
    <row r="182" spans="1:40" ht="14.5" x14ac:dyDescent="0.35">
      <c r="A182" s="375"/>
      <c r="B182" s="343"/>
      <c r="C182" s="343"/>
      <c r="D182" s="343"/>
      <c r="E182" s="343"/>
      <c r="F182" s="343"/>
      <c r="G182" s="343"/>
      <c r="H182" s="343"/>
      <c r="I182" s="343"/>
      <c r="J182" s="343"/>
      <c r="K182" s="343"/>
      <c r="L182" s="343"/>
      <c r="M182" s="343"/>
      <c r="N182" s="343"/>
      <c r="O182" s="343"/>
      <c r="P182" s="343"/>
      <c r="Q182" s="343"/>
      <c r="R182" s="343"/>
      <c r="S182" s="343"/>
      <c r="T182" s="343"/>
      <c r="U182" s="343"/>
      <c r="V182" s="343"/>
      <c r="W182" s="343"/>
      <c r="X182" s="343"/>
      <c r="Y182" s="343"/>
      <c r="Z182" s="343"/>
      <c r="AA182" s="343"/>
      <c r="AB182" s="343"/>
      <c r="AC182" s="343"/>
      <c r="AD182" s="343"/>
      <c r="AE182" s="343"/>
      <c r="AF182" s="141"/>
      <c r="AG182" s="141"/>
      <c r="AH182" s="141"/>
      <c r="AI182" s="141"/>
      <c r="AJ182" s="141"/>
      <c r="AK182" s="141"/>
      <c r="AL182" s="141"/>
      <c r="AM182" s="141"/>
      <c r="AN182" s="141"/>
    </row>
    <row r="183" spans="1:40" ht="14.5" x14ac:dyDescent="0.35">
      <c r="A183" s="375"/>
      <c r="B183" s="343"/>
      <c r="C183" s="343"/>
      <c r="D183" s="343"/>
      <c r="E183" s="343"/>
      <c r="F183" s="343"/>
      <c r="G183" s="343"/>
      <c r="H183" s="343"/>
      <c r="I183" s="343"/>
      <c r="J183" s="343"/>
      <c r="K183" s="343"/>
      <c r="L183" s="343"/>
      <c r="M183" s="343"/>
      <c r="N183" s="343"/>
      <c r="O183" s="343"/>
      <c r="P183" s="343"/>
      <c r="Q183" s="343"/>
      <c r="R183" s="343"/>
      <c r="S183" s="343"/>
      <c r="T183" s="343"/>
      <c r="U183" s="343"/>
      <c r="V183" s="343"/>
      <c r="W183" s="343"/>
      <c r="X183" s="343"/>
      <c r="Y183" s="343"/>
      <c r="Z183" s="343"/>
      <c r="AA183" s="343"/>
      <c r="AB183" s="343"/>
      <c r="AC183" s="343"/>
      <c r="AD183" s="343"/>
      <c r="AE183" s="343"/>
      <c r="AF183" s="141"/>
      <c r="AG183" s="141"/>
      <c r="AH183" s="141"/>
      <c r="AI183" s="141"/>
      <c r="AJ183" s="141"/>
      <c r="AK183" s="141"/>
      <c r="AL183" s="141"/>
      <c r="AM183" s="141"/>
      <c r="AN183" s="141"/>
    </row>
    <row r="184" spans="1:40" ht="14.5" x14ac:dyDescent="0.35">
      <c r="A184" s="375"/>
      <c r="B184" s="343"/>
      <c r="C184" s="343"/>
      <c r="D184" s="343"/>
      <c r="E184" s="343"/>
      <c r="F184" s="343"/>
      <c r="G184" s="343"/>
      <c r="H184" s="343"/>
      <c r="I184" s="343"/>
      <c r="J184" s="343"/>
      <c r="K184" s="343"/>
      <c r="L184" s="343"/>
      <c r="M184" s="343"/>
      <c r="N184" s="343"/>
      <c r="O184" s="343"/>
      <c r="P184" s="343"/>
      <c r="Q184" s="343"/>
      <c r="R184" s="343"/>
      <c r="S184" s="343"/>
      <c r="T184" s="343"/>
      <c r="U184" s="343"/>
      <c r="V184" s="343"/>
      <c r="W184" s="343"/>
      <c r="X184" s="343"/>
      <c r="Y184" s="343"/>
      <c r="Z184" s="343"/>
      <c r="AA184" s="343"/>
      <c r="AB184" s="343"/>
      <c r="AC184" s="343"/>
      <c r="AD184" s="343"/>
      <c r="AE184" s="343"/>
      <c r="AF184" s="141"/>
      <c r="AG184" s="141"/>
      <c r="AH184" s="141"/>
      <c r="AI184" s="141"/>
      <c r="AJ184" s="141"/>
      <c r="AK184" s="141"/>
      <c r="AL184" s="141"/>
      <c r="AM184" s="141"/>
      <c r="AN184" s="141"/>
    </row>
    <row r="185" spans="1:40" ht="14.5" x14ac:dyDescent="0.35">
      <c r="A185" s="375"/>
      <c r="B185" s="343"/>
      <c r="C185" s="343"/>
      <c r="D185" s="343"/>
      <c r="E185" s="343"/>
      <c r="F185" s="343"/>
      <c r="G185" s="343"/>
      <c r="H185" s="343"/>
      <c r="I185" s="343"/>
      <c r="J185" s="343"/>
      <c r="K185" s="343"/>
      <c r="L185" s="343"/>
      <c r="M185" s="343"/>
      <c r="N185" s="343"/>
      <c r="O185" s="343"/>
      <c r="P185" s="343"/>
      <c r="Q185" s="343"/>
      <c r="R185" s="343"/>
      <c r="S185" s="343"/>
      <c r="T185" s="343"/>
      <c r="U185" s="343"/>
      <c r="V185" s="343"/>
      <c r="W185" s="343"/>
      <c r="X185" s="343"/>
      <c r="Y185" s="343"/>
      <c r="Z185" s="343"/>
      <c r="AA185" s="343"/>
      <c r="AB185" s="343"/>
      <c r="AC185" s="343"/>
      <c r="AD185" s="343"/>
      <c r="AE185" s="343"/>
      <c r="AF185" s="141"/>
      <c r="AG185" s="141"/>
      <c r="AH185" s="141"/>
      <c r="AI185" s="141"/>
      <c r="AJ185" s="141"/>
      <c r="AK185" s="141"/>
      <c r="AL185" s="141"/>
      <c r="AM185" s="141"/>
      <c r="AN185" s="141"/>
    </row>
    <row r="186" spans="1:40" ht="14.5" x14ac:dyDescent="0.35">
      <c r="A186" s="375"/>
      <c r="B186" s="343"/>
      <c r="C186" s="343"/>
      <c r="D186" s="343"/>
      <c r="E186" s="343"/>
      <c r="F186" s="343"/>
      <c r="G186" s="343"/>
      <c r="H186" s="343"/>
      <c r="I186" s="343"/>
      <c r="J186" s="343"/>
      <c r="K186" s="343"/>
      <c r="L186" s="343"/>
      <c r="M186" s="343"/>
      <c r="N186" s="343"/>
      <c r="O186" s="343"/>
      <c r="P186" s="343"/>
      <c r="Q186" s="343"/>
      <c r="R186" s="343"/>
      <c r="S186" s="343"/>
      <c r="T186" s="343"/>
      <c r="U186" s="343"/>
      <c r="V186" s="343"/>
      <c r="W186" s="343"/>
      <c r="X186" s="343"/>
      <c r="Y186" s="343"/>
      <c r="Z186" s="343"/>
      <c r="AA186" s="343"/>
      <c r="AB186" s="343"/>
      <c r="AC186" s="343"/>
      <c r="AD186" s="343"/>
      <c r="AE186" s="343"/>
      <c r="AF186" s="141"/>
      <c r="AG186" s="141"/>
      <c r="AH186" s="141"/>
      <c r="AI186" s="141"/>
      <c r="AJ186" s="141"/>
      <c r="AK186" s="141"/>
      <c r="AL186" s="141"/>
      <c r="AM186" s="141"/>
      <c r="AN186" s="141"/>
    </row>
    <row r="187" spans="1:40" ht="14.5" x14ac:dyDescent="0.35">
      <c r="A187" s="375"/>
      <c r="B187" s="343"/>
      <c r="C187" s="343"/>
      <c r="D187" s="343"/>
      <c r="E187" s="343"/>
      <c r="F187" s="343"/>
      <c r="G187" s="343"/>
      <c r="H187" s="343"/>
      <c r="I187" s="343"/>
      <c r="J187" s="343"/>
      <c r="K187" s="343"/>
      <c r="L187" s="343"/>
      <c r="M187" s="343"/>
      <c r="N187" s="343"/>
      <c r="O187" s="343"/>
      <c r="P187" s="343"/>
      <c r="Q187" s="343"/>
      <c r="R187" s="343"/>
      <c r="S187" s="343"/>
      <c r="T187" s="343"/>
      <c r="U187" s="343"/>
      <c r="V187" s="343"/>
      <c r="W187" s="343"/>
      <c r="X187" s="343"/>
      <c r="Y187" s="343"/>
      <c r="Z187" s="343"/>
      <c r="AA187" s="343"/>
      <c r="AB187" s="343"/>
      <c r="AC187" s="343"/>
      <c r="AD187" s="343"/>
      <c r="AE187" s="343"/>
      <c r="AF187" s="141"/>
      <c r="AG187" s="141"/>
      <c r="AH187" s="141"/>
      <c r="AI187" s="141"/>
      <c r="AJ187" s="141"/>
      <c r="AK187" s="141"/>
      <c r="AL187" s="141"/>
      <c r="AM187" s="141"/>
      <c r="AN187" s="141"/>
    </row>
    <row r="188" spans="1:40" ht="14.5" x14ac:dyDescent="0.35">
      <c r="A188" s="375"/>
      <c r="B188" s="343"/>
      <c r="C188" s="343"/>
      <c r="D188" s="343"/>
      <c r="E188" s="343"/>
      <c r="F188" s="343"/>
      <c r="G188" s="343"/>
      <c r="H188" s="343"/>
      <c r="I188" s="343"/>
      <c r="J188" s="343"/>
      <c r="K188" s="343"/>
      <c r="L188" s="343"/>
      <c r="M188" s="343"/>
      <c r="N188" s="343"/>
      <c r="O188" s="343"/>
      <c r="P188" s="343"/>
      <c r="Q188" s="343"/>
      <c r="R188" s="343"/>
      <c r="S188" s="343"/>
      <c r="T188" s="343"/>
      <c r="U188" s="343"/>
      <c r="V188" s="343"/>
      <c r="W188" s="343"/>
      <c r="X188" s="343"/>
      <c r="Y188" s="343"/>
      <c r="Z188" s="343"/>
      <c r="AA188" s="343"/>
      <c r="AB188" s="343"/>
      <c r="AC188" s="343"/>
      <c r="AD188" s="343"/>
      <c r="AE188" s="343"/>
      <c r="AF188" s="141"/>
      <c r="AG188" s="141"/>
      <c r="AH188" s="141"/>
      <c r="AI188" s="141"/>
      <c r="AJ188" s="141"/>
      <c r="AK188" s="141"/>
      <c r="AL188" s="141"/>
      <c r="AM188" s="141"/>
      <c r="AN188" s="141"/>
    </row>
    <row r="189" spans="1:40" ht="14.5" x14ac:dyDescent="0.35">
      <c r="A189" s="375"/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343"/>
      <c r="AB189" s="343"/>
      <c r="AC189" s="343"/>
      <c r="AD189" s="343"/>
      <c r="AE189" s="343"/>
      <c r="AF189" s="141"/>
      <c r="AG189" s="141"/>
      <c r="AH189" s="141"/>
      <c r="AI189" s="141"/>
      <c r="AJ189" s="141"/>
      <c r="AK189" s="141"/>
      <c r="AL189" s="141"/>
      <c r="AM189" s="141"/>
      <c r="AN189" s="141"/>
    </row>
    <row r="190" spans="1:40" ht="14.5" x14ac:dyDescent="0.35">
      <c r="A190" s="375"/>
      <c r="B190" s="343"/>
      <c r="C190" s="343"/>
      <c r="D190" s="343"/>
      <c r="E190" s="343"/>
      <c r="F190" s="343"/>
      <c r="G190" s="343"/>
      <c r="H190" s="343"/>
      <c r="I190" s="343"/>
      <c r="J190" s="343"/>
      <c r="K190" s="343"/>
      <c r="L190" s="343"/>
      <c r="M190" s="343"/>
      <c r="N190" s="343"/>
      <c r="O190" s="343"/>
      <c r="P190" s="343"/>
      <c r="Q190" s="343"/>
      <c r="R190" s="343"/>
      <c r="S190" s="343"/>
      <c r="T190" s="343"/>
      <c r="U190" s="343"/>
      <c r="V190" s="343"/>
      <c r="W190" s="343"/>
      <c r="X190" s="343"/>
      <c r="Y190" s="343"/>
      <c r="Z190" s="343"/>
      <c r="AA190" s="343"/>
      <c r="AB190" s="343"/>
      <c r="AC190" s="343"/>
      <c r="AD190" s="343"/>
      <c r="AE190" s="343"/>
      <c r="AF190" s="141"/>
      <c r="AG190" s="141"/>
      <c r="AH190" s="141"/>
      <c r="AI190" s="141"/>
      <c r="AJ190" s="141"/>
      <c r="AK190" s="141"/>
      <c r="AL190" s="141"/>
      <c r="AM190" s="141"/>
      <c r="AN190" s="141"/>
    </row>
    <row r="191" spans="1:40" ht="14.5" x14ac:dyDescent="0.35">
      <c r="A191" s="375"/>
      <c r="B191" s="343"/>
      <c r="C191" s="343"/>
      <c r="D191" s="343"/>
      <c r="E191" s="343"/>
      <c r="F191" s="343"/>
      <c r="G191" s="343"/>
      <c r="H191" s="343"/>
      <c r="I191" s="343"/>
      <c r="J191" s="343"/>
      <c r="K191" s="343"/>
      <c r="L191" s="343"/>
      <c r="M191" s="343"/>
      <c r="N191" s="343"/>
      <c r="O191" s="343"/>
      <c r="P191" s="343"/>
      <c r="Q191" s="343"/>
      <c r="R191" s="343"/>
      <c r="S191" s="343"/>
      <c r="T191" s="343"/>
      <c r="U191" s="343"/>
      <c r="V191" s="343"/>
      <c r="W191" s="343"/>
      <c r="X191" s="343"/>
      <c r="Y191" s="343"/>
      <c r="Z191" s="343"/>
      <c r="AA191" s="343"/>
      <c r="AB191" s="343"/>
      <c r="AC191" s="343"/>
      <c r="AD191" s="343"/>
      <c r="AE191" s="343"/>
      <c r="AF191" s="141"/>
      <c r="AG191" s="141"/>
      <c r="AH191" s="141"/>
      <c r="AI191" s="141"/>
      <c r="AJ191" s="141"/>
      <c r="AK191" s="141"/>
      <c r="AL191" s="141"/>
      <c r="AM191" s="141"/>
      <c r="AN191" s="141"/>
    </row>
    <row r="192" spans="1:40" ht="14.5" x14ac:dyDescent="0.35">
      <c r="A192" s="375"/>
      <c r="B192" s="343"/>
      <c r="C192" s="343"/>
      <c r="D192" s="343"/>
      <c r="E192" s="343"/>
      <c r="F192" s="343"/>
      <c r="G192" s="343"/>
      <c r="H192" s="343"/>
      <c r="I192" s="343"/>
      <c r="J192" s="343"/>
      <c r="K192" s="343"/>
      <c r="L192" s="343"/>
      <c r="M192" s="343"/>
      <c r="N192" s="343"/>
      <c r="O192" s="343"/>
      <c r="P192" s="343"/>
      <c r="Q192" s="343"/>
      <c r="R192" s="343"/>
      <c r="S192" s="343"/>
      <c r="T192" s="343"/>
      <c r="U192" s="343"/>
      <c r="V192" s="343"/>
      <c r="W192" s="343"/>
      <c r="X192" s="343"/>
      <c r="Y192" s="343"/>
      <c r="Z192" s="343"/>
      <c r="AA192" s="343"/>
      <c r="AB192" s="343"/>
      <c r="AC192" s="343"/>
      <c r="AD192" s="343"/>
      <c r="AE192" s="343"/>
      <c r="AF192" s="141"/>
      <c r="AG192" s="141"/>
      <c r="AH192" s="141"/>
      <c r="AI192" s="141"/>
      <c r="AJ192" s="141"/>
      <c r="AK192" s="141"/>
      <c r="AL192" s="141"/>
      <c r="AM192" s="141"/>
      <c r="AN192" s="141"/>
    </row>
    <row r="193" spans="1:40" ht="14.5" x14ac:dyDescent="0.35">
      <c r="A193" s="375"/>
      <c r="B193" s="343"/>
      <c r="C193" s="343"/>
      <c r="D193" s="343"/>
      <c r="E193" s="343"/>
      <c r="F193" s="343"/>
      <c r="G193" s="343"/>
      <c r="H193" s="343"/>
      <c r="I193" s="343"/>
      <c r="J193" s="343"/>
      <c r="K193" s="343"/>
      <c r="L193" s="343"/>
      <c r="M193" s="343"/>
      <c r="N193" s="343"/>
      <c r="O193" s="343"/>
      <c r="P193" s="343"/>
      <c r="Q193" s="343"/>
      <c r="R193" s="343"/>
      <c r="S193" s="343"/>
      <c r="T193" s="343"/>
      <c r="U193" s="343"/>
      <c r="V193" s="343"/>
      <c r="W193" s="343"/>
      <c r="X193" s="343"/>
      <c r="Y193" s="343"/>
      <c r="Z193" s="343"/>
      <c r="AA193" s="343"/>
      <c r="AB193" s="343"/>
      <c r="AC193" s="343"/>
      <c r="AD193" s="343"/>
      <c r="AE193" s="343"/>
      <c r="AF193" s="141"/>
      <c r="AG193" s="141"/>
      <c r="AH193" s="141"/>
      <c r="AI193" s="141"/>
      <c r="AJ193" s="141"/>
      <c r="AK193" s="141"/>
      <c r="AL193" s="141"/>
      <c r="AM193" s="141"/>
      <c r="AN193" s="141"/>
    </row>
    <row r="194" spans="1:40" ht="14.5" x14ac:dyDescent="0.35">
      <c r="A194" s="375"/>
      <c r="B194" s="343"/>
      <c r="C194" s="343"/>
      <c r="D194" s="343"/>
      <c r="E194" s="343"/>
      <c r="F194" s="343"/>
      <c r="G194" s="343"/>
      <c r="H194" s="343"/>
      <c r="I194" s="343"/>
      <c r="J194" s="343"/>
      <c r="K194" s="343"/>
      <c r="L194" s="343"/>
      <c r="M194" s="343"/>
      <c r="N194" s="343"/>
      <c r="O194" s="343"/>
      <c r="P194" s="343"/>
      <c r="Q194" s="343"/>
      <c r="R194" s="343"/>
      <c r="S194" s="343"/>
      <c r="T194" s="343"/>
      <c r="U194" s="343"/>
      <c r="V194" s="343"/>
      <c r="W194" s="343"/>
      <c r="X194" s="343"/>
      <c r="Y194" s="343"/>
      <c r="Z194" s="343"/>
      <c r="AA194" s="343"/>
      <c r="AB194" s="343"/>
      <c r="AC194" s="343"/>
      <c r="AD194" s="343"/>
      <c r="AE194" s="343"/>
      <c r="AF194" s="141"/>
      <c r="AG194" s="141"/>
      <c r="AH194" s="141"/>
      <c r="AI194" s="141"/>
      <c r="AJ194" s="141"/>
      <c r="AK194" s="141"/>
      <c r="AL194" s="141"/>
      <c r="AM194" s="141"/>
      <c r="AN194" s="141"/>
    </row>
    <row r="195" spans="1:40" ht="14.5" x14ac:dyDescent="0.35">
      <c r="A195" s="375"/>
      <c r="B195" s="343"/>
      <c r="C195" s="343"/>
      <c r="D195" s="343"/>
      <c r="E195" s="343"/>
      <c r="F195" s="343"/>
      <c r="G195" s="343"/>
      <c r="H195" s="343"/>
      <c r="I195" s="343"/>
      <c r="J195" s="343"/>
      <c r="K195" s="343"/>
      <c r="L195" s="343"/>
      <c r="M195" s="343"/>
      <c r="N195" s="343"/>
      <c r="O195" s="343"/>
      <c r="P195" s="343"/>
      <c r="Q195" s="343"/>
      <c r="R195" s="343"/>
      <c r="S195" s="343"/>
      <c r="T195" s="343"/>
      <c r="U195" s="343"/>
      <c r="V195" s="343"/>
      <c r="W195" s="343"/>
      <c r="X195" s="343"/>
      <c r="Y195" s="343"/>
      <c r="Z195" s="343"/>
      <c r="AA195" s="343"/>
      <c r="AB195" s="343"/>
      <c r="AC195" s="343"/>
      <c r="AD195" s="343"/>
      <c r="AE195" s="343"/>
      <c r="AF195" s="141"/>
      <c r="AG195" s="141"/>
      <c r="AH195" s="141"/>
      <c r="AI195" s="141"/>
      <c r="AJ195" s="141"/>
      <c r="AK195" s="141"/>
      <c r="AL195" s="141"/>
      <c r="AM195" s="141"/>
      <c r="AN195" s="141"/>
    </row>
    <row r="196" spans="1:40" ht="14.5" x14ac:dyDescent="0.35">
      <c r="A196" s="375"/>
      <c r="B196" s="343"/>
      <c r="C196" s="343"/>
      <c r="D196" s="343"/>
      <c r="E196" s="343"/>
      <c r="F196" s="343"/>
      <c r="G196" s="343"/>
      <c r="H196" s="343"/>
      <c r="I196" s="343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141"/>
      <c r="AG196" s="141"/>
      <c r="AH196" s="141"/>
      <c r="AI196" s="141"/>
      <c r="AJ196" s="141"/>
      <c r="AK196" s="141"/>
      <c r="AL196" s="141"/>
      <c r="AM196" s="141"/>
      <c r="AN196" s="141"/>
    </row>
    <row r="197" spans="1:40" ht="14.5" x14ac:dyDescent="0.35">
      <c r="A197" s="375"/>
      <c r="B197" s="343"/>
      <c r="C197" s="343"/>
      <c r="D197" s="343"/>
      <c r="E197" s="343"/>
      <c r="F197" s="343"/>
      <c r="G197" s="343"/>
      <c r="H197" s="343"/>
      <c r="I197" s="343"/>
      <c r="J197" s="343"/>
      <c r="K197" s="343"/>
      <c r="L197" s="343"/>
      <c r="M197" s="343"/>
      <c r="N197" s="343"/>
      <c r="O197" s="343"/>
      <c r="P197" s="343"/>
      <c r="Q197" s="343"/>
      <c r="R197" s="343"/>
      <c r="S197" s="343"/>
      <c r="T197" s="343"/>
      <c r="U197" s="343"/>
      <c r="V197" s="343"/>
      <c r="W197" s="343"/>
      <c r="X197" s="343"/>
      <c r="Y197" s="343"/>
      <c r="Z197" s="343"/>
      <c r="AA197" s="343"/>
      <c r="AB197" s="343"/>
      <c r="AC197" s="343"/>
      <c r="AD197" s="343"/>
      <c r="AE197" s="343"/>
      <c r="AF197" s="141"/>
      <c r="AG197" s="141"/>
      <c r="AH197" s="141"/>
      <c r="AI197" s="141"/>
      <c r="AJ197" s="141"/>
      <c r="AK197" s="141"/>
      <c r="AL197" s="141"/>
      <c r="AM197" s="141"/>
      <c r="AN197" s="141"/>
    </row>
    <row r="198" spans="1:40" ht="14.5" x14ac:dyDescent="0.35">
      <c r="A198" s="375"/>
      <c r="B198" s="343"/>
      <c r="C198" s="343"/>
      <c r="D198" s="343"/>
      <c r="E198" s="343"/>
      <c r="F198" s="343"/>
      <c r="G198" s="343"/>
      <c r="H198" s="343"/>
      <c r="I198" s="343"/>
      <c r="J198" s="343"/>
      <c r="K198" s="343"/>
      <c r="L198" s="343"/>
      <c r="M198" s="343"/>
      <c r="N198" s="343"/>
      <c r="O198" s="343"/>
      <c r="P198" s="343"/>
      <c r="Q198" s="343"/>
      <c r="R198" s="343"/>
      <c r="S198" s="343"/>
      <c r="T198" s="343"/>
      <c r="U198" s="343"/>
      <c r="V198" s="343"/>
      <c r="W198" s="343"/>
      <c r="X198" s="343"/>
      <c r="Y198" s="343"/>
      <c r="Z198" s="343"/>
      <c r="AA198" s="343"/>
      <c r="AB198" s="343"/>
      <c r="AC198" s="343"/>
      <c r="AD198" s="343"/>
      <c r="AE198" s="343"/>
      <c r="AF198" s="141"/>
      <c r="AG198" s="141"/>
      <c r="AH198" s="141"/>
      <c r="AI198" s="141"/>
      <c r="AJ198" s="141"/>
      <c r="AK198" s="141"/>
      <c r="AL198" s="141"/>
      <c r="AM198" s="141"/>
      <c r="AN198" s="141"/>
    </row>
    <row r="199" spans="1:40" ht="14.5" x14ac:dyDescent="0.35">
      <c r="A199" s="375"/>
      <c r="B199" s="343"/>
      <c r="C199" s="343"/>
      <c r="D199" s="343"/>
      <c r="E199" s="343"/>
      <c r="F199" s="343"/>
      <c r="G199" s="343"/>
      <c r="H199" s="343"/>
      <c r="I199" s="343"/>
      <c r="J199" s="343"/>
      <c r="K199" s="343"/>
      <c r="L199" s="343"/>
      <c r="M199" s="343"/>
      <c r="N199" s="343"/>
      <c r="O199" s="343"/>
      <c r="P199" s="343"/>
      <c r="Q199" s="343"/>
      <c r="R199" s="343"/>
      <c r="S199" s="343"/>
      <c r="T199" s="343"/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141"/>
      <c r="AG199" s="141"/>
      <c r="AH199" s="141"/>
      <c r="AI199" s="141"/>
      <c r="AJ199" s="141"/>
      <c r="AK199" s="141"/>
      <c r="AL199" s="141"/>
      <c r="AM199" s="141"/>
      <c r="AN199" s="141"/>
    </row>
    <row r="200" spans="1:40" ht="14.5" x14ac:dyDescent="0.35">
      <c r="A200" s="375"/>
      <c r="B200" s="343"/>
      <c r="C200" s="343"/>
      <c r="D200" s="343"/>
      <c r="E200" s="343"/>
      <c r="F200" s="343"/>
      <c r="G200" s="343"/>
      <c r="H200" s="343"/>
      <c r="I200" s="343"/>
      <c r="J200" s="343"/>
      <c r="K200" s="343"/>
      <c r="L200" s="343"/>
      <c r="M200" s="343"/>
      <c r="N200" s="343"/>
      <c r="O200" s="343"/>
      <c r="P200" s="343"/>
      <c r="Q200" s="343"/>
      <c r="R200" s="343"/>
      <c r="S200" s="343"/>
      <c r="T200" s="343"/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141"/>
      <c r="AG200" s="141"/>
      <c r="AH200" s="141"/>
      <c r="AI200" s="141"/>
      <c r="AJ200" s="141"/>
      <c r="AK200" s="141"/>
      <c r="AL200" s="141"/>
      <c r="AM200" s="141"/>
      <c r="AN200" s="141"/>
    </row>
    <row r="201" spans="1:40" ht="14.5" x14ac:dyDescent="0.35">
      <c r="A201" s="375"/>
      <c r="B201" s="343"/>
      <c r="C201" s="343"/>
      <c r="D201" s="343"/>
      <c r="E201" s="343"/>
      <c r="F201" s="343"/>
      <c r="G201" s="343"/>
      <c r="H201" s="343"/>
      <c r="I201" s="343"/>
      <c r="J201" s="343"/>
      <c r="K201" s="343"/>
      <c r="L201" s="343"/>
      <c r="M201" s="343"/>
      <c r="N201" s="343"/>
      <c r="O201" s="343"/>
      <c r="P201" s="343"/>
      <c r="Q201" s="343"/>
      <c r="R201" s="343"/>
      <c r="S201" s="343"/>
      <c r="T201" s="343"/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141"/>
      <c r="AG201" s="141"/>
      <c r="AH201" s="141"/>
      <c r="AI201" s="141"/>
      <c r="AJ201" s="141"/>
      <c r="AK201" s="141"/>
      <c r="AL201" s="141"/>
      <c r="AM201" s="141"/>
      <c r="AN201" s="141"/>
    </row>
    <row r="202" spans="1:40" ht="14.5" x14ac:dyDescent="0.35">
      <c r="A202" s="375"/>
      <c r="B202" s="343"/>
      <c r="C202" s="343"/>
      <c r="D202" s="343"/>
      <c r="E202" s="343"/>
      <c r="F202" s="343"/>
      <c r="G202" s="343"/>
      <c r="H202" s="343"/>
      <c r="I202" s="343"/>
      <c r="J202" s="343"/>
      <c r="K202" s="343"/>
      <c r="L202" s="343"/>
      <c r="M202" s="343"/>
      <c r="N202" s="343"/>
      <c r="O202" s="343"/>
      <c r="P202" s="343"/>
      <c r="Q202" s="343"/>
      <c r="R202" s="343"/>
      <c r="S202" s="343"/>
      <c r="T202" s="343"/>
      <c r="U202" s="343"/>
      <c r="V202" s="343"/>
      <c r="W202" s="343"/>
      <c r="X202" s="343"/>
      <c r="Y202" s="343"/>
      <c r="Z202" s="343"/>
      <c r="AA202" s="343"/>
      <c r="AB202" s="343"/>
      <c r="AC202" s="343"/>
      <c r="AD202" s="343"/>
      <c r="AE202" s="343"/>
      <c r="AF202" s="141"/>
      <c r="AG202" s="141"/>
      <c r="AH202" s="141"/>
      <c r="AI202" s="141"/>
      <c r="AJ202" s="141"/>
      <c r="AK202" s="141"/>
      <c r="AL202" s="141"/>
      <c r="AM202" s="141"/>
      <c r="AN202" s="141"/>
    </row>
    <row r="203" spans="1:40" ht="14.5" x14ac:dyDescent="0.35">
      <c r="A203" s="375"/>
      <c r="B203" s="343"/>
      <c r="C203" s="343"/>
      <c r="D203" s="343"/>
      <c r="E203" s="343"/>
      <c r="F203" s="343"/>
      <c r="G203" s="343"/>
      <c r="H203" s="343"/>
      <c r="I203" s="343"/>
      <c r="J203" s="343"/>
      <c r="K203" s="343"/>
      <c r="L203" s="343"/>
      <c r="M203" s="343"/>
      <c r="N203" s="343"/>
      <c r="O203" s="343"/>
      <c r="P203" s="343"/>
      <c r="Q203" s="343"/>
      <c r="R203" s="343"/>
      <c r="S203" s="343"/>
      <c r="T203" s="343"/>
      <c r="U203" s="343"/>
      <c r="V203" s="343"/>
      <c r="W203" s="343"/>
      <c r="X203" s="343"/>
      <c r="Y203" s="343"/>
      <c r="Z203" s="343"/>
      <c r="AA203" s="343"/>
      <c r="AB203" s="343"/>
      <c r="AC203" s="343"/>
      <c r="AD203" s="343"/>
      <c r="AE203" s="343"/>
      <c r="AF203" s="141"/>
      <c r="AG203" s="141"/>
      <c r="AH203" s="141"/>
      <c r="AI203" s="141"/>
      <c r="AJ203" s="141"/>
      <c r="AK203" s="141"/>
      <c r="AL203" s="141"/>
      <c r="AM203" s="141"/>
      <c r="AN203" s="141"/>
    </row>
    <row r="204" spans="1:40" ht="14.5" x14ac:dyDescent="0.35">
      <c r="A204" s="375"/>
      <c r="B204" s="343"/>
      <c r="C204" s="343"/>
      <c r="D204" s="343"/>
      <c r="E204" s="343"/>
      <c r="F204" s="343"/>
      <c r="G204" s="343"/>
      <c r="H204" s="343"/>
      <c r="I204" s="343"/>
      <c r="J204" s="343"/>
      <c r="K204" s="343"/>
      <c r="L204" s="343"/>
      <c r="M204" s="343"/>
      <c r="N204" s="343"/>
      <c r="O204" s="343"/>
      <c r="P204" s="343"/>
      <c r="Q204" s="343"/>
      <c r="R204" s="343"/>
      <c r="S204" s="343"/>
      <c r="T204" s="343"/>
      <c r="U204" s="343"/>
      <c r="V204" s="343"/>
      <c r="W204" s="343"/>
      <c r="X204" s="343"/>
      <c r="Y204" s="343"/>
      <c r="Z204" s="343"/>
      <c r="AA204" s="343"/>
      <c r="AB204" s="343"/>
      <c r="AC204" s="343"/>
      <c r="AD204" s="343"/>
      <c r="AE204" s="343"/>
      <c r="AF204" s="141"/>
      <c r="AG204" s="141"/>
      <c r="AH204" s="141"/>
      <c r="AI204" s="141"/>
      <c r="AJ204" s="141"/>
      <c r="AK204" s="141"/>
      <c r="AL204" s="141"/>
      <c r="AM204" s="141"/>
      <c r="AN204" s="141"/>
    </row>
    <row r="205" spans="1:40" ht="14.5" x14ac:dyDescent="0.35">
      <c r="A205" s="375"/>
      <c r="B205" s="343"/>
      <c r="C205" s="343"/>
      <c r="D205" s="343"/>
      <c r="E205" s="343"/>
      <c r="F205" s="343"/>
      <c r="G205" s="343"/>
      <c r="H205" s="343"/>
      <c r="I205" s="343"/>
      <c r="J205" s="343"/>
      <c r="K205" s="343"/>
      <c r="L205" s="343"/>
      <c r="M205" s="343"/>
      <c r="N205" s="343"/>
      <c r="O205" s="343"/>
      <c r="P205" s="343"/>
      <c r="Q205" s="343"/>
      <c r="R205" s="343"/>
      <c r="S205" s="343"/>
      <c r="T205" s="343"/>
      <c r="U205" s="343"/>
      <c r="V205" s="343"/>
      <c r="W205" s="343"/>
      <c r="X205" s="343"/>
      <c r="Y205" s="343"/>
      <c r="Z205" s="343"/>
      <c r="AA205" s="343"/>
      <c r="AB205" s="343"/>
      <c r="AC205" s="343"/>
      <c r="AD205" s="343"/>
      <c r="AE205" s="343"/>
      <c r="AF205" s="141"/>
      <c r="AG205" s="141"/>
      <c r="AH205" s="141"/>
      <c r="AI205" s="141"/>
      <c r="AJ205" s="141"/>
      <c r="AK205" s="141"/>
      <c r="AL205" s="141"/>
      <c r="AM205" s="141"/>
      <c r="AN205" s="141"/>
    </row>
    <row r="206" spans="1:40" ht="14.5" x14ac:dyDescent="0.35">
      <c r="A206" s="375"/>
      <c r="B206" s="343"/>
      <c r="C206" s="343"/>
      <c r="D206" s="343"/>
      <c r="E206" s="343"/>
      <c r="F206" s="343"/>
      <c r="G206" s="343"/>
      <c r="H206" s="343"/>
      <c r="I206" s="343"/>
      <c r="J206" s="343"/>
      <c r="K206" s="343"/>
      <c r="L206" s="343"/>
      <c r="M206" s="343"/>
      <c r="N206" s="343"/>
      <c r="O206" s="343"/>
      <c r="P206" s="343"/>
      <c r="Q206" s="343"/>
      <c r="R206" s="343"/>
      <c r="S206" s="343"/>
      <c r="T206" s="343"/>
      <c r="U206" s="343"/>
      <c r="V206" s="343"/>
      <c r="W206" s="343"/>
      <c r="X206" s="343"/>
      <c r="Y206" s="343"/>
      <c r="Z206" s="343"/>
      <c r="AA206" s="343"/>
      <c r="AB206" s="343"/>
      <c r="AC206" s="343"/>
      <c r="AD206" s="343"/>
      <c r="AE206" s="343"/>
      <c r="AF206" s="141"/>
      <c r="AG206" s="141"/>
      <c r="AH206" s="141"/>
      <c r="AI206" s="141"/>
      <c r="AJ206" s="141"/>
      <c r="AK206" s="141"/>
      <c r="AL206" s="141"/>
      <c r="AM206" s="141"/>
      <c r="AN206" s="141"/>
    </row>
    <row r="207" spans="1:40" ht="14.5" x14ac:dyDescent="0.35">
      <c r="A207" s="375"/>
      <c r="B207" s="343"/>
      <c r="C207" s="343"/>
      <c r="D207" s="343"/>
      <c r="E207" s="343"/>
      <c r="F207" s="343"/>
      <c r="G207" s="343"/>
      <c r="H207" s="343"/>
      <c r="I207" s="343"/>
      <c r="J207" s="343"/>
      <c r="K207" s="343"/>
      <c r="L207" s="343"/>
      <c r="M207" s="343"/>
      <c r="N207" s="343"/>
      <c r="O207" s="343"/>
      <c r="P207" s="343"/>
      <c r="Q207" s="343"/>
      <c r="R207" s="343"/>
      <c r="S207" s="343"/>
      <c r="T207" s="343"/>
      <c r="U207" s="343"/>
      <c r="V207" s="343"/>
      <c r="W207" s="343"/>
      <c r="X207" s="343"/>
      <c r="Y207" s="343"/>
      <c r="Z207" s="343"/>
      <c r="AA207" s="343"/>
      <c r="AB207" s="343"/>
      <c r="AC207" s="343"/>
      <c r="AD207" s="343"/>
      <c r="AE207" s="343"/>
      <c r="AF207" s="141"/>
      <c r="AG207" s="141"/>
      <c r="AH207" s="141"/>
      <c r="AI207" s="141"/>
      <c r="AJ207" s="141"/>
      <c r="AK207" s="141"/>
      <c r="AL207" s="141"/>
      <c r="AM207" s="141"/>
      <c r="AN207" s="141"/>
    </row>
    <row r="208" spans="1:40" ht="14.5" x14ac:dyDescent="0.35">
      <c r="A208" s="375"/>
      <c r="B208" s="343"/>
      <c r="C208" s="343"/>
      <c r="D208" s="343"/>
      <c r="E208" s="343"/>
      <c r="F208" s="343"/>
      <c r="G208" s="343"/>
      <c r="H208" s="343"/>
      <c r="I208" s="343"/>
      <c r="J208" s="343"/>
      <c r="K208" s="343"/>
      <c r="L208" s="343"/>
      <c r="M208" s="343"/>
      <c r="N208" s="343"/>
      <c r="O208" s="343"/>
      <c r="P208" s="343"/>
      <c r="Q208" s="343"/>
      <c r="R208" s="343"/>
      <c r="S208" s="343"/>
      <c r="T208" s="343"/>
      <c r="U208" s="343"/>
      <c r="V208" s="343"/>
      <c r="W208" s="343"/>
      <c r="X208" s="343"/>
      <c r="Y208" s="343"/>
      <c r="Z208" s="343"/>
      <c r="AA208" s="343"/>
      <c r="AB208" s="343"/>
      <c r="AC208" s="343"/>
      <c r="AD208" s="343"/>
      <c r="AE208" s="343"/>
      <c r="AF208" s="141"/>
      <c r="AG208" s="141"/>
      <c r="AH208" s="141"/>
      <c r="AI208" s="141"/>
      <c r="AJ208" s="141"/>
      <c r="AK208" s="141"/>
      <c r="AL208" s="141"/>
      <c r="AM208" s="141"/>
      <c r="AN208" s="141"/>
    </row>
    <row r="209" spans="1:40" ht="14.5" x14ac:dyDescent="0.35">
      <c r="A209" s="375"/>
      <c r="B209" s="343"/>
      <c r="C209" s="343"/>
      <c r="D209" s="343"/>
      <c r="E209" s="343"/>
      <c r="F209" s="343"/>
      <c r="G209" s="343"/>
      <c r="H209" s="343"/>
      <c r="I209" s="343"/>
      <c r="J209" s="343"/>
      <c r="K209" s="343"/>
      <c r="L209" s="343"/>
      <c r="M209" s="343"/>
      <c r="N209" s="343"/>
      <c r="O209" s="343"/>
      <c r="P209" s="343"/>
      <c r="Q209" s="343"/>
      <c r="R209" s="343"/>
      <c r="S209" s="343"/>
      <c r="T209" s="343"/>
      <c r="U209" s="343"/>
      <c r="V209" s="343"/>
      <c r="W209" s="343"/>
      <c r="X209" s="343"/>
      <c r="Y209" s="343"/>
      <c r="Z209" s="343"/>
      <c r="AA209" s="343"/>
      <c r="AB209" s="343"/>
      <c r="AC209" s="343"/>
      <c r="AD209" s="343"/>
      <c r="AE209" s="343"/>
      <c r="AF209" s="141"/>
      <c r="AG209" s="141"/>
      <c r="AH209" s="141"/>
      <c r="AI209" s="141"/>
      <c r="AJ209" s="141"/>
      <c r="AK209" s="141"/>
      <c r="AL209" s="141"/>
      <c r="AM209" s="141"/>
      <c r="AN209" s="141"/>
    </row>
    <row r="210" spans="1:40" ht="14.5" x14ac:dyDescent="0.35">
      <c r="A210" s="375"/>
      <c r="B210" s="343"/>
      <c r="C210" s="343"/>
      <c r="D210" s="343"/>
      <c r="E210" s="343"/>
      <c r="F210" s="343"/>
      <c r="G210" s="343"/>
      <c r="H210" s="343"/>
      <c r="I210" s="343"/>
      <c r="J210" s="343"/>
      <c r="K210" s="343"/>
      <c r="L210" s="343"/>
      <c r="M210" s="343"/>
      <c r="N210" s="343"/>
      <c r="O210" s="343"/>
      <c r="P210" s="343"/>
      <c r="Q210" s="343"/>
      <c r="R210" s="343"/>
      <c r="S210" s="343"/>
      <c r="T210" s="343"/>
      <c r="U210" s="343"/>
      <c r="V210" s="343"/>
      <c r="W210" s="343"/>
      <c r="X210" s="343"/>
      <c r="Y210" s="343"/>
      <c r="Z210" s="343"/>
      <c r="AA210" s="343"/>
      <c r="AB210" s="343"/>
      <c r="AC210" s="343"/>
      <c r="AD210" s="343"/>
      <c r="AE210" s="343"/>
      <c r="AF210" s="141"/>
      <c r="AG210" s="141"/>
      <c r="AH210" s="141"/>
      <c r="AI210" s="141"/>
      <c r="AJ210" s="141"/>
      <c r="AK210" s="141"/>
      <c r="AL210" s="141"/>
      <c r="AM210" s="141"/>
      <c r="AN210" s="141"/>
    </row>
    <row r="211" spans="1:40" ht="14.5" x14ac:dyDescent="0.35">
      <c r="A211" s="375"/>
      <c r="B211" s="343"/>
      <c r="C211" s="343"/>
      <c r="D211" s="343"/>
      <c r="E211" s="343"/>
      <c r="F211" s="343"/>
      <c r="G211" s="343"/>
      <c r="H211" s="343"/>
      <c r="I211" s="343"/>
      <c r="J211" s="343"/>
      <c r="K211" s="343"/>
      <c r="L211" s="343"/>
      <c r="M211" s="343"/>
      <c r="N211" s="343"/>
      <c r="O211" s="343"/>
      <c r="P211" s="343"/>
      <c r="Q211" s="343"/>
      <c r="R211" s="343"/>
      <c r="S211" s="343"/>
      <c r="T211" s="343"/>
      <c r="U211" s="343"/>
      <c r="V211" s="343"/>
      <c r="W211" s="343"/>
      <c r="X211" s="343"/>
      <c r="Y211" s="343"/>
      <c r="Z211" s="343"/>
      <c r="AA211" s="343"/>
      <c r="AB211" s="343"/>
      <c r="AC211" s="343"/>
      <c r="AD211" s="343"/>
      <c r="AE211" s="343"/>
      <c r="AF211" s="141"/>
      <c r="AG211" s="141"/>
      <c r="AH211" s="141"/>
      <c r="AI211" s="141"/>
      <c r="AJ211" s="141"/>
      <c r="AK211" s="141"/>
      <c r="AL211" s="141"/>
      <c r="AM211" s="141"/>
      <c r="AN211" s="141"/>
    </row>
    <row r="212" spans="1:40" ht="14.5" x14ac:dyDescent="0.35">
      <c r="A212" s="375"/>
      <c r="B212" s="343"/>
      <c r="C212" s="343"/>
      <c r="D212" s="343"/>
      <c r="E212" s="343"/>
      <c r="F212" s="343"/>
      <c r="G212" s="343"/>
      <c r="H212" s="343"/>
      <c r="I212" s="343"/>
      <c r="J212" s="343"/>
      <c r="K212" s="343"/>
      <c r="L212" s="343"/>
      <c r="M212" s="343"/>
      <c r="N212" s="343"/>
      <c r="O212" s="343"/>
      <c r="P212" s="343"/>
      <c r="Q212" s="343"/>
      <c r="R212" s="343"/>
      <c r="S212" s="343"/>
      <c r="T212" s="343"/>
      <c r="U212" s="343"/>
      <c r="V212" s="343"/>
      <c r="W212" s="343"/>
      <c r="X212" s="343"/>
      <c r="Y212" s="343"/>
      <c r="Z212" s="343"/>
      <c r="AA212" s="343"/>
      <c r="AB212" s="343"/>
      <c r="AC212" s="343"/>
      <c r="AD212" s="343"/>
      <c r="AE212" s="343"/>
      <c r="AF212" s="141"/>
      <c r="AG212" s="141"/>
      <c r="AH212" s="141"/>
      <c r="AI212" s="141"/>
      <c r="AJ212" s="141"/>
      <c r="AK212" s="141"/>
      <c r="AL212" s="141"/>
      <c r="AM212" s="141"/>
      <c r="AN212" s="141"/>
    </row>
    <row r="213" spans="1:40" ht="14.5" x14ac:dyDescent="0.35">
      <c r="A213" s="375"/>
      <c r="B213" s="343"/>
      <c r="C213" s="343"/>
      <c r="D213" s="343"/>
      <c r="E213" s="343"/>
      <c r="F213" s="343"/>
      <c r="G213" s="343"/>
      <c r="H213" s="343"/>
      <c r="I213" s="343"/>
      <c r="J213" s="343"/>
      <c r="K213" s="343"/>
      <c r="L213" s="343"/>
      <c r="M213" s="343"/>
      <c r="N213" s="343"/>
      <c r="O213" s="343"/>
      <c r="P213" s="343"/>
      <c r="Q213" s="343"/>
      <c r="R213" s="343"/>
      <c r="S213" s="343"/>
      <c r="T213" s="343"/>
      <c r="U213" s="343"/>
      <c r="V213" s="343"/>
      <c r="W213" s="343"/>
      <c r="X213" s="343"/>
      <c r="Y213" s="343"/>
      <c r="Z213" s="343"/>
      <c r="AA213" s="343"/>
      <c r="AB213" s="343"/>
      <c r="AC213" s="343"/>
      <c r="AD213" s="343"/>
      <c r="AE213" s="343"/>
      <c r="AF213" s="141"/>
      <c r="AG213" s="141"/>
      <c r="AH213" s="141"/>
      <c r="AI213" s="141"/>
      <c r="AJ213" s="141"/>
      <c r="AK213" s="141"/>
      <c r="AL213" s="141"/>
      <c r="AM213" s="141"/>
      <c r="AN213" s="141"/>
    </row>
    <row r="214" spans="1:40" ht="14.5" x14ac:dyDescent="0.35">
      <c r="A214" s="375"/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343"/>
      <c r="AB214" s="343"/>
      <c r="AC214" s="343"/>
      <c r="AD214" s="343"/>
      <c r="AE214" s="343"/>
      <c r="AF214" s="141"/>
      <c r="AG214" s="141"/>
      <c r="AH214" s="141"/>
      <c r="AI214" s="141"/>
      <c r="AJ214" s="141"/>
      <c r="AK214" s="141"/>
      <c r="AL214" s="141"/>
      <c r="AM214" s="141"/>
      <c r="AN214" s="141"/>
    </row>
    <row r="215" spans="1:40" ht="14.5" x14ac:dyDescent="0.35">
      <c r="A215" s="375"/>
      <c r="B215" s="343"/>
      <c r="C215" s="343"/>
      <c r="D215" s="343"/>
      <c r="E215" s="343"/>
      <c r="F215" s="343"/>
      <c r="G215" s="343"/>
      <c r="H215" s="343"/>
      <c r="I215" s="343"/>
      <c r="J215" s="343"/>
      <c r="K215" s="343"/>
      <c r="L215" s="343"/>
      <c r="M215" s="343"/>
      <c r="N215" s="343"/>
      <c r="O215" s="343"/>
      <c r="P215" s="343"/>
      <c r="Q215" s="343"/>
      <c r="R215" s="343"/>
      <c r="S215" s="343"/>
      <c r="T215" s="343"/>
      <c r="U215" s="343"/>
      <c r="V215" s="343"/>
      <c r="W215" s="343"/>
      <c r="X215" s="343"/>
      <c r="Y215" s="343"/>
      <c r="Z215" s="343"/>
      <c r="AA215" s="343"/>
      <c r="AB215" s="343"/>
      <c r="AC215" s="343"/>
      <c r="AD215" s="343"/>
      <c r="AE215" s="343"/>
      <c r="AF215" s="141"/>
      <c r="AG215" s="141"/>
      <c r="AH215" s="141"/>
      <c r="AI215" s="141"/>
      <c r="AJ215" s="141"/>
      <c r="AK215" s="141"/>
      <c r="AL215" s="141"/>
      <c r="AM215" s="141"/>
      <c r="AN215" s="141"/>
    </row>
    <row r="216" spans="1:40" ht="14.5" x14ac:dyDescent="0.35">
      <c r="A216" s="375"/>
      <c r="B216" s="343"/>
      <c r="C216" s="343"/>
      <c r="D216" s="343"/>
      <c r="E216" s="343"/>
      <c r="F216" s="343"/>
      <c r="G216" s="343"/>
      <c r="H216" s="343"/>
      <c r="I216" s="343"/>
      <c r="J216" s="343"/>
      <c r="K216" s="343"/>
      <c r="L216" s="343"/>
      <c r="M216" s="343"/>
      <c r="N216" s="343"/>
      <c r="O216" s="343"/>
      <c r="P216" s="343"/>
      <c r="Q216" s="343"/>
      <c r="R216" s="343"/>
      <c r="S216" s="343"/>
      <c r="T216" s="343"/>
      <c r="U216" s="343"/>
      <c r="V216" s="343"/>
      <c r="W216" s="343"/>
      <c r="X216" s="343"/>
      <c r="Y216" s="343"/>
      <c r="Z216" s="343"/>
      <c r="AA216" s="343"/>
      <c r="AB216" s="343"/>
      <c r="AC216" s="343"/>
      <c r="AD216" s="343"/>
      <c r="AE216" s="343"/>
      <c r="AF216" s="141"/>
      <c r="AG216" s="141"/>
      <c r="AH216" s="141"/>
      <c r="AI216" s="141"/>
      <c r="AJ216" s="141"/>
      <c r="AK216" s="141"/>
      <c r="AL216" s="141"/>
      <c r="AM216" s="141"/>
      <c r="AN216" s="141"/>
    </row>
    <row r="217" spans="1:40" ht="14.5" x14ac:dyDescent="0.35">
      <c r="A217" s="375"/>
      <c r="B217" s="343"/>
      <c r="C217" s="343"/>
      <c r="D217" s="343"/>
      <c r="E217" s="343"/>
      <c r="F217" s="343"/>
      <c r="G217" s="343"/>
      <c r="H217" s="343"/>
      <c r="I217" s="343"/>
      <c r="J217" s="343"/>
      <c r="K217" s="343"/>
      <c r="L217" s="343"/>
      <c r="M217" s="343"/>
      <c r="N217" s="343"/>
      <c r="O217" s="343"/>
      <c r="P217" s="343"/>
      <c r="Q217" s="343"/>
      <c r="R217" s="343"/>
      <c r="S217" s="343"/>
      <c r="T217" s="343"/>
      <c r="U217" s="343"/>
      <c r="V217" s="343"/>
      <c r="W217" s="343"/>
      <c r="X217" s="343"/>
      <c r="Y217" s="343"/>
      <c r="Z217" s="343"/>
      <c r="AA217" s="343"/>
      <c r="AB217" s="343"/>
      <c r="AC217" s="343"/>
      <c r="AD217" s="343"/>
      <c r="AE217" s="343"/>
      <c r="AF217" s="141"/>
      <c r="AG217" s="141"/>
      <c r="AH217" s="141"/>
      <c r="AI217" s="141"/>
      <c r="AJ217" s="141"/>
      <c r="AK217" s="141"/>
      <c r="AL217" s="141"/>
      <c r="AM217" s="141"/>
      <c r="AN217" s="141"/>
    </row>
    <row r="218" spans="1:40" ht="14.5" x14ac:dyDescent="0.35">
      <c r="A218" s="375"/>
      <c r="B218" s="343"/>
      <c r="C218" s="343"/>
      <c r="D218" s="343"/>
      <c r="E218" s="343"/>
      <c r="F218" s="343"/>
      <c r="G218" s="343"/>
      <c r="H218" s="343"/>
      <c r="I218" s="343"/>
      <c r="J218" s="343"/>
      <c r="K218" s="343"/>
      <c r="L218" s="343"/>
      <c r="M218" s="343"/>
      <c r="N218" s="343"/>
      <c r="O218" s="343"/>
      <c r="P218" s="343"/>
      <c r="Q218" s="343"/>
      <c r="R218" s="343"/>
      <c r="S218" s="343"/>
      <c r="T218" s="343"/>
      <c r="U218" s="343"/>
      <c r="V218" s="343"/>
      <c r="W218" s="343"/>
      <c r="X218" s="343"/>
      <c r="Y218" s="343"/>
      <c r="Z218" s="343"/>
      <c r="AA218" s="343"/>
      <c r="AB218" s="343"/>
      <c r="AC218" s="343"/>
      <c r="AD218" s="343"/>
      <c r="AE218" s="343"/>
      <c r="AF218" s="141"/>
      <c r="AG218" s="141"/>
      <c r="AH218" s="141"/>
      <c r="AI218" s="141"/>
      <c r="AJ218" s="141"/>
      <c r="AK218" s="141"/>
      <c r="AL218" s="141"/>
      <c r="AM218" s="141"/>
      <c r="AN218" s="141"/>
    </row>
    <row r="219" spans="1:40" ht="14.5" x14ac:dyDescent="0.35">
      <c r="A219" s="375"/>
      <c r="B219" s="343"/>
      <c r="C219" s="343"/>
      <c r="D219" s="343"/>
      <c r="E219" s="343"/>
      <c r="F219" s="343"/>
      <c r="G219" s="343"/>
      <c r="H219" s="343"/>
      <c r="I219" s="343"/>
      <c r="J219" s="343"/>
      <c r="K219" s="343"/>
      <c r="L219" s="343"/>
      <c r="M219" s="343"/>
      <c r="N219" s="343"/>
      <c r="O219" s="343"/>
      <c r="P219" s="343"/>
      <c r="Q219" s="343"/>
      <c r="R219" s="343"/>
      <c r="S219" s="343"/>
      <c r="T219" s="343"/>
      <c r="U219" s="343"/>
      <c r="V219" s="343"/>
      <c r="W219" s="343"/>
      <c r="X219" s="343"/>
      <c r="Y219" s="343"/>
      <c r="Z219" s="343"/>
      <c r="AA219" s="343"/>
      <c r="AB219" s="343"/>
      <c r="AC219" s="343"/>
      <c r="AD219" s="343"/>
      <c r="AE219" s="343"/>
      <c r="AF219" s="141"/>
      <c r="AG219" s="141"/>
      <c r="AH219" s="141"/>
      <c r="AI219" s="141"/>
      <c r="AJ219" s="141"/>
      <c r="AK219" s="141"/>
      <c r="AL219" s="141"/>
      <c r="AM219" s="141"/>
      <c r="AN219" s="141"/>
    </row>
    <row r="220" spans="1:40" ht="14.5" x14ac:dyDescent="0.35">
      <c r="A220" s="375"/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343"/>
      <c r="AB220" s="343"/>
      <c r="AC220" s="343"/>
      <c r="AD220" s="343"/>
      <c r="AE220" s="343"/>
      <c r="AF220" s="141"/>
      <c r="AG220" s="141"/>
      <c r="AH220" s="141"/>
      <c r="AI220" s="141"/>
      <c r="AJ220" s="141"/>
      <c r="AK220" s="141"/>
      <c r="AL220" s="141"/>
      <c r="AM220" s="141"/>
      <c r="AN220" s="141"/>
    </row>
    <row r="221" spans="1:40" ht="14.5" x14ac:dyDescent="0.35">
      <c r="A221" s="375"/>
      <c r="B221" s="343"/>
      <c r="C221" s="343"/>
      <c r="D221" s="343"/>
      <c r="E221" s="343"/>
      <c r="F221" s="343"/>
      <c r="G221" s="343"/>
      <c r="H221" s="343"/>
      <c r="I221" s="343"/>
      <c r="J221" s="343"/>
      <c r="K221" s="343"/>
      <c r="L221" s="343"/>
      <c r="M221" s="343"/>
      <c r="N221" s="343"/>
      <c r="O221" s="343"/>
      <c r="P221" s="343"/>
      <c r="Q221" s="343"/>
      <c r="R221" s="343"/>
      <c r="S221" s="343"/>
      <c r="T221" s="343"/>
      <c r="U221" s="343"/>
      <c r="V221" s="343"/>
      <c r="W221" s="343"/>
      <c r="X221" s="343"/>
      <c r="Y221" s="343"/>
      <c r="Z221" s="343"/>
      <c r="AA221" s="343"/>
      <c r="AB221" s="343"/>
      <c r="AC221" s="343"/>
      <c r="AD221" s="343"/>
      <c r="AE221" s="343"/>
      <c r="AF221" s="141"/>
      <c r="AG221" s="141"/>
      <c r="AH221" s="141"/>
      <c r="AI221" s="141"/>
      <c r="AJ221" s="141"/>
      <c r="AK221" s="141"/>
      <c r="AL221" s="141"/>
      <c r="AM221" s="141"/>
      <c r="AN221" s="141"/>
    </row>
    <row r="222" spans="1:40" ht="14.5" x14ac:dyDescent="0.35">
      <c r="A222" s="375"/>
      <c r="B222" s="343"/>
      <c r="C222" s="343"/>
      <c r="D222" s="343"/>
      <c r="E222" s="343"/>
      <c r="F222" s="343"/>
      <c r="G222" s="343"/>
      <c r="H222" s="343"/>
      <c r="I222" s="343"/>
      <c r="J222" s="343"/>
      <c r="K222" s="343"/>
      <c r="L222" s="343"/>
      <c r="M222" s="343"/>
      <c r="N222" s="343"/>
      <c r="O222" s="343"/>
      <c r="P222" s="343"/>
      <c r="Q222" s="343"/>
      <c r="R222" s="343"/>
      <c r="S222" s="343"/>
      <c r="T222" s="343"/>
      <c r="U222" s="343"/>
      <c r="V222" s="343"/>
      <c r="W222" s="343"/>
      <c r="X222" s="343"/>
      <c r="Y222" s="343"/>
      <c r="Z222" s="343"/>
      <c r="AA222" s="343"/>
      <c r="AB222" s="343"/>
      <c r="AC222" s="343"/>
      <c r="AD222" s="343"/>
      <c r="AE222" s="343"/>
      <c r="AF222" s="141"/>
      <c r="AG222" s="141"/>
      <c r="AH222" s="141"/>
      <c r="AI222" s="141"/>
      <c r="AJ222" s="141"/>
      <c r="AK222" s="141"/>
      <c r="AL222" s="141"/>
      <c r="AM222" s="141"/>
      <c r="AN222" s="141"/>
    </row>
    <row r="223" spans="1:40" ht="14.5" x14ac:dyDescent="0.35">
      <c r="A223" s="375"/>
      <c r="B223" s="343"/>
      <c r="C223" s="343"/>
      <c r="D223" s="343"/>
      <c r="E223" s="343"/>
      <c r="F223" s="343"/>
      <c r="G223" s="343"/>
      <c r="H223" s="343"/>
      <c r="I223" s="343"/>
      <c r="J223" s="343"/>
      <c r="K223" s="343"/>
      <c r="L223" s="343"/>
      <c r="M223" s="343"/>
      <c r="N223" s="343"/>
      <c r="O223" s="343"/>
      <c r="P223" s="343"/>
      <c r="Q223" s="343"/>
      <c r="R223" s="343"/>
      <c r="S223" s="343"/>
      <c r="T223" s="343"/>
      <c r="U223" s="343"/>
      <c r="V223" s="343"/>
      <c r="W223" s="343"/>
      <c r="X223" s="343"/>
      <c r="Y223" s="343"/>
      <c r="Z223" s="343"/>
      <c r="AA223" s="343"/>
      <c r="AB223" s="343"/>
      <c r="AC223" s="343"/>
      <c r="AD223" s="343"/>
      <c r="AE223" s="343"/>
      <c r="AF223" s="141"/>
      <c r="AG223" s="141"/>
      <c r="AH223" s="141"/>
      <c r="AI223" s="141"/>
      <c r="AJ223" s="141"/>
      <c r="AK223" s="141"/>
      <c r="AL223" s="141"/>
      <c r="AM223" s="141"/>
      <c r="AN223" s="141"/>
    </row>
    <row r="224" spans="1:40" ht="14.5" x14ac:dyDescent="0.35">
      <c r="A224" s="375"/>
      <c r="B224" s="343"/>
      <c r="C224" s="343"/>
      <c r="D224" s="343"/>
      <c r="E224" s="343"/>
      <c r="F224" s="343"/>
      <c r="G224" s="343"/>
      <c r="H224" s="343"/>
      <c r="I224" s="343"/>
      <c r="J224" s="343"/>
      <c r="K224" s="343"/>
      <c r="L224" s="343"/>
      <c r="M224" s="343"/>
      <c r="N224" s="343"/>
      <c r="O224" s="343"/>
      <c r="P224" s="343"/>
      <c r="Q224" s="343"/>
      <c r="R224" s="343"/>
      <c r="S224" s="343"/>
      <c r="T224" s="343"/>
      <c r="U224" s="343"/>
      <c r="V224" s="343"/>
      <c r="W224" s="343"/>
      <c r="X224" s="343"/>
      <c r="Y224" s="343"/>
      <c r="Z224" s="343"/>
      <c r="AA224" s="343"/>
      <c r="AB224" s="343"/>
      <c r="AC224" s="343"/>
      <c r="AD224" s="343"/>
      <c r="AE224" s="343"/>
      <c r="AF224" s="141"/>
      <c r="AG224" s="141"/>
      <c r="AH224" s="141"/>
      <c r="AI224" s="141"/>
      <c r="AJ224" s="141"/>
      <c r="AK224" s="141"/>
      <c r="AL224" s="141"/>
      <c r="AM224" s="141"/>
      <c r="AN224" s="141"/>
    </row>
    <row r="225" spans="1:40" ht="14.5" x14ac:dyDescent="0.35">
      <c r="A225" s="375"/>
      <c r="B225" s="343"/>
      <c r="C225" s="343"/>
      <c r="D225" s="343"/>
      <c r="E225" s="343"/>
      <c r="F225" s="343"/>
      <c r="G225" s="343"/>
      <c r="H225" s="343"/>
      <c r="I225" s="343"/>
      <c r="J225" s="343"/>
      <c r="K225" s="343"/>
      <c r="L225" s="343"/>
      <c r="M225" s="343"/>
      <c r="N225" s="343"/>
      <c r="O225" s="343"/>
      <c r="P225" s="343"/>
      <c r="Q225" s="343"/>
      <c r="R225" s="343"/>
      <c r="S225" s="343"/>
      <c r="T225" s="343"/>
      <c r="U225" s="343"/>
      <c r="V225" s="343"/>
      <c r="W225" s="343"/>
      <c r="X225" s="343"/>
      <c r="Y225" s="343"/>
      <c r="Z225" s="343"/>
      <c r="AA225" s="343"/>
      <c r="AB225" s="343"/>
      <c r="AC225" s="343"/>
      <c r="AD225" s="343"/>
      <c r="AE225" s="343"/>
      <c r="AF225" s="141"/>
      <c r="AG225" s="141"/>
      <c r="AH225" s="141"/>
      <c r="AI225" s="141"/>
      <c r="AJ225" s="141"/>
      <c r="AK225" s="141"/>
      <c r="AL225" s="141"/>
      <c r="AM225" s="141"/>
      <c r="AN225" s="141"/>
    </row>
    <row r="226" spans="1:40" ht="14.5" x14ac:dyDescent="0.35">
      <c r="A226" s="375"/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343"/>
      <c r="AB226" s="343"/>
      <c r="AC226" s="343"/>
      <c r="AD226" s="343"/>
      <c r="AE226" s="343"/>
      <c r="AF226" s="141"/>
      <c r="AG226" s="141"/>
      <c r="AH226" s="141"/>
      <c r="AI226" s="141"/>
      <c r="AJ226" s="141"/>
      <c r="AK226" s="141"/>
      <c r="AL226" s="141"/>
      <c r="AM226" s="141"/>
      <c r="AN226" s="141"/>
    </row>
    <row r="227" spans="1:40" ht="14.5" x14ac:dyDescent="0.35">
      <c r="A227" s="375"/>
      <c r="B227" s="343"/>
      <c r="C227" s="343"/>
      <c r="D227" s="343"/>
      <c r="E227" s="343"/>
      <c r="F227" s="343"/>
      <c r="G227" s="343"/>
      <c r="H227" s="343"/>
      <c r="I227" s="343"/>
      <c r="J227" s="343"/>
      <c r="K227" s="343"/>
      <c r="L227" s="343"/>
      <c r="M227" s="343"/>
      <c r="N227" s="343"/>
      <c r="O227" s="343"/>
      <c r="P227" s="343"/>
      <c r="Q227" s="343"/>
      <c r="R227" s="343"/>
      <c r="S227" s="343"/>
      <c r="T227" s="343"/>
      <c r="U227" s="343"/>
      <c r="V227" s="343"/>
      <c r="W227" s="343"/>
      <c r="X227" s="343"/>
      <c r="Y227" s="343"/>
      <c r="Z227" s="343"/>
      <c r="AA227" s="343"/>
      <c r="AB227" s="343"/>
      <c r="AC227" s="343"/>
      <c r="AD227" s="343"/>
      <c r="AE227" s="343"/>
      <c r="AF227" s="141"/>
      <c r="AG227" s="141"/>
      <c r="AH227" s="141"/>
      <c r="AI227" s="141"/>
      <c r="AJ227" s="141"/>
      <c r="AK227" s="141"/>
      <c r="AL227" s="141"/>
      <c r="AM227" s="141"/>
      <c r="AN227" s="141"/>
    </row>
    <row r="228" spans="1:40" ht="14.5" x14ac:dyDescent="0.35">
      <c r="A228" s="375"/>
      <c r="B228" s="343"/>
      <c r="C228" s="343"/>
      <c r="D228" s="343"/>
      <c r="E228" s="343"/>
      <c r="F228" s="343"/>
      <c r="G228" s="343"/>
      <c r="H228" s="343"/>
      <c r="I228" s="343"/>
      <c r="J228" s="343"/>
      <c r="K228" s="343"/>
      <c r="L228" s="343"/>
      <c r="M228" s="343"/>
      <c r="N228" s="343"/>
      <c r="O228" s="343"/>
      <c r="P228" s="343"/>
      <c r="Q228" s="343"/>
      <c r="R228" s="343"/>
      <c r="S228" s="343"/>
      <c r="T228" s="343"/>
      <c r="U228" s="343"/>
      <c r="V228" s="343"/>
      <c r="W228" s="343"/>
      <c r="X228" s="343"/>
      <c r="Y228" s="343"/>
      <c r="Z228" s="343"/>
      <c r="AA228" s="343"/>
      <c r="AB228" s="343"/>
      <c r="AC228" s="343"/>
      <c r="AD228" s="343"/>
      <c r="AE228" s="343"/>
      <c r="AF228" s="141"/>
      <c r="AG228" s="141"/>
      <c r="AH228" s="141"/>
      <c r="AI228" s="141"/>
      <c r="AJ228" s="141"/>
      <c r="AK228" s="141"/>
      <c r="AL228" s="141"/>
      <c r="AM228" s="141"/>
      <c r="AN228" s="141"/>
    </row>
    <row r="229" spans="1:40" ht="14.5" x14ac:dyDescent="0.35">
      <c r="A229" s="375"/>
      <c r="B229" s="343"/>
      <c r="C229" s="343"/>
      <c r="D229" s="343"/>
      <c r="E229" s="343"/>
      <c r="F229" s="343"/>
      <c r="G229" s="343"/>
      <c r="H229" s="343"/>
      <c r="I229" s="343"/>
      <c r="J229" s="343"/>
      <c r="K229" s="343"/>
      <c r="L229" s="343"/>
      <c r="M229" s="343"/>
      <c r="N229" s="343"/>
      <c r="O229" s="343"/>
      <c r="P229" s="343"/>
      <c r="Q229" s="343"/>
      <c r="R229" s="343"/>
      <c r="S229" s="343"/>
      <c r="T229" s="343"/>
      <c r="U229" s="343"/>
      <c r="V229" s="343"/>
      <c r="W229" s="343"/>
      <c r="X229" s="343"/>
      <c r="Y229" s="343"/>
      <c r="Z229" s="343"/>
      <c r="AA229" s="343"/>
      <c r="AB229" s="343"/>
      <c r="AC229" s="343"/>
      <c r="AD229" s="343"/>
      <c r="AE229" s="343"/>
      <c r="AF229" s="141"/>
      <c r="AG229" s="141"/>
      <c r="AH229" s="141"/>
      <c r="AI229" s="141"/>
      <c r="AJ229" s="141"/>
      <c r="AK229" s="141"/>
      <c r="AL229" s="141"/>
      <c r="AM229" s="141"/>
      <c r="AN229" s="141"/>
    </row>
    <row r="230" spans="1:40" ht="14.5" x14ac:dyDescent="0.35">
      <c r="A230" s="375"/>
      <c r="B230" s="343"/>
      <c r="C230" s="343"/>
      <c r="D230" s="343"/>
      <c r="E230" s="343"/>
      <c r="F230" s="343"/>
      <c r="G230" s="343"/>
      <c r="H230" s="343"/>
      <c r="I230" s="343"/>
      <c r="J230" s="343"/>
      <c r="K230" s="343"/>
      <c r="L230" s="343"/>
      <c r="M230" s="343"/>
      <c r="N230" s="343"/>
      <c r="O230" s="343"/>
      <c r="P230" s="343"/>
      <c r="Q230" s="343"/>
      <c r="R230" s="343"/>
      <c r="S230" s="343"/>
      <c r="T230" s="343"/>
      <c r="U230" s="343"/>
      <c r="V230" s="343"/>
      <c r="W230" s="343"/>
      <c r="X230" s="343"/>
      <c r="Y230" s="343"/>
      <c r="Z230" s="343"/>
      <c r="AA230" s="343"/>
      <c r="AB230" s="343"/>
      <c r="AC230" s="343"/>
      <c r="AD230" s="343"/>
      <c r="AE230" s="343"/>
      <c r="AF230" s="141"/>
      <c r="AG230" s="141"/>
      <c r="AH230" s="141"/>
      <c r="AI230" s="141"/>
      <c r="AJ230" s="141"/>
      <c r="AK230" s="141"/>
      <c r="AL230" s="141"/>
      <c r="AM230" s="141"/>
      <c r="AN230" s="141"/>
    </row>
    <row r="231" spans="1:40" ht="14.5" x14ac:dyDescent="0.35">
      <c r="A231" s="375"/>
      <c r="B231" s="343"/>
      <c r="C231" s="343"/>
      <c r="D231" s="343"/>
      <c r="E231" s="343"/>
      <c r="F231" s="343"/>
      <c r="G231" s="343"/>
      <c r="H231" s="343"/>
      <c r="I231" s="343"/>
      <c r="J231" s="343"/>
      <c r="K231" s="343"/>
      <c r="L231" s="343"/>
      <c r="M231" s="343"/>
      <c r="N231" s="343"/>
      <c r="O231" s="343"/>
      <c r="P231" s="343"/>
      <c r="Q231" s="343"/>
      <c r="R231" s="343"/>
      <c r="S231" s="343"/>
      <c r="T231" s="343"/>
      <c r="U231" s="343"/>
      <c r="V231" s="343"/>
      <c r="W231" s="343"/>
      <c r="X231" s="343"/>
      <c r="Y231" s="343"/>
      <c r="Z231" s="343"/>
      <c r="AA231" s="343"/>
      <c r="AB231" s="343"/>
      <c r="AC231" s="343"/>
      <c r="AD231" s="343"/>
      <c r="AE231" s="343"/>
      <c r="AF231" s="141"/>
      <c r="AG231" s="141"/>
      <c r="AH231" s="141"/>
      <c r="AI231" s="141"/>
      <c r="AJ231" s="141"/>
      <c r="AK231" s="141"/>
      <c r="AL231" s="141"/>
      <c r="AM231" s="141"/>
      <c r="AN231" s="141"/>
    </row>
    <row r="232" spans="1:40" ht="14.5" x14ac:dyDescent="0.35">
      <c r="A232" s="375"/>
      <c r="B232" s="343"/>
      <c r="C232" s="343"/>
      <c r="D232" s="343"/>
      <c r="E232" s="343"/>
      <c r="F232" s="343"/>
      <c r="G232" s="343"/>
      <c r="H232" s="343"/>
      <c r="I232" s="343"/>
      <c r="J232" s="343"/>
      <c r="K232" s="343"/>
      <c r="L232" s="343"/>
      <c r="M232" s="343"/>
      <c r="N232" s="343"/>
      <c r="O232" s="343"/>
      <c r="P232" s="343"/>
      <c r="Q232" s="343"/>
      <c r="R232" s="343"/>
      <c r="S232" s="343"/>
      <c r="T232" s="343"/>
      <c r="U232" s="343"/>
      <c r="V232" s="343"/>
      <c r="W232" s="343"/>
      <c r="X232" s="343"/>
      <c r="Y232" s="343"/>
      <c r="Z232" s="343"/>
      <c r="AA232" s="343"/>
      <c r="AB232" s="343"/>
      <c r="AC232" s="343"/>
      <c r="AD232" s="343"/>
      <c r="AE232" s="343"/>
      <c r="AF232" s="141"/>
      <c r="AG232" s="141"/>
      <c r="AH232" s="141"/>
      <c r="AI232" s="141"/>
      <c r="AJ232" s="141"/>
      <c r="AK232" s="141"/>
      <c r="AL232" s="141"/>
      <c r="AM232" s="141"/>
      <c r="AN232" s="141"/>
    </row>
    <row r="233" spans="1:40" ht="14.5" x14ac:dyDescent="0.35">
      <c r="A233" s="375"/>
      <c r="B233" s="343"/>
      <c r="C233" s="343"/>
      <c r="D233" s="343"/>
      <c r="E233" s="343"/>
      <c r="F233" s="343"/>
      <c r="G233" s="343"/>
      <c r="H233" s="343"/>
      <c r="I233" s="343"/>
      <c r="J233" s="343"/>
      <c r="K233" s="343"/>
      <c r="L233" s="343"/>
      <c r="M233" s="343"/>
      <c r="N233" s="343"/>
      <c r="O233" s="343"/>
      <c r="P233" s="343"/>
      <c r="Q233" s="343"/>
      <c r="R233" s="343"/>
      <c r="S233" s="343"/>
      <c r="T233" s="343"/>
      <c r="U233" s="343"/>
      <c r="V233" s="343"/>
      <c r="W233" s="343"/>
      <c r="X233" s="343"/>
      <c r="Y233" s="343"/>
      <c r="Z233" s="343"/>
      <c r="AA233" s="343"/>
      <c r="AB233" s="343"/>
      <c r="AC233" s="343"/>
      <c r="AD233" s="343"/>
      <c r="AE233" s="343"/>
      <c r="AF233" s="141"/>
      <c r="AG233" s="141"/>
      <c r="AH233" s="141"/>
      <c r="AI233" s="141"/>
      <c r="AJ233" s="141"/>
      <c r="AK233" s="141"/>
      <c r="AL233" s="141"/>
      <c r="AM233" s="141"/>
      <c r="AN233" s="141"/>
    </row>
    <row r="234" spans="1:40" ht="14.5" x14ac:dyDescent="0.35">
      <c r="A234" s="375"/>
      <c r="B234" s="343"/>
      <c r="C234" s="343"/>
      <c r="D234" s="343"/>
      <c r="E234" s="343"/>
      <c r="F234" s="343"/>
      <c r="G234" s="343"/>
      <c r="H234" s="343"/>
      <c r="I234" s="343"/>
      <c r="J234" s="343"/>
      <c r="K234" s="343"/>
      <c r="L234" s="343"/>
      <c r="M234" s="343"/>
      <c r="N234" s="343"/>
      <c r="O234" s="343"/>
      <c r="P234" s="343"/>
      <c r="Q234" s="343"/>
      <c r="R234" s="343"/>
      <c r="S234" s="343"/>
      <c r="T234" s="343"/>
      <c r="U234" s="343"/>
      <c r="V234" s="343"/>
      <c r="W234" s="343"/>
      <c r="X234" s="343"/>
      <c r="Y234" s="343"/>
      <c r="Z234" s="343"/>
      <c r="AA234" s="343"/>
      <c r="AB234" s="343"/>
      <c r="AC234" s="343"/>
      <c r="AD234" s="343"/>
      <c r="AE234" s="343"/>
      <c r="AF234" s="141"/>
      <c r="AG234" s="141"/>
      <c r="AH234" s="141"/>
      <c r="AI234" s="141"/>
      <c r="AJ234" s="141"/>
      <c r="AK234" s="141"/>
      <c r="AL234" s="141"/>
      <c r="AM234" s="141"/>
      <c r="AN234" s="141"/>
    </row>
    <row r="235" spans="1:40" ht="14.5" x14ac:dyDescent="0.35">
      <c r="A235" s="375"/>
      <c r="B235" s="343"/>
      <c r="C235" s="343"/>
      <c r="D235" s="343"/>
      <c r="E235" s="343"/>
      <c r="F235" s="343"/>
      <c r="G235" s="343"/>
      <c r="H235" s="343"/>
      <c r="I235" s="343"/>
      <c r="J235" s="343"/>
      <c r="K235" s="343"/>
      <c r="L235" s="343"/>
      <c r="M235" s="343"/>
      <c r="N235" s="343"/>
      <c r="O235" s="343"/>
      <c r="P235" s="343"/>
      <c r="Q235" s="343"/>
      <c r="R235" s="343"/>
      <c r="S235" s="343"/>
      <c r="T235" s="343"/>
      <c r="U235" s="343"/>
      <c r="V235" s="343"/>
      <c r="W235" s="343"/>
      <c r="X235" s="343"/>
      <c r="Y235" s="343"/>
      <c r="Z235" s="343"/>
      <c r="AA235" s="343"/>
      <c r="AB235" s="343"/>
      <c r="AC235" s="343"/>
      <c r="AD235" s="343"/>
      <c r="AE235" s="343"/>
      <c r="AF235" s="141"/>
      <c r="AG235" s="141"/>
      <c r="AH235" s="141"/>
      <c r="AI235" s="141"/>
      <c r="AJ235" s="141"/>
      <c r="AK235" s="141"/>
      <c r="AL235" s="141"/>
      <c r="AM235" s="141"/>
      <c r="AN235" s="141"/>
    </row>
    <row r="236" spans="1:40" ht="14.5" x14ac:dyDescent="0.35">
      <c r="A236" s="375"/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343"/>
      <c r="AB236" s="343"/>
      <c r="AC236" s="343"/>
      <c r="AD236" s="343"/>
      <c r="AE236" s="343"/>
      <c r="AF236" s="141"/>
      <c r="AG236" s="141"/>
      <c r="AH236" s="141"/>
      <c r="AI236" s="141"/>
      <c r="AJ236" s="141"/>
      <c r="AK236" s="141"/>
      <c r="AL236" s="141"/>
      <c r="AM236" s="141"/>
      <c r="AN236" s="141"/>
    </row>
    <row r="237" spans="1:40" ht="14.5" x14ac:dyDescent="0.35">
      <c r="A237" s="375"/>
      <c r="B237" s="343"/>
      <c r="C237" s="343"/>
      <c r="D237" s="343"/>
      <c r="E237" s="343"/>
      <c r="F237" s="343"/>
      <c r="G237" s="343"/>
      <c r="H237" s="343"/>
      <c r="I237" s="343"/>
      <c r="J237" s="343"/>
      <c r="K237" s="343"/>
      <c r="L237" s="343"/>
      <c r="M237" s="343"/>
      <c r="N237" s="343"/>
      <c r="O237" s="343"/>
      <c r="P237" s="343"/>
      <c r="Q237" s="343"/>
      <c r="R237" s="343"/>
      <c r="S237" s="343"/>
      <c r="T237" s="343"/>
      <c r="U237" s="343"/>
      <c r="V237" s="343"/>
      <c r="W237" s="343"/>
      <c r="X237" s="343"/>
      <c r="Y237" s="343"/>
      <c r="Z237" s="343"/>
      <c r="AA237" s="343"/>
      <c r="AB237" s="343"/>
      <c r="AC237" s="343"/>
      <c r="AD237" s="343"/>
      <c r="AE237" s="343"/>
      <c r="AF237" s="141"/>
      <c r="AG237" s="141"/>
      <c r="AH237" s="141"/>
      <c r="AI237" s="141"/>
      <c r="AJ237" s="141"/>
      <c r="AK237" s="141"/>
      <c r="AL237" s="141"/>
      <c r="AM237" s="141"/>
      <c r="AN237" s="141"/>
    </row>
    <row r="238" spans="1:40" ht="14.5" x14ac:dyDescent="0.35">
      <c r="A238" s="375"/>
      <c r="B238" s="343"/>
      <c r="C238" s="343"/>
      <c r="D238" s="343"/>
      <c r="E238" s="343"/>
      <c r="F238" s="343"/>
      <c r="G238" s="343"/>
      <c r="H238" s="343"/>
      <c r="I238" s="343"/>
      <c r="J238" s="343"/>
      <c r="K238" s="343"/>
      <c r="L238" s="343"/>
      <c r="M238" s="343"/>
      <c r="N238" s="343"/>
      <c r="O238" s="343"/>
      <c r="P238" s="343"/>
      <c r="Q238" s="343"/>
      <c r="R238" s="343"/>
      <c r="S238" s="343"/>
      <c r="T238" s="343"/>
      <c r="U238" s="343"/>
      <c r="V238" s="343"/>
      <c r="W238" s="343"/>
      <c r="X238" s="343"/>
      <c r="Y238" s="343"/>
      <c r="Z238" s="343"/>
      <c r="AA238" s="343"/>
      <c r="AB238" s="343"/>
      <c r="AC238" s="343"/>
      <c r="AD238" s="343"/>
      <c r="AE238" s="343"/>
      <c r="AF238" s="141"/>
      <c r="AG238" s="141"/>
      <c r="AH238" s="141"/>
      <c r="AI238" s="141"/>
      <c r="AJ238" s="141"/>
      <c r="AK238" s="141"/>
      <c r="AL238" s="141"/>
      <c r="AM238" s="141"/>
      <c r="AN238" s="141"/>
    </row>
    <row r="239" spans="1:40" ht="14.5" x14ac:dyDescent="0.35">
      <c r="A239" s="375"/>
      <c r="B239" s="343"/>
      <c r="C239" s="343"/>
      <c r="D239" s="343"/>
      <c r="E239" s="343"/>
      <c r="F239" s="343"/>
      <c r="G239" s="343"/>
      <c r="H239" s="343"/>
      <c r="I239" s="343"/>
      <c r="J239" s="343"/>
      <c r="K239" s="343"/>
      <c r="L239" s="343"/>
      <c r="M239" s="343"/>
      <c r="N239" s="343"/>
      <c r="O239" s="343"/>
      <c r="P239" s="343"/>
      <c r="Q239" s="343"/>
      <c r="R239" s="343"/>
      <c r="S239" s="343"/>
      <c r="T239" s="343"/>
      <c r="U239" s="343"/>
      <c r="V239" s="343"/>
      <c r="W239" s="343"/>
      <c r="X239" s="343"/>
      <c r="Y239" s="343"/>
      <c r="Z239" s="343"/>
      <c r="AA239" s="343"/>
      <c r="AB239" s="343"/>
      <c r="AC239" s="343"/>
      <c r="AD239" s="343"/>
      <c r="AE239" s="343"/>
      <c r="AF239" s="141"/>
      <c r="AG239" s="141"/>
      <c r="AH239" s="141"/>
      <c r="AI239" s="141"/>
      <c r="AJ239" s="141"/>
      <c r="AK239" s="141"/>
      <c r="AL239" s="141"/>
      <c r="AM239" s="141"/>
      <c r="AN239" s="141"/>
    </row>
    <row r="240" spans="1:40" ht="14.5" x14ac:dyDescent="0.35">
      <c r="A240" s="375"/>
      <c r="B240" s="343"/>
      <c r="C240" s="343"/>
      <c r="D240" s="343"/>
      <c r="E240" s="343"/>
      <c r="F240" s="343"/>
      <c r="G240" s="343"/>
      <c r="H240" s="343"/>
      <c r="I240" s="343"/>
      <c r="J240" s="343"/>
      <c r="K240" s="343"/>
      <c r="L240" s="343"/>
      <c r="M240" s="343"/>
      <c r="N240" s="343"/>
      <c r="O240" s="343"/>
      <c r="P240" s="343"/>
      <c r="Q240" s="343"/>
      <c r="R240" s="343"/>
      <c r="S240" s="343"/>
      <c r="T240" s="343"/>
      <c r="U240" s="343"/>
      <c r="V240" s="343"/>
      <c r="W240" s="343"/>
      <c r="X240" s="343"/>
      <c r="Y240" s="343"/>
      <c r="Z240" s="343"/>
      <c r="AA240" s="343"/>
      <c r="AB240" s="343"/>
      <c r="AC240" s="343"/>
      <c r="AD240" s="343"/>
      <c r="AE240" s="343"/>
      <c r="AF240" s="141"/>
      <c r="AG240" s="141"/>
      <c r="AH240" s="141"/>
      <c r="AI240" s="141"/>
      <c r="AJ240" s="141"/>
      <c r="AK240" s="141"/>
      <c r="AL240" s="141"/>
      <c r="AM240" s="141"/>
      <c r="AN240" s="141"/>
    </row>
    <row r="241" spans="1:40" ht="14.5" x14ac:dyDescent="0.35">
      <c r="A241" s="375"/>
      <c r="B241" s="343"/>
      <c r="C241" s="343"/>
      <c r="D241" s="343"/>
      <c r="E241" s="343"/>
      <c r="F241" s="343"/>
      <c r="G241" s="343"/>
      <c r="H241" s="343"/>
      <c r="I241" s="343"/>
      <c r="J241" s="343"/>
      <c r="K241" s="343"/>
      <c r="L241" s="343"/>
      <c r="M241" s="343"/>
      <c r="N241" s="343"/>
      <c r="O241" s="343"/>
      <c r="P241" s="343"/>
      <c r="Q241" s="343"/>
      <c r="R241" s="343"/>
      <c r="S241" s="343"/>
      <c r="T241" s="343"/>
      <c r="U241" s="343"/>
      <c r="V241" s="343"/>
      <c r="W241" s="343"/>
      <c r="X241" s="343"/>
      <c r="Y241" s="343"/>
      <c r="Z241" s="343"/>
      <c r="AA241" s="343"/>
      <c r="AB241" s="343"/>
      <c r="AC241" s="343"/>
      <c r="AD241" s="343"/>
      <c r="AE241" s="343"/>
      <c r="AF241" s="141"/>
      <c r="AG241" s="141"/>
      <c r="AH241" s="141"/>
      <c r="AI241" s="141"/>
      <c r="AJ241" s="141"/>
      <c r="AK241" s="141"/>
      <c r="AL241" s="141"/>
      <c r="AM241" s="141"/>
      <c r="AN241" s="141"/>
    </row>
    <row r="242" spans="1:40" ht="14.5" x14ac:dyDescent="0.35">
      <c r="A242" s="375"/>
      <c r="B242" s="343"/>
      <c r="C242" s="343"/>
      <c r="D242" s="343"/>
      <c r="E242" s="343"/>
      <c r="F242" s="343"/>
      <c r="G242" s="343"/>
      <c r="H242" s="343"/>
      <c r="I242" s="343"/>
      <c r="J242" s="343"/>
      <c r="K242" s="343"/>
      <c r="L242" s="343"/>
      <c r="M242" s="343"/>
      <c r="N242" s="343"/>
      <c r="O242" s="343"/>
      <c r="P242" s="343"/>
      <c r="Q242" s="343"/>
      <c r="R242" s="343"/>
      <c r="S242" s="343"/>
      <c r="T242" s="343"/>
      <c r="U242" s="343"/>
      <c r="V242" s="343"/>
      <c r="W242" s="343"/>
      <c r="X242" s="343"/>
      <c r="Y242" s="343"/>
      <c r="Z242" s="343"/>
      <c r="AA242" s="343"/>
      <c r="AB242" s="343"/>
      <c r="AC242" s="343"/>
      <c r="AD242" s="343"/>
      <c r="AE242" s="343"/>
      <c r="AF242" s="141"/>
      <c r="AG242" s="141"/>
      <c r="AH242" s="141"/>
      <c r="AI242" s="141"/>
      <c r="AJ242" s="141"/>
      <c r="AK242" s="141"/>
      <c r="AL242" s="141"/>
      <c r="AM242" s="141"/>
      <c r="AN242" s="141"/>
    </row>
    <row r="243" spans="1:40" ht="14.5" x14ac:dyDescent="0.35">
      <c r="A243" s="375"/>
      <c r="B243" s="343"/>
      <c r="C243" s="343"/>
      <c r="D243" s="343"/>
      <c r="E243" s="343"/>
      <c r="F243" s="343"/>
      <c r="G243" s="343"/>
      <c r="H243" s="343"/>
      <c r="I243" s="343"/>
      <c r="J243" s="343"/>
      <c r="K243" s="343"/>
      <c r="L243" s="343"/>
      <c r="M243" s="343"/>
      <c r="N243" s="343"/>
      <c r="O243" s="343"/>
      <c r="P243" s="343"/>
      <c r="Q243" s="343"/>
      <c r="R243" s="343"/>
      <c r="S243" s="343"/>
      <c r="T243" s="343"/>
      <c r="U243" s="343"/>
      <c r="V243" s="343"/>
      <c r="W243" s="343"/>
      <c r="X243" s="343"/>
      <c r="Y243" s="343"/>
      <c r="Z243" s="343"/>
      <c r="AA243" s="343"/>
      <c r="AB243" s="343"/>
      <c r="AC243" s="343"/>
      <c r="AD243" s="343"/>
      <c r="AE243" s="343"/>
      <c r="AF243" s="141"/>
      <c r="AG243" s="141"/>
      <c r="AH243" s="141"/>
      <c r="AI243" s="141"/>
      <c r="AJ243" s="141"/>
      <c r="AK243" s="141"/>
      <c r="AL243" s="141"/>
      <c r="AM243" s="141"/>
      <c r="AN243" s="141"/>
    </row>
    <row r="244" spans="1:40" ht="14.5" x14ac:dyDescent="0.35">
      <c r="A244" s="375"/>
      <c r="B244" s="343"/>
      <c r="C244" s="343"/>
      <c r="D244" s="343"/>
      <c r="E244" s="343"/>
      <c r="F244" s="343"/>
      <c r="G244" s="343"/>
      <c r="H244" s="343"/>
      <c r="I244" s="343"/>
      <c r="J244" s="343"/>
      <c r="K244" s="343"/>
      <c r="L244" s="343"/>
      <c r="M244" s="343"/>
      <c r="N244" s="343"/>
      <c r="O244" s="343"/>
      <c r="P244" s="343"/>
      <c r="Q244" s="343"/>
      <c r="R244" s="343"/>
      <c r="S244" s="343"/>
      <c r="T244" s="343"/>
      <c r="U244" s="343"/>
      <c r="V244" s="343"/>
      <c r="W244" s="343"/>
      <c r="X244" s="343"/>
      <c r="Y244" s="343"/>
      <c r="Z244" s="343"/>
      <c r="AA244" s="343"/>
      <c r="AB244" s="343"/>
      <c r="AC244" s="343"/>
      <c r="AD244" s="343"/>
      <c r="AE244" s="343"/>
      <c r="AF244" s="141"/>
      <c r="AG244" s="141"/>
      <c r="AH244" s="141"/>
      <c r="AI244" s="141"/>
      <c r="AJ244" s="141"/>
      <c r="AK244" s="141"/>
      <c r="AL244" s="141"/>
      <c r="AM244" s="141"/>
      <c r="AN244" s="141"/>
    </row>
    <row r="245" spans="1:40" ht="14.5" x14ac:dyDescent="0.35">
      <c r="A245" s="375"/>
      <c r="B245" s="343"/>
      <c r="C245" s="343"/>
      <c r="D245" s="343"/>
      <c r="E245" s="343"/>
      <c r="F245" s="343"/>
      <c r="G245" s="343"/>
      <c r="H245" s="343"/>
      <c r="I245" s="343"/>
      <c r="J245" s="343"/>
      <c r="K245" s="343"/>
      <c r="L245" s="343"/>
      <c r="M245" s="343"/>
      <c r="N245" s="343"/>
      <c r="O245" s="343"/>
      <c r="P245" s="343"/>
      <c r="Q245" s="343"/>
      <c r="R245" s="343"/>
      <c r="S245" s="343"/>
      <c r="T245" s="343"/>
      <c r="U245" s="343"/>
      <c r="V245" s="343"/>
      <c r="W245" s="343"/>
      <c r="X245" s="343"/>
      <c r="Y245" s="343"/>
      <c r="Z245" s="343"/>
      <c r="AA245" s="343"/>
      <c r="AB245" s="343"/>
      <c r="AC245" s="343"/>
      <c r="AD245" s="343"/>
      <c r="AE245" s="343"/>
      <c r="AF245" s="141"/>
      <c r="AG245" s="141"/>
      <c r="AH245" s="141"/>
      <c r="AI245" s="141"/>
      <c r="AJ245" s="141"/>
      <c r="AK245" s="141"/>
      <c r="AL245" s="141"/>
      <c r="AM245" s="141"/>
      <c r="AN245" s="141"/>
    </row>
    <row r="246" spans="1:40" ht="14.5" x14ac:dyDescent="0.35">
      <c r="A246" s="375"/>
      <c r="B246" s="343"/>
      <c r="C246" s="343"/>
      <c r="D246" s="343"/>
      <c r="E246" s="343"/>
      <c r="F246" s="343"/>
      <c r="G246" s="343"/>
      <c r="H246" s="343"/>
      <c r="I246" s="343"/>
      <c r="J246" s="343"/>
      <c r="K246" s="343"/>
      <c r="L246" s="343"/>
      <c r="M246" s="343"/>
      <c r="N246" s="343"/>
      <c r="O246" s="343"/>
      <c r="P246" s="343"/>
      <c r="Q246" s="343"/>
      <c r="R246" s="343"/>
      <c r="S246" s="343"/>
      <c r="T246" s="343"/>
      <c r="U246" s="343"/>
      <c r="V246" s="343"/>
      <c r="W246" s="343"/>
      <c r="X246" s="343"/>
      <c r="Y246" s="343"/>
      <c r="Z246" s="343"/>
      <c r="AA246" s="343"/>
      <c r="AB246" s="343"/>
      <c r="AC246" s="343"/>
      <c r="AD246" s="343"/>
      <c r="AE246" s="343"/>
      <c r="AF246" s="141"/>
      <c r="AG246" s="141"/>
      <c r="AH246" s="141"/>
      <c r="AI246" s="141"/>
      <c r="AJ246" s="141"/>
      <c r="AK246" s="141"/>
      <c r="AL246" s="141"/>
      <c r="AM246" s="141"/>
      <c r="AN246" s="141"/>
    </row>
    <row r="247" spans="1:40" ht="14.5" x14ac:dyDescent="0.35">
      <c r="A247" s="375"/>
      <c r="B247" s="343"/>
      <c r="C247" s="343"/>
      <c r="D247" s="343"/>
      <c r="E247" s="343"/>
      <c r="F247" s="343"/>
      <c r="G247" s="343"/>
      <c r="H247" s="343"/>
      <c r="I247" s="343"/>
      <c r="J247" s="343"/>
      <c r="K247" s="343"/>
      <c r="L247" s="343"/>
      <c r="M247" s="343"/>
      <c r="N247" s="343"/>
      <c r="O247" s="343"/>
      <c r="P247" s="343"/>
      <c r="Q247" s="343"/>
      <c r="R247" s="343"/>
      <c r="S247" s="343"/>
      <c r="T247" s="343"/>
      <c r="U247" s="343"/>
      <c r="V247" s="343"/>
      <c r="W247" s="343"/>
      <c r="X247" s="343"/>
      <c r="Y247" s="343"/>
      <c r="Z247" s="343"/>
      <c r="AA247" s="343"/>
      <c r="AB247" s="343"/>
      <c r="AC247" s="343"/>
      <c r="AD247" s="343"/>
      <c r="AE247" s="343"/>
      <c r="AF247" s="141"/>
      <c r="AG247" s="141"/>
      <c r="AH247" s="141"/>
      <c r="AI247" s="141"/>
      <c r="AJ247" s="141"/>
      <c r="AK247" s="141"/>
      <c r="AL247" s="141"/>
      <c r="AM247" s="141"/>
      <c r="AN247" s="141"/>
    </row>
    <row r="248" spans="1:40" ht="14.5" x14ac:dyDescent="0.35">
      <c r="A248" s="375"/>
      <c r="B248" s="343"/>
      <c r="C248" s="343"/>
      <c r="D248" s="343"/>
      <c r="E248" s="343"/>
      <c r="F248" s="343"/>
      <c r="G248" s="343"/>
      <c r="H248" s="343"/>
      <c r="I248" s="343"/>
      <c r="J248" s="343"/>
      <c r="K248" s="343"/>
      <c r="L248" s="343"/>
      <c r="M248" s="343"/>
      <c r="N248" s="343"/>
      <c r="O248" s="343"/>
      <c r="P248" s="343"/>
      <c r="Q248" s="343"/>
      <c r="R248" s="343"/>
      <c r="S248" s="343"/>
      <c r="T248" s="343"/>
      <c r="U248" s="343"/>
      <c r="V248" s="343"/>
      <c r="W248" s="343"/>
      <c r="X248" s="343"/>
      <c r="Y248" s="343"/>
      <c r="Z248" s="343"/>
      <c r="AA248" s="343"/>
      <c r="AB248" s="343"/>
      <c r="AC248" s="343"/>
      <c r="AD248" s="343"/>
      <c r="AE248" s="343"/>
      <c r="AF248" s="141"/>
      <c r="AG248" s="141"/>
      <c r="AH248" s="141"/>
      <c r="AI248" s="141"/>
      <c r="AJ248" s="141"/>
      <c r="AK248" s="141"/>
      <c r="AL248" s="141"/>
      <c r="AM248" s="141"/>
      <c r="AN248" s="141"/>
    </row>
    <row r="249" spans="1:40" ht="14.5" x14ac:dyDescent="0.35">
      <c r="A249" s="373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  <c r="AE249" s="141"/>
      <c r="AF249" s="141"/>
      <c r="AG249" s="141"/>
      <c r="AH249" s="141"/>
      <c r="AI249" s="141"/>
      <c r="AJ249" s="141"/>
      <c r="AK249" s="141"/>
      <c r="AL249" s="141"/>
      <c r="AM249" s="141"/>
      <c r="AN249" s="141"/>
    </row>
    <row r="250" spans="1:40" ht="14.5" x14ac:dyDescent="0.35">
      <c r="A250" s="373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  <c r="AE250" s="141"/>
      <c r="AF250" s="141"/>
      <c r="AG250" s="141"/>
      <c r="AH250" s="141"/>
      <c r="AI250" s="141"/>
      <c r="AJ250" s="141"/>
      <c r="AK250" s="141"/>
      <c r="AL250" s="141"/>
      <c r="AM250" s="141"/>
      <c r="AN250" s="141"/>
    </row>
    <row r="251" spans="1:40" ht="14.5" x14ac:dyDescent="0.35">
      <c r="A251" s="373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  <c r="AE251" s="141"/>
      <c r="AF251" s="141"/>
      <c r="AG251" s="141"/>
      <c r="AH251" s="141"/>
      <c r="AI251" s="141"/>
      <c r="AJ251" s="141"/>
      <c r="AK251" s="141"/>
      <c r="AL251" s="141"/>
      <c r="AM251" s="141"/>
      <c r="AN251" s="141"/>
    </row>
    <row r="252" spans="1:40" ht="14.5" x14ac:dyDescent="0.35">
      <c r="A252" s="373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  <c r="AE252" s="141"/>
      <c r="AF252" s="141"/>
      <c r="AG252" s="141"/>
      <c r="AH252" s="141"/>
      <c r="AI252" s="141"/>
      <c r="AJ252" s="141"/>
      <c r="AK252" s="141"/>
      <c r="AL252" s="141"/>
      <c r="AM252" s="141"/>
      <c r="AN252" s="141"/>
    </row>
    <row r="253" spans="1:40" ht="14.5" x14ac:dyDescent="0.35">
      <c r="A253" s="373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  <c r="AE253" s="141"/>
      <c r="AF253" s="141"/>
      <c r="AG253" s="141"/>
      <c r="AH253" s="141"/>
      <c r="AI253" s="141"/>
      <c r="AJ253" s="141"/>
      <c r="AK253" s="141"/>
      <c r="AL253" s="141"/>
      <c r="AM253" s="141"/>
      <c r="AN253" s="141"/>
    </row>
    <row r="254" spans="1:40" ht="14.5" x14ac:dyDescent="0.35">
      <c r="A254" s="373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  <c r="AE254" s="141"/>
      <c r="AF254" s="141"/>
      <c r="AG254" s="141"/>
      <c r="AH254" s="141"/>
      <c r="AI254" s="141"/>
      <c r="AJ254" s="141"/>
      <c r="AK254" s="141"/>
      <c r="AL254" s="141"/>
      <c r="AM254" s="141"/>
      <c r="AN254" s="141"/>
    </row>
    <row r="255" spans="1:40" ht="14.5" x14ac:dyDescent="0.35">
      <c r="A255" s="373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  <c r="AE255" s="141"/>
      <c r="AF255" s="141"/>
      <c r="AG255" s="141"/>
      <c r="AH255" s="141"/>
      <c r="AI255" s="141"/>
      <c r="AJ255" s="141"/>
      <c r="AK255" s="141"/>
      <c r="AL255" s="141"/>
      <c r="AM255" s="141"/>
      <c r="AN255" s="141"/>
    </row>
    <row r="256" spans="1:40" ht="14.5" x14ac:dyDescent="0.35">
      <c r="A256" s="373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  <c r="AE256" s="141"/>
      <c r="AF256" s="141"/>
      <c r="AG256" s="141"/>
      <c r="AH256" s="141"/>
      <c r="AI256" s="141"/>
      <c r="AJ256" s="141"/>
      <c r="AK256" s="141"/>
      <c r="AL256" s="141"/>
      <c r="AM256" s="141"/>
      <c r="AN256" s="141"/>
    </row>
    <row r="257" spans="1:40" ht="14.5" x14ac:dyDescent="0.35">
      <c r="A257" s="373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  <c r="AE257" s="141"/>
      <c r="AF257" s="141"/>
      <c r="AG257" s="141"/>
      <c r="AH257" s="141"/>
      <c r="AI257" s="141"/>
      <c r="AJ257" s="141"/>
      <c r="AK257" s="141"/>
      <c r="AL257" s="141"/>
      <c r="AM257" s="141"/>
      <c r="AN257" s="141"/>
    </row>
    <row r="258" spans="1:40" ht="14.5" x14ac:dyDescent="0.35">
      <c r="A258" s="373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  <c r="AE258" s="141"/>
      <c r="AF258" s="141"/>
      <c r="AG258" s="141"/>
      <c r="AH258" s="141"/>
      <c r="AI258" s="141"/>
      <c r="AJ258" s="141"/>
      <c r="AK258" s="141"/>
      <c r="AL258" s="141"/>
      <c r="AM258" s="141"/>
      <c r="AN258" s="141"/>
    </row>
    <row r="259" spans="1:40" ht="14.5" x14ac:dyDescent="0.35">
      <c r="A259" s="373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  <c r="AE259" s="141"/>
      <c r="AF259" s="141"/>
      <c r="AG259" s="141"/>
      <c r="AH259" s="141"/>
      <c r="AI259" s="141"/>
      <c r="AJ259" s="141"/>
      <c r="AK259" s="141"/>
      <c r="AL259" s="141"/>
      <c r="AM259" s="141"/>
      <c r="AN259" s="141"/>
    </row>
    <row r="260" spans="1:40" ht="14.5" x14ac:dyDescent="0.35">
      <c r="A260" s="373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  <c r="AE260" s="141"/>
      <c r="AF260" s="141"/>
      <c r="AG260" s="141"/>
      <c r="AH260" s="141"/>
      <c r="AI260" s="141"/>
      <c r="AJ260" s="141"/>
      <c r="AK260" s="141"/>
      <c r="AL260" s="141"/>
      <c r="AM260" s="141"/>
      <c r="AN260" s="141"/>
    </row>
    <row r="261" spans="1:40" ht="14.5" x14ac:dyDescent="0.35">
      <c r="A261" s="373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  <c r="AE261" s="141"/>
      <c r="AF261" s="141"/>
      <c r="AG261" s="141"/>
      <c r="AH261" s="141"/>
      <c r="AI261" s="141"/>
      <c r="AJ261" s="141"/>
      <c r="AK261" s="141"/>
      <c r="AL261" s="141"/>
      <c r="AM261" s="141"/>
      <c r="AN261" s="141"/>
    </row>
    <row r="262" spans="1:40" ht="14.5" x14ac:dyDescent="0.35">
      <c r="A262" s="373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  <c r="AE262" s="141"/>
      <c r="AF262" s="141"/>
      <c r="AG262" s="141"/>
      <c r="AH262" s="141"/>
      <c r="AI262" s="141"/>
      <c r="AJ262" s="141"/>
      <c r="AK262" s="141"/>
      <c r="AL262" s="141"/>
      <c r="AM262" s="141"/>
      <c r="AN262" s="141"/>
    </row>
    <row r="263" spans="1:40" ht="14.5" x14ac:dyDescent="0.35">
      <c r="A263" s="373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  <c r="AE263" s="141"/>
      <c r="AF263" s="141"/>
      <c r="AG263" s="141"/>
      <c r="AH263" s="141"/>
      <c r="AI263" s="141"/>
      <c r="AJ263" s="141"/>
      <c r="AK263" s="141"/>
      <c r="AL263" s="141"/>
      <c r="AM263" s="141"/>
      <c r="AN263" s="141"/>
    </row>
    <row r="264" spans="1:40" ht="14.5" x14ac:dyDescent="0.35">
      <c r="A264" s="373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  <c r="AE264" s="141"/>
      <c r="AF264" s="141"/>
      <c r="AG264" s="141"/>
      <c r="AH264" s="141"/>
      <c r="AI264" s="141"/>
      <c r="AJ264" s="141"/>
      <c r="AK264" s="141"/>
      <c r="AL264" s="141"/>
      <c r="AM264" s="141"/>
      <c r="AN264" s="141"/>
    </row>
    <row r="265" spans="1:40" ht="14.5" x14ac:dyDescent="0.35">
      <c r="A265" s="373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  <c r="AE265" s="141"/>
      <c r="AF265" s="141"/>
      <c r="AG265" s="141"/>
      <c r="AH265" s="141"/>
      <c r="AI265" s="141"/>
      <c r="AJ265" s="141"/>
      <c r="AK265" s="141"/>
      <c r="AL265" s="141"/>
      <c r="AM265" s="141"/>
      <c r="AN265" s="141"/>
    </row>
    <row r="266" spans="1:40" ht="14.5" x14ac:dyDescent="0.35">
      <c r="A266" s="373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  <c r="AE266" s="141"/>
      <c r="AF266" s="141"/>
      <c r="AG266" s="141"/>
      <c r="AH266" s="141"/>
      <c r="AI266" s="141"/>
      <c r="AJ266" s="141"/>
      <c r="AK266" s="141"/>
      <c r="AL266" s="141"/>
      <c r="AM266" s="141"/>
      <c r="AN266" s="141"/>
    </row>
    <row r="267" spans="1:40" ht="14.5" x14ac:dyDescent="0.35">
      <c r="A267" s="373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  <c r="AE267" s="141"/>
      <c r="AF267" s="141"/>
      <c r="AG267" s="141"/>
      <c r="AH267" s="141"/>
      <c r="AI267" s="141"/>
      <c r="AJ267" s="141"/>
      <c r="AK267" s="141"/>
      <c r="AL267" s="141"/>
      <c r="AM267" s="141"/>
      <c r="AN267" s="141"/>
    </row>
    <row r="268" spans="1:40" ht="14.5" x14ac:dyDescent="0.35">
      <c r="A268" s="373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  <c r="AE268" s="141"/>
      <c r="AF268" s="141"/>
      <c r="AG268" s="141"/>
      <c r="AH268" s="141"/>
      <c r="AI268" s="141"/>
      <c r="AJ268" s="141"/>
      <c r="AK268" s="141"/>
      <c r="AL268" s="141"/>
      <c r="AM268" s="141"/>
      <c r="AN268" s="141"/>
    </row>
    <row r="269" spans="1:40" ht="14.5" x14ac:dyDescent="0.35">
      <c r="A269" s="373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  <c r="AE269" s="141"/>
      <c r="AF269" s="141"/>
      <c r="AG269" s="141"/>
      <c r="AH269" s="141"/>
      <c r="AI269" s="141"/>
      <c r="AJ269" s="141"/>
      <c r="AK269" s="141"/>
      <c r="AL269" s="141"/>
      <c r="AM269" s="141"/>
      <c r="AN269" s="141"/>
    </row>
    <row r="270" spans="1:40" ht="14.5" x14ac:dyDescent="0.35">
      <c r="A270" s="373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  <c r="AE270" s="141"/>
      <c r="AF270" s="141"/>
      <c r="AG270" s="141"/>
      <c r="AH270" s="141"/>
      <c r="AI270" s="141"/>
      <c r="AJ270" s="141"/>
      <c r="AK270" s="141"/>
      <c r="AL270" s="141"/>
      <c r="AM270" s="141"/>
      <c r="AN270" s="141"/>
    </row>
    <row r="271" spans="1:40" ht="14.5" x14ac:dyDescent="0.35">
      <c r="A271" s="373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  <c r="AE271" s="141"/>
      <c r="AF271" s="141"/>
      <c r="AG271" s="141"/>
      <c r="AH271" s="141"/>
      <c r="AI271" s="141"/>
      <c r="AJ271" s="141"/>
      <c r="AK271" s="141"/>
      <c r="AL271" s="141"/>
      <c r="AM271" s="141"/>
      <c r="AN271" s="141"/>
    </row>
    <row r="272" spans="1:40" ht="14.5" x14ac:dyDescent="0.35">
      <c r="A272" s="373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  <c r="AE272" s="141"/>
      <c r="AF272" s="141"/>
      <c r="AG272" s="141"/>
      <c r="AH272" s="141"/>
      <c r="AI272" s="141"/>
      <c r="AJ272" s="141"/>
      <c r="AK272" s="141"/>
      <c r="AL272" s="141"/>
      <c r="AM272" s="141"/>
      <c r="AN272" s="141"/>
    </row>
    <row r="273" spans="1:40" ht="14.5" x14ac:dyDescent="0.35">
      <c r="A273" s="373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  <c r="AE273" s="141"/>
      <c r="AF273" s="141"/>
      <c r="AG273" s="141"/>
      <c r="AH273" s="141"/>
      <c r="AI273" s="141"/>
      <c r="AJ273" s="141"/>
      <c r="AK273" s="141"/>
      <c r="AL273" s="141"/>
      <c r="AM273" s="141"/>
      <c r="AN273" s="141"/>
    </row>
    <row r="274" spans="1:40" ht="14.5" x14ac:dyDescent="0.35">
      <c r="A274" s="373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  <c r="AE274" s="141"/>
      <c r="AF274" s="141"/>
      <c r="AG274" s="141"/>
      <c r="AH274" s="141"/>
      <c r="AI274" s="141"/>
      <c r="AJ274" s="141"/>
      <c r="AK274" s="141"/>
      <c r="AL274" s="141"/>
      <c r="AM274" s="141"/>
      <c r="AN274" s="141"/>
    </row>
    <row r="275" spans="1:40" ht="14.5" x14ac:dyDescent="0.35">
      <c r="A275" s="373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  <c r="AE275" s="141"/>
      <c r="AF275" s="141"/>
      <c r="AG275" s="141"/>
      <c r="AH275" s="141"/>
      <c r="AI275" s="141"/>
      <c r="AJ275" s="141"/>
      <c r="AK275" s="141"/>
      <c r="AL275" s="141"/>
      <c r="AM275" s="141"/>
      <c r="AN275" s="141"/>
    </row>
    <row r="276" spans="1:40" ht="14.5" x14ac:dyDescent="0.35">
      <c r="A276" s="373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  <c r="AE276" s="141"/>
      <c r="AF276" s="141"/>
      <c r="AG276" s="141"/>
      <c r="AH276" s="141"/>
      <c r="AI276" s="141"/>
      <c r="AJ276" s="141"/>
      <c r="AK276" s="141"/>
      <c r="AL276" s="141"/>
      <c r="AM276" s="141"/>
      <c r="AN276" s="141"/>
    </row>
    <row r="277" spans="1:40" ht="14.5" x14ac:dyDescent="0.35">
      <c r="A277" s="373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  <c r="AE277" s="141"/>
      <c r="AF277" s="141"/>
      <c r="AG277" s="141"/>
      <c r="AH277" s="141"/>
      <c r="AI277" s="141"/>
      <c r="AJ277" s="141"/>
      <c r="AK277" s="141"/>
      <c r="AL277" s="141"/>
      <c r="AM277" s="141"/>
      <c r="AN277" s="141"/>
    </row>
    <row r="278" spans="1:40" ht="14.5" x14ac:dyDescent="0.35">
      <c r="A278" s="373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  <c r="AE278" s="141"/>
      <c r="AF278" s="141"/>
      <c r="AG278" s="141"/>
      <c r="AH278" s="141"/>
      <c r="AI278" s="141"/>
      <c r="AJ278" s="141"/>
      <c r="AK278" s="141"/>
      <c r="AL278" s="141"/>
      <c r="AM278" s="141"/>
      <c r="AN278" s="141"/>
    </row>
    <row r="279" spans="1:40" ht="14.5" x14ac:dyDescent="0.35">
      <c r="A279" s="373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  <c r="AE279" s="141"/>
      <c r="AF279" s="141"/>
      <c r="AG279" s="141"/>
      <c r="AH279" s="141"/>
      <c r="AI279" s="141"/>
      <c r="AJ279" s="141"/>
      <c r="AK279" s="141"/>
      <c r="AL279" s="141"/>
      <c r="AM279" s="141"/>
      <c r="AN279" s="141"/>
    </row>
    <row r="280" spans="1:40" ht="14.5" x14ac:dyDescent="0.35">
      <c r="A280" s="373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  <c r="AE280" s="141"/>
      <c r="AF280" s="141"/>
      <c r="AG280" s="141"/>
      <c r="AH280" s="141"/>
      <c r="AI280" s="141"/>
      <c r="AJ280" s="141"/>
      <c r="AK280" s="141"/>
      <c r="AL280" s="141"/>
      <c r="AM280" s="141"/>
      <c r="AN280" s="141"/>
    </row>
    <row r="281" spans="1:40" ht="14.5" x14ac:dyDescent="0.35">
      <c r="A281" s="373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  <c r="AL281" s="141"/>
      <c r="AM281" s="141"/>
      <c r="AN281" s="141"/>
    </row>
    <row r="282" spans="1:40" ht="14.5" x14ac:dyDescent="0.35">
      <c r="A282" s="373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  <c r="AL282" s="141"/>
      <c r="AM282" s="141"/>
      <c r="AN282" s="141"/>
    </row>
    <row r="283" spans="1:40" ht="14.5" x14ac:dyDescent="0.35">
      <c r="A283" s="373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  <c r="AL283" s="141"/>
      <c r="AM283" s="141"/>
      <c r="AN283" s="141"/>
    </row>
    <row r="284" spans="1:40" ht="14.5" x14ac:dyDescent="0.35">
      <c r="A284" s="373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  <c r="AE284" s="141"/>
      <c r="AF284" s="141"/>
      <c r="AG284" s="141"/>
      <c r="AH284" s="141"/>
      <c r="AI284" s="141"/>
      <c r="AJ284" s="141"/>
      <c r="AK284" s="141"/>
      <c r="AL284" s="141"/>
      <c r="AM284" s="141"/>
      <c r="AN284" s="141"/>
    </row>
    <row r="285" spans="1:40" ht="14.5" x14ac:dyDescent="0.35">
      <c r="A285" s="373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  <c r="AE285" s="141"/>
      <c r="AF285" s="141"/>
      <c r="AG285" s="141"/>
      <c r="AH285" s="141"/>
      <c r="AI285" s="141"/>
      <c r="AJ285" s="141"/>
      <c r="AK285" s="141"/>
      <c r="AL285" s="141"/>
      <c r="AM285" s="141"/>
      <c r="AN285" s="141"/>
    </row>
    <row r="286" spans="1:40" ht="14.5" x14ac:dyDescent="0.35">
      <c r="A286" s="373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  <c r="AE286" s="141"/>
      <c r="AF286" s="141"/>
      <c r="AG286" s="141"/>
      <c r="AH286" s="141"/>
      <c r="AI286" s="141"/>
      <c r="AJ286" s="141"/>
      <c r="AK286" s="141"/>
      <c r="AL286" s="141"/>
      <c r="AM286" s="141"/>
      <c r="AN286" s="141"/>
    </row>
    <row r="287" spans="1:40" ht="14.5" x14ac:dyDescent="0.35">
      <c r="A287" s="373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  <c r="AE287" s="141"/>
      <c r="AF287" s="141"/>
      <c r="AG287" s="141"/>
      <c r="AH287" s="141"/>
      <c r="AI287" s="141"/>
      <c r="AJ287" s="141"/>
      <c r="AK287" s="141"/>
      <c r="AL287" s="141"/>
      <c r="AM287" s="141"/>
      <c r="AN287" s="141"/>
    </row>
    <row r="288" spans="1:40" ht="14.5" x14ac:dyDescent="0.35">
      <c r="A288" s="373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  <c r="AE288" s="141"/>
      <c r="AF288" s="141"/>
      <c r="AG288" s="141"/>
      <c r="AH288" s="141"/>
      <c r="AI288" s="141"/>
      <c r="AJ288" s="141"/>
      <c r="AK288" s="141"/>
      <c r="AL288" s="141"/>
      <c r="AM288" s="141"/>
      <c r="AN288" s="141"/>
    </row>
    <row r="289" spans="1:40" ht="14.5" x14ac:dyDescent="0.35">
      <c r="A289" s="373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  <c r="AE289" s="141"/>
      <c r="AF289" s="141"/>
      <c r="AG289" s="141"/>
      <c r="AH289" s="141"/>
      <c r="AI289" s="141"/>
      <c r="AJ289" s="141"/>
      <c r="AK289" s="141"/>
      <c r="AL289" s="141"/>
      <c r="AM289" s="141"/>
      <c r="AN289" s="141"/>
    </row>
    <row r="290" spans="1:40" ht="14.5" x14ac:dyDescent="0.35">
      <c r="A290" s="373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  <c r="AL290" s="141"/>
      <c r="AM290" s="141"/>
      <c r="AN290" s="141"/>
    </row>
    <row r="291" spans="1:40" ht="14.5" x14ac:dyDescent="0.35">
      <c r="A291" s="373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  <c r="AE291" s="141"/>
      <c r="AF291" s="141"/>
      <c r="AG291" s="141"/>
      <c r="AH291" s="141"/>
      <c r="AI291" s="141"/>
      <c r="AJ291" s="141"/>
      <c r="AK291" s="141"/>
      <c r="AL291" s="141"/>
      <c r="AM291" s="141"/>
      <c r="AN291" s="141"/>
    </row>
    <row r="292" spans="1:40" ht="14.5" x14ac:dyDescent="0.35">
      <c r="A292" s="373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  <c r="AE292" s="141"/>
      <c r="AF292" s="141"/>
      <c r="AG292" s="141"/>
      <c r="AH292" s="141"/>
      <c r="AI292" s="141"/>
      <c r="AJ292" s="141"/>
      <c r="AK292" s="141"/>
      <c r="AL292" s="141"/>
      <c r="AM292" s="141"/>
      <c r="AN292" s="141"/>
    </row>
    <row r="293" spans="1:40" ht="14.5" x14ac:dyDescent="0.35">
      <c r="A293" s="373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  <c r="AE293" s="141"/>
      <c r="AF293" s="141"/>
      <c r="AG293" s="141"/>
      <c r="AH293" s="141"/>
      <c r="AI293" s="141"/>
      <c r="AJ293" s="141"/>
      <c r="AK293" s="141"/>
      <c r="AL293" s="141"/>
      <c r="AM293" s="141"/>
      <c r="AN293" s="141"/>
    </row>
    <row r="294" spans="1:40" ht="14.5" x14ac:dyDescent="0.35">
      <c r="A294" s="373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  <c r="AE294" s="141"/>
      <c r="AF294" s="141"/>
      <c r="AG294" s="141"/>
      <c r="AH294" s="141"/>
      <c r="AI294" s="141"/>
      <c r="AJ294" s="141"/>
      <c r="AK294" s="141"/>
      <c r="AL294" s="141"/>
      <c r="AM294" s="141"/>
      <c r="AN294" s="141"/>
    </row>
    <row r="295" spans="1:40" ht="14.5" x14ac:dyDescent="0.35">
      <c r="A295" s="373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  <c r="AE295" s="141"/>
      <c r="AF295" s="141"/>
      <c r="AG295" s="141"/>
      <c r="AH295" s="141"/>
      <c r="AI295" s="141"/>
      <c r="AJ295" s="141"/>
      <c r="AK295" s="141"/>
      <c r="AL295" s="141"/>
      <c r="AM295" s="141"/>
      <c r="AN295" s="141"/>
    </row>
    <row r="296" spans="1:40" ht="14.5" x14ac:dyDescent="0.35">
      <c r="A296" s="373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  <c r="AL296" s="141"/>
      <c r="AM296" s="141"/>
      <c r="AN296" s="141"/>
    </row>
    <row r="297" spans="1:40" ht="14.5" x14ac:dyDescent="0.35">
      <c r="A297" s="373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  <c r="AL297" s="141"/>
      <c r="AM297" s="141"/>
      <c r="AN297" s="141"/>
    </row>
    <row r="298" spans="1:40" ht="14.5" x14ac:dyDescent="0.35">
      <c r="A298" s="373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  <c r="AE298" s="141"/>
      <c r="AF298" s="141"/>
      <c r="AG298" s="141"/>
      <c r="AH298" s="141"/>
      <c r="AI298" s="141"/>
      <c r="AJ298" s="141"/>
      <c r="AK298" s="141"/>
      <c r="AL298" s="141"/>
      <c r="AM298" s="141"/>
      <c r="AN298" s="141"/>
    </row>
    <row r="299" spans="1:40" ht="14.5" x14ac:dyDescent="0.35">
      <c r="A299" s="373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  <c r="AE299" s="141"/>
      <c r="AF299" s="141"/>
      <c r="AG299" s="141"/>
      <c r="AH299" s="141"/>
      <c r="AI299" s="141"/>
      <c r="AJ299" s="141"/>
      <c r="AK299" s="141"/>
      <c r="AL299" s="141"/>
      <c r="AM299" s="141"/>
      <c r="AN299" s="141"/>
    </row>
    <row r="300" spans="1:40" ht="14.5" x14ac:dyDescent="0.35">
      <c r="A300" s="373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  <c r="AE300" s="141"/>
      <c r="AF300" s="141"/>
      <c r="AG300" s="141"/>
      <c r="AH300" s="141"/>
      <c r="AI300" s="141"/>
      <c r="AJ300" s="141"/>
      <c r="AK300" s="141"/>
      <c r="AL300" s="141"/>
      <c r="AM300" s="141"/>
      <c r="AN300" s="141"/>
    </row>
    <row r="301" spans="1:40" ht="14.5" x14ac:dyDescent="0.35">
      <c r="A301" s="373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  <c r="AL301" s="141"/>
      <c r="AM301" s="141"/>
      <c r="AN301" s="141"/>
    </row>
    <row r="302" spans="1:40" ht="14.5" x14ac:dyDescent="0.35">
      <c r="A302" s="373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  <c r="AL302" s="141"/>
      <c r="AM302" s="141"/>
      <c r="AN302" s="141"/>
    </row>
    <row r="303" spans="1:40" ht="14.5" x14ac:dyDescent="0.35">
      <c r="A303" s="373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  <c r="AE303" s="141"/>
      <c r="AF303" s="141"/>
      <c r="AG303" s="141"/>
      <c r="AH303" s="141"/>
      <c r="AI303" s="141"/>
      <c r="AJ303" s="141"/>
      <c r="AK303" s="141"/>
      <c r="AL303" s="141"/>
      <c r="AM303" s="141"/>
      <c r="AN303" s="141"/>
    </row>
    <row r="304" spans="1:40" ht="14.5" x14ac:dyDescent="0.35">
      <c r="A304" s="373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  <c r="AE304" s="141"/>
      <c r="AF304" s="141"/>
      <c r="AG304" s="141"/>
      <c r="AH304" s="141"/>
      <c r="AI304" s="141"/>
      <c r="AJ304" s="141"/>
      <c r="AK304" s="141"/>
      <c r="AL304" s="141"/>
      <c r="AM304" s="141"/>
      <c r="AN304" s="141"/>
    </row>
    <row r="305" spans="1:40" ht="14.5" x14ac:dyDescent="0.35">
      <c r="A305" s="373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  <c r="AE305" s="141"/>
      <c r="AF305" s="141"/>
      <c r="AG305" s="141"/>
      <c r="AH305" s="141"/>
      <c r="AI305" s="141"/>
      <c r="AJ305" s="141"/>
      <c r="AK305" s="141"/>
      <c r="AL305" s="141"/>
      <c r="AM305" s="141"/>
      <c r="AN305" s="141"/>
    </row>
    <row r="306" spans="1:40" ht="14.5" x14ac:dyDescent="0.35">
      <c r="A306" s="373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  <c r="AE306" s="141"/>
      <c r="AF306" s="141"/>
      <c r="AG306" s="141"/>
      <c r="AH306" s="141"/>
      <c r="AI306" s="141"/>
      <c r="AJ306" s="141"/>
      <c r="AK306" s="141"/>
      <c r="AL306" s="141"/>
      <c r="AM306" s="141"/>
      <c r="AN306" s="141"/>
    </row>
    <row r="307" spans="1:40" ht="14.5" x14ac:dyDescent="0.35">
      <c r="A307" s="373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  <c r="AE307" s="141"/>
      <c r="AF307" s="141"/>
      <c r="AG307" s="141"/>
      <c r="AH307" s="141"/>
      <c r="AI307" s="141"/>
      <c r="AJ307" s="141"/>
      <c r="AK307" s="141"/>
      <c r="AL307" s="141"/>
      <c r="AM307" s="141"/>
      <c r="AN307" s="141"/>
    </row>
    <row r="308" spans="1:40" ht="14.5" x14ac:dyDescent="0.35">
      <c r="A308" s="373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  <c r="AL308" s="141"/>
      <c r="AM308" s="141"/>
      <c r="AN308" s="141"/>
    </row>
    <row r="309" spans="1:40" ht="14.5" x14ac:dyDescent="0.35">
      <c r="A309" s="373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  <c r="AE309" s="141"/>
      <c r="AF309" s="141"/>
      <c r="AG309" s="141"/>
      <c r="AH309" s="141"/>
      <c r="AI309" s="141"/>
      <c r="AJ309" s="141"/>
      <c r="AK309" s="141"/>
      <c r="AL309" s="141"/>
      <c r="AM309" s="141"/>
      <c r="AN309" s="141"/>
    </row>
    <row r="310" spans="1:40" ht="14.5" x14ac:dyDescent="0.35">
      <c r="A310" s="373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  <c r="AM310" s="141"/>
      <c r="AN310" s="141"/>
    </row>
    <row r="311" spans="1:40" ht="14.5" x14ac:dyDescent="0.35">
      <c r="A311" s="373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  <c r="AE311" s="141"/>
      <c r="AF311" s="141"/>
      <c r="AG311" s="141"/>
      <c r="AH311" s="141"/>
      <c r="AI311" s="141"/>
      <c r="AJ311" s="141"/>
      <c r="AK311" s="141"/>
      <c r="AL311" s="141"/>
      <c r="AM311" s="141"/>
      <c r="AN311" s="141"/>
    </row>
    <row r="312" spans="1:40" ht="14.5" x14ac:dyDescent="0.35">
      <c r="A312" s="373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  <c r="AE312" s="141"/>
      <c r="AF312" s="141"/>
      <c r="AG312" s="141"/>
      <c r="AH312" s="141"/>
      <c r="AI312" s="141"/>
      <c r="AJ312" s="141"/>
      <c r="AK312" s="141"/>
      <c r="AL312" s="141"/>
      <c r="AM312" s="141"/>
      <c r="AN312" s="141"/>
    </row>
    <row r="313" spans="1:40" ht="14.5" x14ac:dyDescent="0.35">
      <c r="A313" s="373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  <c r="AE313" s="141"/>
      <c r="AF313" s="141"/>
      <c r="AG313" s="141"/>
      <c r="AH313" s="141"/>
      <c r="AI313" s="141"/>
      <c r="AJ313" s="141"/>
      <c r="AK313" s="141"/>
      <c r="AL313" s="141"/>
      <c r="AM313" s="141"/>
      <c r="AN313" s="141"/>
    </row>
    <row r="314" spans="1:40" ht="14.5" x14ac:dyDescent="0.35">
      <c r="A314" s="373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  <c r="AE314" s="141"/>
      <c r="AF314" s="141"/>
      <c r="AG314" s="141"/>
      <c r="AH314" s="141"/>
      <c r="AI314" s="141"/>
      <c r="AJ314" s="141"/>
      <c r="AK314" s="141"/>
      <c r="AL314" s="141"/>
      <c r="AM314" s="141"/>
      <c r="AN314" s="141"/>
    </row>
    <row r="315" spans="1:40" ht="14.5" x14ac:dyDescent="0.35">
      <c r="A315" s="373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  <c r="AE315" s="141"/>
      <c r="AF315" s="141"/>
      <c r="AG315" s="141"/>
      <c r="AH315" s="141"/>
      <c r="AI315" s="141"/>
      <c r="AJ315" s="141"/>
      <c r="AK315" s="141"/>
      <c r="AL315" s="141"/>
      <c r="AM315" s="141"/>
      <c r="AN315" s="141"/>
    </row>
    <row r="316" spans="1:40" ht="14.5" x14ac:dyDescent="0.35">
      <c r="A316" s="373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  <c r="AE316" s="141"/>
      <c r="AF316" s="141"/>
      <c r="AG316" s="141"/>
      <c r="AH316" s="141"/>
      <c r="AI316" s="141"/>
      <c r="AJ316" s="141"/>
      <c r="AK316" s="141"/>
      <c r="AL316" s="141"/>
      <c r="AM316" s="141"/>
      <c r="AN316" s="141"/>
    </row>
    <row r="317" spans="1:40" ht="14.5" x14ac:dyDescent="0.35">
      <c r="A317" s="373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  <c r="AE317" s="141"/>
      <c r="AF317" s="141"/>
      <c r="AG317" s="141"/>
      <c r="AH317" s="141"/>
      <c r="AI317" s="141"/>
      <c r="AJ317" s="141"/>
      <c r="AK317" s="141"/>
      <c r="AL317" s="141"/>
      <c r="AM317" s="141"/>
      <c r="AN317" s="141"/>
    </row>
    <row r="318" spans="1:40" ht="14.5" x14ac:dyDescent="0.35">
      <c r="A318" s="373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  <c r="AE318" s="141"/>
      <c r="AF318" s="141"/>
      <c r="AG318" s="141"/>
      <c r="AH318" s="141"/>
      <c r="AI318" s="141"/>
      <c r="AJ318" s="141"/>
      <c r="AK318" s="141"/>
      <c r="AL318" s="141"/>
      <c r="AM318" s="141"/>
      <c r="AN318" s="141"/>
    </row>
    <row r="319" spans="1:40" ht="14.5" x14ac:dyDescent="0.35">
      <c r="A319" s="373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  <c r="AE319" s="141"/>
      <c r="AF319" s="141"/>
      <c r="AG319" s="141"/>
      <c r="AH319" s="141"/>
      <c r="AI319" s="141"/>
      <c r="AJ319" s="141"/>
      <c r="AK319" s="141"/>
      <c r="AL319" s="141"/>
      <c r="AM319" s="141"/>
      <c r="AN319" s="141"/>
    </row>
    <row r="320" spans="1:40" ht="14.5" x14ac:dyDescent="0.35">
      <c r="A320" s="373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  <c r="AE320" s="141"/>
      <c r="AF320" s="141"/>
      <c r="AG320" s="141"/>
      <c r="AH320" s="141"/>
      <c r="AI320" s="141"/>
      <c r="AJ320" s="141"/>
      <c r="AK320" s="141"/>
      <c r="AL320" s="141"/>
      <c r="AM320" s="141"/>
      <c r="AN320" s="141"/>
    </row>
    <row r="321" spans="1:40" ht="14.5" x14ac:dyDescent="0.35">
      <c r="A321" s="373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  <c r="AE321" s="141"/>
      <c r="AF321" s="141"/>
      <c r="AG321" s="141"/>
      <c r="AH321" s="141"/>
      <c r="AI321" s="141"/>
      <c r="AJ321" s="141"/>
      <c r="AK321" s="141"/>
      <c r="AL321" s="141"/>
      <c r="AM321" s="141"/>
      <c r="AN321" s="141"/>
    </row>
    <row r="322" spans="1:40" ht="14.5" x14ac:dyDescent="0.35">
      <c r="A322" s="373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  <c r="AE322" s="141"/>
      <c r="AF322" s="141"/>
      <c r="AG322" s="141"/>
      <c r="AH322" s="141"/>
      <c r="AI322" s="141"/>
      <c r="AJ322" s="141"/>
      <c r="AK322" s="141"/>
      <c r="AL322" s="141"/>
      <c r="AM322" s="141"/>
      <c r="AN322" s="141"/>
    </row>
    <row r="323" spans="1:40" ht="14.5" x14ac:dyDescent="0.35">
      <c r="A323" s="373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  <c r="AE323" s="141"/>
      <c r="AF323" s="141"/>
      <c r="AG323" s="141"/>
      <c r="AH323" s="141"/>
      <c r="AI323" s="141"/>
      <c r="AJ323" s="141"/>
      <c r="AK323" s="141"/>
      <c r="AL323" s="141"/>
      <c r="AM323" s="141"/>
      <c r="AN323" s="141"/>
    </row>
    <row r="324" spans="1:40" ht="14.5" x14ac:dyDescent="0.35">
      <c r="A324" s="373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  <c r="AE324" s="141"/>
      <c r="AF324" s="141"/>
      <c r="AG324" s="141"/>
      <c r="AH324" s="141"/>
      <c r="AI324" s="141"/>
      <c r="AJ324" s="141"/>
      <c r="AK324" s="141"/>
      <c r="AL324" s="141"/>
      <c r="AM324" s="141"/>
      <c r="AN324" s="141"/>
    </row>
    <row r="325" spans="1:40" ht="14.5" x14ac:dyDescent="0.35">
      <c r="A325" s="373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  <c r="AL325" s="141"/>
      <c r="AM325" s="141"/>
      <c r="AN325" s="141"/>
    </row>
    <row r="326" spans="1:40" ht="14.5" x14ac:dyDescent="0.35">
      <c r="A326" s="373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  <c r="AL326" s="141"/>
      <c r="AM326" s="141"/>
      <c r="AN326" s="141"/>
    </row>
    <row r="327" spans="1:40" ht="14.5" x14ac:dyDescent="0.35">
      <c r="A327" s="373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  <c r="AL327" s="141"/>
      <c r="AM327" s="141"/>
      <c r="AN327" s="141"/>
    </row>
    <row r="328" spans="1:40" ht="14.5" x14ac:dyDescent="0.35">
      <c r="A328" s="373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  <c r="AE328" s="141"/>
      <c r="AF328" s="141"/>
      <c r="AG328" s="141"/>
      <c r="AH328" s="141"/>
      <c r="AI328" s="141"/>
      <c r="AJ328" s="141"/>
      <c r="AK328" s="141"/>
      <c r="AL328" s="141"/>
      <c r="AM328" s="141"/>
      <c r="AN328" s="141"/>
    </row>
    <row r="329" spans="1:40" ht="14.5" x14ac:dyDescent="0.35">
      <c r="A329" s="373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  <c r="AE329" s="141"/>
      <c r="AF329" s="141"/>
      <c r="AG329" s="141"/>
      <c r="AH329" s="141"/>
      <c r="AI329" s="141"/>
      <c r="AJ329" s="141"/>
      <c r="AK329" s="141"/>
      <c r="AL329" s="141"/>
      <c r="AM329" s="141"/>
      <c r="AN329" s="141"/>
    </row>
    <row r="330" spans="1:40" ht="14.5" x14ac:dyDescent="0.35">
      <c r="A330" s="373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  <c r="AE330" s="141"/>
      <c r="AF330" s="141"/>
      <c r="AG330" s="141"/>
      <c r="AH330" s="141"/>
      <c r="AI330" s="141"/>
      <c r="AJ330" s="141"/>
      <c r="AK330" s="141"/>
      <c r="AL330" s="141"/>
      <c r="AM330" s="141"/>
      <c r="AN330" s="141"/>
    </row>
    <row r="331" spans="1:40" ht="14.5" x14ac:dyDescent="0.35">
      <c r="A331" s="373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  <c r="AL331" s="141"/>
      <c r="AM331" s="141"/>
      <c r="AN331" s="141"/>
    </row>
    <row r="332" spans="1:40" ht="14.5" x14ac:dyDescent="0.35">
      <c r="A332" s="373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  <c r="AL332" s="141"/>
      <c r="AM332" s="141"/>
      <c r="AN332" s="141"/>
    </row>
    <row r="333" spans="1:40" ht="14.5" x14ac:dyDescent="0.35">
      <c r="A333" s="373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  <c r="AE333" s="141"/>
      <c r="AF333" s="141"/>
      <c r="AG333" s="141"/>
      <c r="AH333" s="141"/>
      <c r="AI333" s="141"/>
      <c r="AJ333" s="141"/>
      <c r="AK333" s="141"/>
      <c r="AL333" s="141"/>
      <c r="AM333" s="141"/>
      <c r="AN333" s="141"/>
    </row>
    <row r="334" spans="1:40" ht="14.5" x14ac:dyDescent="0.35">
      <c r="A334" s="373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  <c r="AE334" s="141"/>
      <c r="AF334" s="141"/>
      <c r="AG334" s="141"/>
      <c r="AH334" s="141"/>
      <c r="AI334" s="141"/>
      <c r="AJ334" s="141"/>
      <c r="AK334" s="141"/>
      <c r="AL334" s="141"/>
      <c r="AM334" s="141"/>
      <c r="AN334" s="141"/>
    </row>
    <row r="335" spans="1:40" ht="14.5" x14ac:dyDescent="0.35">
      <c r="A335" s="373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  <c r="AE335" s="141"/>
      <c r="AF335" s="141"/>
      <c r="AG335" s="141"/>
      <c r="AH335" s="141"/>
      <c r="AI335" s="141"/>
      <c r="AJ335" s="141"/>
      <c r="AK335" s="141"/>
      <c r="AL335" s="141"/>
      <c r="AM335" s="141"/>
      <c r="AN335" s="141"/>
    </row>
    <row r="336" spans="1:40" ht="14.5" x14ac:dyDescent="0.35">
      <c r="A336" s="373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  <c r="AE336" s="141"/>
      <c r="AF336" s="141"/>
      <c r="AG336" s="141"/>
      <c r="AH336" s="141"/>
      <c r="AI336" s="141"/>
      <c r="AJ336" s="141"/>
      <c r="AK336" s="141"/>
      <c r="AL336" s="141"/>
      <c r="AM336" s="141"/>
      <c r="AN336" s="141"/>
    </row>
    <row r="337" spans="1:40" ht="14.5" x14ac:dyDescent="0.35">
      <c r="A337" s="373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  <c r="AE337" s="141"/>
      <c r="AF337" s="141"/>
      <c r="AG337" s="141"/>
      <c r="AH337" s="141"/>
      <c r="AI337" s="141"/>
      <c r="AJ337" s="141"/>
      <c r="AK337" s="141"/>
      <c r="AL337" s="141"/>
      <c r="AM337" s="141"/>
      <c r="AN337" s="141"/>
    </row>
    <row r="338" spans="1:40" ht="14.5" x14ac:dyDescent="0.35">
      <c r="A338" s="373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  <c r="AL338" s="141"/>
      <c r="AM338" s="141"/>
      <c r="AN338" s="141"/>
    </row>
    <row r="339" spans="1:40" ht="14.5" x14ac:dyDescent="0.35">
      <c r="A339" s="373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  <c r="AE339" s="141"/>
      <c r="AF339" s="141"/>
      <c r="AG339" s="141"/>
      <c r="AH339" s="141"/>
      <c r="AI339" s="141"/>
      <c r="AJ339" s="141"/>
      <c r="AK339" s="141"/>
      <c r="AL339" s="141"/>
      <c r="AM339" s="141"/>
      <c r="AN339" s="141"/>
    </row>
    <row r="340" spans="1:40" ht="14.5" x14ac:dyDescent="0.35">
      <c r="A340" s="373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  <c r="AE340" s="141"/>
      <c r="AF340" s="141"/>
      <c r="AG340" s="141"/>
      <c r="AH340" s="141"/>
      <c r="AI340" s="141"/>
      <c r="AJ340" s="141"/>
      <c r="AK340" s="141"/>
      <c r="AL340" s="141"/>
      <c r="AM340" s="141"/>
      <c r="AN340" s="141"/>
    </row>
    <row r="341" spans="1:40" ht="14.5" x14ac:dyDescent="0.35">
      <c r="A341" s="373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  <c r="AE341" s="141"/>
      <c r="AF341" s="141"/>
      <c r="AG341" s="141"/>
      <c r="AH341" s="141"/>
      <c r="AI341" s="141"/>
      <c r="AJ341" s="141"/>
      <c r="AK341" s="141"/>
      <c r="AL341" s="141"/>
      <c r="AM341" s="141"/>
      <c r="AN341" s="141"/>
    </row>
    <row r="342" spans="1:40" ht="14.5" x14ac:dyDescent="0.35">
      <c r="A342" s="373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  <c r="AE342" s="141"/>
      <c r="AF342" s="141"/>
      <c r="AG342" s="141"/>
      <c r="AH342" s="141"/>
      <c r="AI342" s="141"/>
      <c r="AJ342" s="141"/>
      <c r="AK342" s="141"/>
      <c r="AL342" s="141"/>
      <c r="AM342" s="141"/>
      <c r="AN342" s="141"/>
    </row>
    <row r="343" spans="1:40" ht="14.5" x14ac:dyDescent="0.35">
      <c r="A343" s="373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  <c r="AE343" s="141"/>
      <c r="AF343" s="141"/>
      <c r="AG343" s="141"/>
      <c r="AH343" s="141"/>
      <c r="AI343" s="141"/>
      <c r="AJ343" s="141"/>
      <c r="AK343" s="141"/>
      <c r="AL343" s="141"/>
      <c r="AM343" s="141"/>
      <c r="AN343" s="141"/>
    </row>
    <row r="344" spans="1:40" ht="14.5" x14ac:dyDescent="0.35">
      <c r="A344" s="373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  <c r="AL344" s="141"/>
      <c r="AM344" s="141"/>
      <c r="AN344" s="141"/>
    </row>
    <row r="345" spans="1:40" ht="14.5" x14ac:dyDescent="0.35">
      <c r="A345" s="373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  <c r="AL345" s="141"/>
      <c r="AM345" s="141"/>
      <c r="AN345" s="141"/>
    </row>
    <row r="346" spans="1:40" ht="14.5" x14ac:dyDescent="0.35">
      <c r="A346" s="373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  <c r="AL346" s="141"/>
      <c r="AM346" s="141"/>
      <c r="AN346" s="141"/>
    </row>
    <row r="347" spans="1:40" ht="14.5" x14ac:dyDescent="0.35">
      <c r="A347" s="373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  <c r="AE347" s="141"/>
      <c r="AF347" s="141"/>
      <c r="AG347" s="141"/>
      <c r="AH347" s="141"/>
      <c r="AI347" s="141"/>
      <c r="AJ347" s="141"/>
      <c r="AK347" s="141"/>
      <c r="AL347" s="141"/>
      <c r="AM347" s="141"/>
      <c r="AN347" s="141"/>
    </row>
    <row r="348" spans="1:40" ht="14.5" x14ac:dyDescent="0.35">
      <c r="A348" s="373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  <c r="AE348" s="141"/>
      <c r="AF348" s="141"/>
      <c r="AG348" s="141"/>
      <c r="AH348" s="141"/>
      <c r="AI348" s="141"/>
      <c r="AJ348" s="141"/>
      <c r="AK348" s="141"/>
      <c r="AL348" s="141"/>
      <c r="AM348" s="141"/>
      <c r="AN348" s="141"/>
    </row>
    <row r="349" spans="1:40" ht="14.5" x14ac:dyDescent="0.35">
      <c r="A349" s="373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  <c r="AL349" s="141"/>
      <c r="AM349" s="141"/>
      <c r="AN349" s="141"/>
    </row>
    <row r="350" spans="1:40" ht="14.5" x14ac:dyDescent="0.35">
      <c r="A350" s="373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  <c r="AL350" s="141"/>
      <c r="AM350" s="141"/>
      <c r="AN350" s="141"/>
    </row>
    <row r="351" spans="1:40" ht="14.5" x14ac:dyDescent="0.35">
      <c r="A351" s="373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  <c r="AE351" s="141"/>
      <c r="AF351" s="141"/>
      <c r="AG351" s="141"/>
      <c r="AH351" s="141"/>
      <c r="AI351" s="141"/>
      <c r="AJ351" s="141"/>
      <c r="AK351" s="141"/>
      <c r="AL351" s="141"/>
      <c r="AM351" s="141"/>
      <c r="AN351" s="141"/>
    </row>
    <row r="352" spans="1:40" ht="14.5" x14ac:dyDescent="0.35">
      <c r="A352" s="373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  <c r="AE352" s="141"/>
      <c r="AF352" s="141"/>
      <c r="AG352" s="141"/>
      <c r="AH352" s="141"/>
      <c r="AI352" s="141"/>
      <c r="AJ352" s="141"/>
      <c r="AK352" s="141"/>
      <c r="AL352" s="141"/>
      <c r="AM352" s="141"/>
      <c r="AN352" s="141"/>
    </row>
    <row r="353" spans="1:40" ht="14.5" x14ac:dyDescent="0.35">
      <c r="A353" s="373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  <c r="AE353" s="141"/>
      <c r="AF353" s="141"/>
      <c r="AG353" s="141"/>
      <c r="AH353" s="141"/>
      <c r="AI353" s="141"/>
      <c r="AJ353" s="141"/>
      <c r="AK353" s="141"/>
      <c r="AL353" s="141"/>
      <c r="AM353" s="141"/>
      <c r="AN353" s="141"/>
    </row>
    <row r="354" spans="1:40" ht="14.5" x14ac:dyDescent="0.35">
      <c r="A354" s="373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  <c r="AE354" s="141"/>
      <c r="AF354" s="141"/>
      <c r="AG354" s="141"/>
      <c r="AH354" s="141"/>
      <c r="AI354" s="141"/>
      <c r="AJ354" s="141"/>
      <c r="AK354" s="141"/>
      <c r="AL354" s="141"/>
      <c r="AM354" s="141"/>
      <c r="AN354" s="141"/>
    </row>
    <row r="355" spans="1:40" ht="14.5" x14ac:dyDescent="0.35">
      <c r="A355" s="373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41"/>
      <c r="AG355" s="141"/>
      <c r="AH355" s="141"/>
      <c r="AI355" s="141"/>
      <c r="AJ355" s="141"/>
      <c r="AK355" s="141"/>
      <c r="AL355" s="141"/>
      <c r="AM355" s="141"/>
      <c r="AN355" s="141"/>
    </row>
    <row r="356" spans="1:40" ht="14.5" x14ac:dyDescent="0.35">
      <c r="A356" s="373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41"/>
      <c r="AG356" s="141"/>
      <c r="AH356" s="141"/>
      <c r="AI356" s="141"/>
      <c r="AJ356" s="141"/>
      <c r="AK356" s="141"/>
      <c r="AL356" s="141"/>
      <c r="AM356" s="141"/>
      <c r="AN356" s="141"/>
    </row>
    <row r="357" spans="1:40" ht="14.5" x14ac:dyDescent="0.35">
      <c r="A357" s="373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  <c r="AE357" s="141"/>
      <c r="AF357" s="141"/>
      <c r="AG357" s="141"/>
      <c r="AH357" s="141"/>
      <c r="AI357" s="141"/>
      <c r="AJ357" s="141"/>
      <c r="AK357" s="141"/>
      <c r="AL357" s="141"/>
      <c r="AM357" s="141"/>
      <c r="AN357" s="141"/>
    </row>
    <row r="358" spans="1:40" ht="14.5" x14ac:dyDescent="0.35">
      <c r="A358" s="373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  <c r="AE358" s="141"/>
      <c r="AF358" s="141"/>
      <c r="AG358" s="141"/>
      <c r="AH358" s="141"/>
      <c r="AI358" s="141"/>
      <c r="AJ358" s="141"/>
      <c r="AK358" s="141"/>
      <c r="AL358" s="141"/>
      <c r="AM358" s="141"/>
      <c r="AN358" s="141"/>
    </row>
    <row r="359" spans="1:40" ht="14.5" x14ac:dyDescent="0.35">
      <c r="A359" s="373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  <c r="AE359" s="141"/>
      <c r="AF359" s="141"/>
      <c r="AG359" s="141"/>
      <c r="AH359" s="141"/>
      <c r="AI359" s="141"/>
      <c r="AJ359" s="141"/>
      <c r="AK359" s="141"/>
      <c r="AL359" s="141"/>
      <c r="AM359" s="141"/>
      <c r="AN359" s="141"/>
    </row>
    <row r="360" spans="1:40" ht="14.5" x14ac:dyDescent="0.35">
      <c r="A360" s="373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  <c r="AE360" s="141"/>
      <c r="AF360" s="141"/>
      <c r="AG360" s="141"/>
      <c r="AH360" s="141"/>
      <c r="AI360" s="141"/>
      <c r="AJ360" s="141"/>
      <c r="AK360" s="141"/>
      <c r="AL360" s="141"/>
      <c r="AM360" s="141"/>
      <c r="AN360" s="141"/>
    </row>
    <row r="361" spans="1:40" ht="14.5" x14ac:dyDescent="0.35">
      <c r="A361" s="373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  <c r="AE361" s="141"/>
      <c r="AF361" s="141"/>
      <c r="AG361" s="141"/>
      <c r="AH361" s="141"/>
      <c r="AI361" s="141"/>
      <c r="AJ361" s="141"/>
      <c r="AK361" s="141"/>
      <c r="AL361" s="141"/>
      <c r="AM361" s="141"/>
      <c r="AN361" s="141"/>
    </row>
    <row r="362" spans="1:40" ht="14.5" x14ac:dyDescent="0.35">
      <c r="A362" s="373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  <c r="AE362" s="141"/>
      <c r="AF362" s="141"/>
      <c r="AG362" s="141"/>
      <c r="AH362" s="141"/>
      <c r="AI362" s="141"/>
      <c r="AJ362" s="141"/>
      <c r="AK362" s="141"/>
      <c r="AL362" s="141"/>
      <c r="AM362" s="141"/>
      <c r="AN362" s="141"/>
    </row>
    <row r="363" spans="1:40" ht="14.5" x14ac:dyDescent="0.35">
      <c r="A363" s="373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41"/>
      <c r="AJ363" s="141"/>
      <c r="AK363" s="141"/>
      <c r="AL363" s="141"/>
      <c r="AM363" s="141"/>
      <c r="AN363" s="141"/>
    </row>
    <row r="364" spans="1:40" ht="14.5" x14ac:dyDescent="0.35">
      <c r="A364" s="373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41"/>
      <c r="AJ364" s="141"/>
      <c r="AK364" s="141"/>
      <c r="AL364" s="141"/>
      <c r="AM364" s="141"/>
      <c r="AN364" s="141"/>
    </row>
    <row r="365" spans="1:40" ht="14.5" x14ac:dyDescent="0.35">
      <c r="A365" s="373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  <c r="AE365" s="141"/>
      <c r="AF365" s="141"/>
      <c r="AG365" s="141"/>
      <c r="AH365" s="141"/>
      <c r="AI365" s="141"/>
      <c r="AJ365" s="141"/>
      <c r="AK365" s="141"/>
      <c r="AL365" s="141"/>
      <c r="AM365" s="141"/>
      <c r="AN365" s="141"/>
    </row>
    <row r="366" spans="1:40" ht="14.5" x14ac:dyDescent="0.35">
      <c r="A366" s="373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  <c r="AE366" s="141"/>
      <c r="AF366" s="141"/>
      <c r="AG366" s="141"/>
      <c r="AH366" s="141"/>
      <c r="AI366" s="141"/>
      <c r="AJ366" s="141"/>
      <c r="AK366" s="141"/>
      <c r="AL366" s="141"/>
      <c r="AM366" s="141"/>
      <c r="AN366" s="141"/>
    </row>
    <row r="367" spans="1:40" ht="14.5" x14ac:dyDescent="0.35">
      <c r="A367" s="373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  <c r="AE367" s="141"/>
      <c r="AF367" s="141"/>
      <c r="AG367" s="141"/>
      <c r="AH367" s="141"/>
      <c r="AI367" s="141"/>
      <c r="AJ367" s="141"/>
      <c r="AK367" s="141"/>
      <c r="AL367" s="141"/>
      <c r="AM367" s="141"/>
      <c r="AN367" s="141"/>
    </row>
    <row r="368" spans="1:40" ht="14.5" x14ac:dyDescent="0.35">
      <c r="A368" s="373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  <c r="AE368" s="141"/>
      <c r="AF368" s="141"/>
      <c r="AG368" s="141"/>
      <c r="AH368" s="141"/>
      <c r="AI368" s="141"/>
      <c r="AJ368" s="141"/>
      <c r="AK368" s="141"/>
      <c r="AL368" s="141"/>
      <c r="AM368" s="141"/>
      <c r="AN368" s="141"/>
    </row>
    <row r="369" spans="1:40" ht="14.5" x14ac:dyDescent="0.35">
      <c r="A369" s="373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  <c r="AE369" s="141"/>
      <c r="AF369" s="141"/>
      <c r="AG369" s="141"/>
      <c r="AH369" s="141"/>
      <c r="AI369" s="141"/>
      <c r="AJ369" s="141"/>
      <c r="AK369" s="141"/>
      <c r="AL369" s="141"/>
      <c r="AM369" s="141"/>
      <c r="AN369" s="141"/>
    </row>
    <row r="370" spans="1:40" ht="14.5" x14ac:dyDescent="0.35">
      <c r="A370" s="373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  <c r="AE370" s="141"/>
      <c r="AF370" s="141"/>
      <c r="AG370" s="141"/>
      <c r="AH370" s="141"/>
      <c r="AI370" s="141"/>
      <c r="AJ370" s="141"/>
      <c r="AK370" s="141"/>
      <c r="AL370" s="141"/>
      <c r="AM370" s="141"/>
      <c r="AN370" s="141"/>
    </row>
    <row r="371" spans="1:40" ht="14.5" x14ac:dyDescent="0.35">
      <c r="A371" s="373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  <c r="AE371" s="141"/>
      <c r="AF371" s="141"/>
      <c r="AG371" s="141"/>
      <c r="AH371" s="141"/>
      <c r="AI371" s="141"/>
      <c r="AJ371" s="141"/>
      <c r="AK371" s="141"/>
      <c r="AL371" s="141"/>
      <c r="AM371" s="141"/>
      <c r="AN371" s="141"/>
    </row>
    <row r="372" spans="1:40" ht="14.5" x14ac:dyDescent="0.35">
      <c r="A372" s="373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  <c r="AE372" s="141"/>
      <c r="AF372" s="141"/>
      <c r="AG372" s="141"/>
      <c r="AH372" s="141"/>
      <c r="AI372" s="141"/>
      <c r="AJ372" s="141"/>
      <c r="AK372" s="141"/>
      <c r="AL372" s="141"/>
      <c r="AM372" s="141"/>
      <c r="AN372" s="141"/>
    </row>
    <row r="373" spans="1:40" ht="14.5" x14ac:dyDescent="0.35">
      <c r="A373" s="373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  <c r="AE373" s="141"/>
      <c r="AF373" s="141"/>
      <c r="AG373" s="141"/>
      <c r="AH373" s="141"/>
      <c r="AI373" s="141"/>
      <c r="AJ373" s="141"/>
      <c r="AK373" s="141"/>
      <c r="AL373" s="141"/>
      <c r="AM373" s="141"/>
      <c r="AN373" s="141"/>
    </row>
    <row r="374" spans="1:40" ht="14.5" x14ac:dyDescent="0.35">
      <c r="A374" s="373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  <c r="AE374" s="141"/>
      <c r="AF374" s="141"/>
      <c r="AG374" s="141"/>
      <c r="AH374" s="141"/>
      <c r="AI374" s="141"/>
      <c r="AJ374" s="141"/>
      <c r="AK374" s="141"/>
      <c r="AL374" s="141"/>
      <c r="AM374" s="141"/>
      <c r="AN374" s="141"/>
    </row>
    <row r="375" spans="1:40" ht="14.5" x14ac:dyDescent="0.35">
      <c r="A375" s="373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  <c r="AE375" s="141"/>
      <c r="AF375" s="141"/>
      <c r="AG375" s="141"/>
      <c r="AH375" s="141"/>
      <c r="AI375" s="141"/>
      <c r="AJ375" s="141"/>
      <c r="AK375" s="141"/>
      <c r="AL375" s="141"/>
      <c r="AM375" s="141"/>
      <c r="AN375" s="141"/>
    </row>
    <row r="376" spans="1:40" ht="14.5" x14ac:dyDescent="0.35">
      <c r="A376" s="373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  <c r="AE376" s="141"/>
      <c r="AF376" s="141"/>
      <c r="AG376" s="141"/>
      <c r="AH376" s="141"/>
      <c r="AI376" s="141"/>
      <c r="AJ376" s="141"/>
      <c r="AK376" s="141"/>
      <c r="AL376" s="141"/>
      <c r="AM376" s="141"/>
      <c r="AN376" s="141"/>
    </row>
    <row r="377" spans="1:40" ht="14.5" x14ac:dyDescent="0.35">
      <c r="A377" s="373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  <c r="AE377" s="141"/>
      <c r="AF377" s="141"/>
      <c r="AG377" s="141"/>
      <c r="AH377" s="141"/>
      <c r="AI377" s="141"/>
      <c r="AJ377" s="141"/>
      <c r="AK377" s="141"/>
      <c r="AL377" s="141"/>
      <c r="AM377" s="141"/>
      <c r="AN377" s="141"/>
    </row>
    <row r="378" spans="1:40" ht="14.5" x14ac:dyDescent="0.35">
      <c r="A378" s="373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  <c r="AE378" s="141"/>
      <c r="AF378" s="141"/>
      <c r="AG378" s="141"/>
      <c r="AH378" s="141"/>
      <c r="AI378" s="141"/>
      <c r="AJ378" s="141"/>
      <c r="AK378" s="141"/>
      <c r="AL378" s="141"/>
      <c r="AM378" s="141"/>
      <c r="AN378" s="141"/>
    </row>
    <row r="379" spans="1:40" ht="14.5" x14ac:dyDescent="0.35">
      <c r="A379" s="373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  <c r="AL379" s="141"/>
      <c r="AM379" s="141"/>
      <c r="AN379" s="141"/>
    </row>
    <row r="380" spans="1:40" ht="14.5" x14ac:dyDescent="0.35">
      <c r="A380" s="373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  <c r="AL380" s="141"/>
      <c r="AM380" s="141"/>
      <c r="AN380" s="141"/>
    </row>
    <row r="381" spans="1:40" ht="14.5" x14ac:dyDescent="0.35">
      <c r="A381" s="373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  <c r="AE381" s="141"/>
      <c r="AF381" s="141"/>
      <c r="AG381" s="141"/>
      <c r="AH381" s="141"/>
      <c r="AI381" s="141"/>
      <c r="AJ381" s="141"/>
      <c r="AK381" s="141"/>
      <c r="AL381" s="141"/>
      <c r="AM381" s="141"/>
      <c r="AN381" s="141"/>
    </row>
    <row r="382" spans="1:40" ht="14.5" x14ac:dyDescent="0.35">
      <c r="A382" s="373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  <c r="AE382" s="141"/>
      <c r="AF382" s="141"/>
      <c r="AG382" s="141"/>
      <c r="AH382" s="141"/>
      <c r="AI382" s="141"/>
      <c r="AJ382" s="141"/>
      <c r="AK382" s="141"/>
      <c r="AL382" s="141"/>
      <c r="AM382" s="141"/>
      <c r="AN382" s="141"/>
    </row>
    <row r="383" spans="1:40" ht="14.5" x14ac:dyDescent="0.35">
      <c r="A383" s="373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  <c r="AE383" s="141"/>
      <c r="AF383" s="141"/>
      <c r="AG383" s="141"/>
      <c r="AH383" s="141"/>
      <c r="AI383" s="141"/>
      <c r="AJ383" s="141"/>
      <c r="AK383" s="141"/>
      <c r="AL383" s="141"/>
      <c r="AM383" s="141"/>
      <c r="AN383" s="141"/>
    </row>
    <row r="384" spans="1:40" ht="14.5" x14ac:dyDescent="0.35">
      <c r="A384" s="373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  <c r="AE384" s="141"/>
      <c r="AF384" s="141"/>
      <c r="AG384" s="141"/>
      <c r="AH384" s="141"/>
      <c r="AI384" s="141"/>
      <c r="AJ384" s="141"/>
      <c r="AK384" s="141"/>
      <c r="AL384" s="141"/>
      <c r="AM384" s="141"/>
      <c r="AN384" s="141"/>
    </row>
    <row r="385" spans="1:40" ht="14.5" x14ac:dyDescent="0.35">
      <c r="A385" s="373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  <c r="AE385" s="141"/>
      <c r="AF385" s="141"/>
      <c r="AG385" s="141"/>
      <c r="AH385" s="141"/>
      <c r="AI385" s="141"/>
      <c r="AJ385" s="141"/>
      <c r="AK385" s="141"/>
      <c r="AL385" s="141"/>
      <c r="AM385" s="141"/>
      <c r="AN385" s="141"/>
    </row>
    <row r="386" spans="1:40" ht="14.5" x14ac:dyDescent="0.35">
      <c r="A386" s="373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  <c r="AL386" s="141"/>
      <c r="AM386" s="141"/>
      <c r="AN386" s="141"/>
    </row>
    <row r="387" spans="1:40" ht="14.5" x14ac:dyDescent="0.35">
      <c r="A387" s="373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  <c r="AL387" s="141"/>
      <c r="AM387" s="141"/>
      <c r="AN387" s="141"/>
    </row>
    <row r="388" spans="1:40" ht="14.5" x14ac:dyDescent="0.35">
      <c r="A388" s="373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  <c r="AL388" s="141"/>
      <c r="AM388" s="141"/>
      <c r="AN388" s="141"/>
    </row>
    <row r="389" spans="1:40" ht="14.5" x14ac:dyDescent="0.35">
      <c r="A389" s="373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  <c r="AE389" s="141"/>
      <c r="AF389" s="141"/>
      <c r="AG389" s="141"/>
      <c r="AH389" s="141"/>
      <c r="AI389" s="141"/>
      <c r="AJ389" s="141"/>
      <c r="AK389" s="141"/>
      <c r="AL389" s="141"/>
      <c r="AM389" s="141"/>
      <c r="AN389" s="141"/>
    </row>
    <row r="390" spans="1:40" ht="14.5" x14ac:dyDescent="0.35">
      <c r="A390" s="373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  <c r="AE390" s="141"/>
      <c r="AF390" s="141"/>
      <c r="AG390" s="141"/>
      <c r="AH390" s="141"/>
      <c r="AI390" s="141"/>
      <c r="AJ390" s="141"/>
      <c r="AK390" s="141"/>
      <c r="AL390" s="141"/>
      <c r="AM390" s="141"/>
      <c r="AN390" s="141"/>
    </row>
    <row r="391" spans="1:40" ht="14.5" x14ac:dyDescent="0.35">
      <c r="A391" s="373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  <c r="AE391" s="141"/>
      <c r="AF391" s="141"/>
      <c r="AG391" s="141"/>
      <c r="AH391" s="141"/>
      <c r="AI391" s="141"/>
      <c r="AJ391" s="141"/>
      <c r="AK391" s="141"/>
      <c r="AL391" s="141"/>
      <c r="AM391" s="141"/>
      <c r="AN391" s="141"/>
    </row>
    <row r="392" spans="1:40" ht="14.5" x14ac:dyDescent="0.35">
      <c r="A392" s="373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  <c r="AE392" s="141"/>
      <c r="AF392" s="141"/>
      <c r="AG392" s="141"/>
      <c r="AH392" s="141"/>
      <c r="AI392" s="141"/>
      <c r="AJ392" s="141"/>
      <c r="AK392" s="141"/>
      <c r="AL392" s="141"/>
      <c r="AM392" s="141"/>
      <c r="AN392" s="141"/>
    </row>
    <row r="393" spans="1:40" ht="14.5" x14ac:dyDescent="0.35">
      <c r="A393" s="373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  <c r="AE393" s="141"/>
      <c r="AF393" s="141"/>
      <c r="AG393" s="141"/>
      <c r="AH393" s="141"/>
      <c r="AI393" s="141"/>
      <c r="AJ393" s="141"/>
      <c r="AK393" s="141"/>
      <c r="AL393" s="141"/>
      <c r="AM393" s="141"/>
      <c r="AN393" s="141"/>
    </row>
    <row r="394" spans="1:40" ht="14.5" x14ac:dyDescent="0.35">
      <c r="A394" s="373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  <c r="AL394" s="141"/>
      <c r="AM394" s="141"/>
      <c r="AN394" s="141"/>
    </row>
    <row r="395" spans="1:40" ht="14.5" x14ac:dyDescent="0.35">
      <c r="A395" s="373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  <c r="AL395" s="141"/>
      <c r="AM395" s="141"/>
      <c r="AN395" s="141"/>
    </row>
    <row r="396" spans="1:40" ht="14.5" x14ac:dyDescent="0.35">
      <c r="A396" s="373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  <c r="AL396" s="141"/>
      <c r="AM396" s="141"/>
      <c r="AN396" s="141"/>
    </row>
    <row r="397" spans="1:40" ht="14.5" x14ac:dyDescent="0.35">
      <c r="A397" s="373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  <c r="AE397" s="141"/>
      <c r="AF397" s="141"/>
      <c r="AG397" s="141"/>
      <c r="AH397" s="141"/>
      <c r="AI397" s="141"/>
      <c r="AJ397" s="141"/>
      <c r="AK397" s="141"/>
      <c r="AL397" s="141"/>
      <c r="AM397" s="141"/>
      <c r="AN397" s="141"/>
    </row>
    <row r="398" spans="1:40" ht="14.5" x14ac:dyDescent="0.35">
      <c r="A398" s="373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  <c r="AE398" s="141"/>
      <c r="AF398" s="141"/>
      <c r="AG398" s="141"/>
      <c r="AH398" s="141"/>
      <c r="AI398" s="141"/>
      <c r="AJ398" s="141"/>
      <c r="AK398" s="141"/>
      <c r="AL398" s="141"/>
      <c r="AM398" s="141"/>
      <c r="AN398" s="141"/>
    </row>
    <row r="399" spans="1:40" ht="14.5" x14ac:dyDescent="0.35">
      <c r="A399" s="373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  <c r="AE399" s="141"/>
      <c r="AF399" s="141"/>
      <c r="AG399" s="141"/>
      <c r="AH399" s="141"/>
      <c r="AI399" s="141"/>
      <c r="AJ399" s="141"/>
      <c r="AK399" s="141"/>
      <c r="AL399" s="141"/>
      <c r="AM399" s="141"/>
      <c r="AN399" s="141"/>
    </row>
    <row r="400" spans="1:40" ht="14.5" x14ac:dyDescent="0.35">
      <c r="A400" s="373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  <c r="AE400" s="141"/>
      <c r="AF400" s="141"/>
      <c r="AG400" s="141"/>
      <c r="AH400" s="141"/>
      <c r="AI400" s="141"/>
      <c r="AJ400" s="141"/>
      <c r="AK400" s="141"/>
      <c r="AL400" s="141"/>
      <c r="AM400" s="141"/>
      <c r="AN400" s="141"/>
    </row>
    <row r="401" spans="1:40" ht="14.5" x14ac:dyDescent="0.35">
      <c r="A401" s="373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  <c r="AE401" s="141"/>
      <c r="AF401" s="141"/>
      <c r="AG401" s="141"/>
      <c r="AH401" s="141"/>
      <c r="AI401" s="141"/>
      <c r="AJ401" s="141"/>
      <c r="AK401" s="141"/>
      <c r="AL401" s="141"/>
      <c r="AM401" s="141"/>
      <c r="AN401" s="141"/>
    </row>
    <row r="402" spans="1:40" ht="14.5" x14ac:dyDescent="0.35">
      <c r="A402" s="373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  <c r="AE402" s="141"/>
      <c r="AF402" s="141"/>
      <c r="AG402" s="141"/>
      <c r="AH402" s="141"/>
      <c r="AI402" s="141"/>
      <c r="AJ402" s="141"/>
      <c r="AK402" s="141"/>
      <c r="AL402" s="141"/>
      <c r="AM402" s="141"/>
      <c r="AN402" s="141"/>
    </row>
    <row r="403" spans="1:40" ht="14.5" x14ac:dyDescent="0.35">
      <c r="A403" s="373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  <c r="AE403" s="141"/>
      <c r="AF403" s="141"/>
      <c r="AG403" s="141"/>
      <c r="AH403" s="141"/>
      <c r="AI403" s="141"/>
      <c r="AJ403" s="141"/>
      <c r="AK403" s="141"/>
      <c r="AL403" s="141"/>
      <c r="AM403" s="141"/>
      <c r="AN403" s="141"/>
    </row>
    <row r="404" spans="1:40" ht="14.5" x14ac:dyDescent="0.35">
      <c r="A404" s="373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  <c r="AE404" s="141"/>
      <c r="AF404" s="141"/>
      <c r="AG404" s="141"/>
      <c r="AH404" s="141"/>
      <c r="AI404" s="141"/>
      <c r="AJ404" s="141"/>
      <c r="AK404" s="141"/>
      <c r="AL404" s="141"/>
      <c r="AM404" s="141"/>
      <c r="AN404" s="141"/>
    </row>
    <row r="405" spans="1:40" ht="14.5" x14ac:dyDescent="0.35">
      <c r="A405" s="373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  <c r="AE405" s="141"/>
      <c r="AF405" s="141"/>
      <c r="AG405" s="141"/>
      <c r="AH405" s="141"/>
      <c r="AI405" s="141"/>
      <c r="AJ405" s="141"/>
      <c r="AK405" s="141"/>
      <c r="AL405" s="141"/>
      <c r="AM405" s="141"/>
      <c r="AN405" s="141"/>
    </row>
    <row r="406" spans="1:40" ht="14.5" x14ac:dyDescent="0.35">
      <c r="A406" s="373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  <c r="AE406" s="141"/>
      <c r="AF406" s="141"/>
      <c r="AG406" s="141"/>
      <c r="AH406" s="141"/>
      <c r="AI406" s="141"/>
      <c r="AJ406" s="141"/>
      <c r="AK406" s="141"/>
      <c r="AL406" s="141"/>
      <c r="AM406" s="141"/>
      <c r="AN406" s="141"/>
    </row>
    <row r="407" spans="1:40" ht="14.5" x14ac:dyDescent="0.35">
      <c r="A407" s="373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  <c r="AE407" s="141"/>
      <c r="AF407" s="141"/>
      <c r="AG407" s="141"/>
      <c r="AH407" s="141"/>
      <c r="AI407" s="141"/>
      <c r="AJ407" s="141"/>
      <c r="AK407" s="141"/>
      <c r="AL407" s="141"/>
      <c r="AM407" s="141"/>
      <c r="AN407" s="141"/>
    </row>
    <row r="408" spans="1:40" ht="14.5" x14ac:dyDescent="0.35">
      <c r="A408" s="373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  <c r="AE408" s="141"/>
      <c r="AF408" s="141"/>
      <c r="AG408" s="141"/>
      <c r="AH408" s="141"/>
      <c r="AI408" s="141"/>
      <c r="AJ408" s="141"/>
      <c r="AK408" s="141"/>
      <c r="AL408" s="141"/>
      <c r="AM408" s="141"/>
      <c r="AN408" s="141"/>
    </row>
    <row r="409" spans="1:40" ht="14.5" x14ac:dyDescent="0.35">
      <c r="A409" s="373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  <c r="AE409" s="141"/>
      <c r="AF409" s="141"/>
      <c r="AG409" s="141"/>
      <c r="AH409" s="141"/>
      <c r="AI409" s="141"/>
      <c r="AJ409" s="141"/>
      <c r="AK409" s="141"/>
      <c r="AL409" s="141"/>
      <c r="AM409" s="141"/>
      <c r="AN409" s="141"/>
    </row>
    <row r="410" spans="1:40" ht="14.5" x14ac:dyDescent="0.35">
      <c r="A410" s="373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41"/>
      <c r="AJ410" s="141"/>
      <c r="AK410" s="141"/>
      <c r="AL410" s="141"/>
      <c r="AM410" s="141"/>
      <c r="AN410" s="141"/>
    </row>
    <row r="411" spans="1:40" ht="14.5" x14ac:dyDescent="0.35">
      <c r="A411" s="373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41"/>
      <c r="AJ411" s="141"/>
      <c r="AK411" s="141"/>
      <c r="AL411" s="141"/>
      <c r="AM411" s="141"/>
      <c r="AN411" s="141"/>
    </row>
    <row r="412" spans="1:40" ht="14.5" x14ac:dyDescent="0.35">
      <c r="A412" s="373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41"/>
      <c r="AJ412" s="141"/>
      <c r="AK412" s="141"/>
      <c r="AL412" s="141"/>
      <c r="AM412" s="141"/>
      <c r="AN412" s="141"/>
    </row>
    <row r="413" spans="1:40" ht="14.5" x14ac:dyDescent="0.35">
      <c r="A413" s="373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  <c r="AE413" s="141"/>
      <c r="AF413" s="141"/>
      <c r="AG413" s="141"/>
      <c r="AH413" s="141"/>
      <c r="AI413" s="141"/>
      <c r="AJ413" s="141"/>
      <c r="AK413" s="141"/>
      <c r="AL413" s="141"/>
      <c r="AM413" s="141"/>
      <c r="AN413" s="141"/>
    </row>
    <row r="414" spans="1:40" ht="14.5" x14ac:dyDescent="0.35">
      <c r="A414" s="373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  <c r="AE414" s="141"/>
      <c r="AF414" s="141"/>
      <c r="AG414" s="141"/>
      <c r="AH414" s="141"/>
      <c r="AI414" s="141"/>
      <c r="AJ414" s="141"/>
      <c r="AK414" s="141"/>
      <c r="AL414" s="141"/>
      <c r="AM414" s="141"/>
      <c r="AN414" s="141"/>
    </row>
    <row r="415" spans="1:40" ht="14.5" x14ac:dyDescent="0.35">
      <c r="A415" s="373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  <c r="AE415" s="141"/>
      <c r="AF415" s="141"/>
      <c r="AG415" s="141"/>
      <c r="AH415" s="141"/>
      <c r="AI415" s="141"/>
      <c r="AJ415" s="141"/>
      <c r="AK415" s="141"/>
      <c r="AL415" s="141"/>
      <c r="AM415" s="141"/>
      <c r="AN415" s="141"/>
    </row>
    <row r="416" spans="1:40" ht="14.5" x14ac:dyDescent="0.35">
      <c r="A416" s="373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  <c r="AE416" s="141"/>
      <c r="AF416" s="141"/>
      <c r="AG416" s="141"/>
      <c r="AH416" s="141"/>
      <c r="AI416" s="141"/>
      <c r="AJ416" s="141"/>
      <c r="AK416" s="141"/>
      <c r="AL416" s="141"/>
      <c r="AM416" s="141"/>
      <c r="AN416" s="141"/>
    </row>
    <row r="417" spans="1:40" ht="14.5" x14ac:dyDescent="0.35">
      <c r="A417" s="373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  <c r="AE417" s="141"/>
      <c r="AF417" s="141"/>
      <c r="AG417" s="141"/>
      <c r="AH417" s="141"/>
      <c r="AI417" s="141"/>
      <c r="AJ417" s="141"/>
      <c r="AK417" s="141"/>
      <c r="AL417" s="141"/>
      <c r="AM417" s="141"/>
      <c r="AN417" s="141"/>
    </row>
    <row r="418" spans="1:40" ht="14.5" x14ac:dyDescent="0.35">
      <c r="A418" s="373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  <c r="AL418" s="141"/>
      <c r="AM418" s="141"/>
      <c r="AN418" s="141"/>
    </row>
    <row r="419" spans="1:40" ht="14.5" x14ac:dyDescent="0.35">
      <c r="A419" s="373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  <c r="AE419" s="141"/>
      <c r="AF419" s="141"/>
      <c r="AG419" s="141"/>
      <c r="AH419" s="141"/>
      <c r="AI419" s="141"/>
      <c r="AJ419" s="141"/>
      <c r="AK419" s="141"/>
      <c r="AL419" s="141"/>
      <c r="AM419" s="141"/>
      <c r="AN419" s="141"/>
    </row>
    <row r="420" spans="1:40" ht="14.5" x14ac:dyDescent="0.35">
      <c r="A420" s="373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  <c r="AE420" s="141"/>
      <c r="AF420" s="141"/>
      <c r="AG420" s="141"/>
      <c r="AH420" s="141"/>
      <c r="AI420" s="141"/>
      <c r="AJ420" s="141"/>
      <c r="AK420" s="141"/>
      <c r="AL420" s="141"/>
      <c r="AM420" s="141"/>
      <c r="AN420" s="141"/>
    </row>
    <row r="421" spans="1:40" ht="14.5" x14ac:dyDescent="0.35">
      <c r="A421" s="373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  <c r="AE421" s="141"/>
      <c r="AF421" s="141"/>
      <c r="AG421" s="141"/>
      <c r="AH421" s="141"/>
      <c r="AI421" s="141"/>
      <c r="AJ421" s="141"/>
      <c r="AK421" s="141"/>
      <c r="AL421" s="141"/>
      <c r="AM421" s="141"/>
      <c r="AN421" s="141"/>
    </row>
    <row r="422" spans="1:40" ht="14.5" x14ac:dyDescent="0.35">
      <c r="A422" s="373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  <c r="AE422" s="141"/>
      <c r="AF422" s="141"/>
      <c r="AG422" s="141"/>
      <c r="AH422" s="141"/>
      <c r="AI422" s="141"/>
      <c r="AJ422" s="141"/>
      <c r="AK422" s="141"/>
      <c r="AL422" s="141"/>
      <c r="AM422" s="141"/>
      <c r="AN422" s="141"/>
    </row>
    <row r="423" spans="1:40" ht="14.5" x14ac:dyDescent="0.35">
      <c r="A423" s="373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  <c r="AE423" s="141"/>
      <c r="AF423" s="141"/>
      <c r="AG423" s="141"/>
      <c r="AH423" s="141"/>
      <c r="AI423" s="141"/>
      <c r="AJ423" s="141"/>
      <c r="AK423" s="141"/>
      <c r="AL423" s="141"/>
      <c r="AM423" s="141"/>
      <c r="AN423" s="141"/>
    </row>
    <row r="424" spans="1:40" ht="14.5" x14ac:dyDescent="0.35">
      <c r="A424" s="373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  <c r="AE424" s="141"/>
      <c r="AF424" s="141"/>
      <c r="AG424" s="141"/>
      <c r="AH424" s="141"/>
      <c r="AI424" s="141"/>
      <c r="AJ424" s="141"/>
      <c r="AK424" s="141"/>
      <c r="AL424" s="141"/>
      <c r="AM424" s="141"/>
      <c r="AN424" s="141"/>
    </row>
    <row r="425" spans="1:40" ht="14.5" x14ac:dyDescent="0.35">
      <c r="A425" s="373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  <c r="AE425" s="141"/>
      <c r="AF425" s="141"/>
      <c r="AG425" s="141"/>
      <c r="AH425" s="141"/>
      <c r="AI425" s="141"/>
      <c r="AJ425" s="141"/>
      <c r="AK425" s="141"/>
      <c r="AL425" s="141"/>
      <c r="AM425" s="141"/>
      <c r="AN425" s="141"/>
    </row>
    <row r="426" spans="1:40" ht="14.5" x14ac:dyDescent="0.35">
      <c r="A426" s="373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  <c r="AE426" s="141"/>
      <c r="AF426" s="141"/>
      <c r="AG426" s="141"/>
      <c r="AH426" s="141"/>
      <c r="AI426" s="141"/>
      <c r="AJ426" s="141"/>
      <c r="AK426" s="141"/>
      <c r="AL426" s="141"/>
      <c r="AM426" s="141"/>
      <c r="AN426" s="141"/>
    </row>
    <row r="427" spans="1:40" ht="14.5" x14ac:dyDescent="0.35">
      <c r="A427" s="373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  <c r="AE427" s="141"/>
      <c r="AF427" s="141"/>
      <c r="AG427" s="141"/>
      <c r="AH427" s="141"/>
      <c r="AI427" s="141"/>
      <c r="AJ427" s="141"/>
      <c r="AK427" s="141"/>
      <c r="AL427" s="141"/>
      <c r="AM427" s="141"/>
      <c r="AN427" s="141"/>
    </row>
    <row r="428" spans="1:40" ht="14.5" x14ac:dyDescent="0.35">
      <c r="A428" s="373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  <c r="AE428" s="141"/>
      <c r="AF428" s="141"/>
      <c r="AG428" s="141"/>
      <c r="AH428" s="141"/>
      <c r="AI428" s="141"/>
      <c r="AJ428" s="141"/>
      <c r="AK428" s="141"/>
      <c r="AL428" s="141"/>
      <c r="AM428" s="141"/>
      <c r="AN428" s="141"/>
    </row>
    <row r="429" spans="1:40" ht="14.5" x14ac:dyDescent="0.35">
      <c r="A429" s="373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  <c r="AE429" s="141"/>
      <c r="AF429" s="141"/>
      <c r="AG429" s="141"/>
      <c r="AH429" s="141"/>
      <c r="AI429" s="141"/>
      <c r="AJ429" s="141"/>
      <c r="AK429" s="141"/>
      <c r="AL429" s="141"/>
      <c r="AM429" s="141"/>
      <c r="AN429" s="141"/>
    </row>
    <row r="430" spans="1:40" ht="14.5" x14ac:dyDescent="0.35">
      <c r="A430" s="373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  <c r="AE430" s="141"/>
      <c r="AF430" s="141"/>
      <c r="AG430" s="141"/>
      <c r="AH430" s="141"/>
      <c r="AI430" s="141"/>
      <c r="AJ430" s="141"/>
      <c r="AK430" s="141"/>
      <c r="AL430" s="141"/>
      <c r="AM430" s="141"/>
      <c r="AN430" s="141"/>
    </row>
    <row r="431" spans="1:40" ht="14.5" x14ac:dyDescent="0.35">
      <c r="A431" s="373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  <c r="AE431" s="141"/>
      <c r="AF431" s="141"/>
      <c r="AG431" s="141"/>
      <c r="AH431" s="141"/>
      <c r="AI431" s="141"/>
      <c r="AJ431" s="141"/>
      <c r="AK431" s="141"/>
      <c r="AL431" s="141"/>
      <c r="AM431" s="141"/>
      <c r="AN431" s="141"/>
    </row>
    <row r="432" spans="1:40" ht="14.5" x14ac:dyDescent="0.35">
      <c r="A432" s="373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  <c r="AE432" s="141"/>
      <c r="AF432" s="141"/>
      <c r="AG432" s="141"/>
      <c r="AH432" s="141"/>
      <c r="AI432" s="141"/>
      <c r="AJ432" s="141"/>
      <c r="AK432" s="141"/>
      <c r="AL432" s="141"/>
      <c r="AM432" s="141"/>
      <c r="AN432" s="141"/>
    </row>
    <row r="433" spans="1:40" ht="14.5" x14ac:dyDescent="0.35">
      <c r="A433" s="373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  <c r="AE433" s="141"/>
      <c r="AF433" s="141"/>
      <c r="AG433" s="141"/>
      <c r="AH433" s="141"/>
      <c r="AI433" s="141"/>
      <c r="AJ433" s="141"/>
      <c r="AK433" s="141"/>
      <c r="AL433" s="141"/>
      <c r="AM433" s="141"/>
      <c r="AN433" s="141"/>
    </row>
    <row r="434" spans="1:40" ht="14.5" x14ac:dyDescent="0.35">
      <c r="A434" s="373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  <c r="AE434" s="141"/>
      <c r="AF434" s="141"/>
      <c r="AG434" s="141"/>
      <c r="AH434" s="141"/>
      <c r="AI434" s="141"/>
      <c r="AJ434" s="141"/>
      <c r="AK434" s="141"/>
      <c r="AL434" s="141"/>
      <c r="AM434" s="141"/>
      <c r="AN434" s="141"/>
    </row>
    <row r="435" spans="1:40" ht="14.5" x14ac:dyDescent="0.35">
      <c r="A435" s="373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  <c r="AE435" s="141"/>
      <c r="AF435" s="141"/>
      <c r="AG435" s="141"/>
      <c r="AH435" s="141"/>
      <c r="AI435" s="141"/>
      <c r="AJ435" s="141"/>
      <c r="AK435" s="141"/>
      <c r="AL435" s="141"/>
      <c r="AM435" s="141"/>
      <c r="AN435" s="141"/>
    </row>
    <row r="436" spans="1:40" ht="14.5" x14ac:dyDescent="0.35">
      <c r="A436" s="373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  <c r="AL436" s="141"/>
      <c r="AM436" s="141"/>
      <c r="AN436" s="141"/>
    </row>
    <row r="437" spans="1:40" ht="14.5" x14ac:dyDescent="0.35">
      <c r="A437" s="373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  <c r="AL437" s="141"/>
      <c r="AM437" s="141"/>
      <c r="AN437" s="141"/>
    </row>
    <row r="438" spans="1:40" ht="14.5" x14ac:dyDescent="0.35">
      <c r="A438" s="373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  <c r="AL438" s="141"/>
      <c r="AM438" s="141"/>
      <c r="AN438" s="141"/>
    </row>
    <row r="439" spans="1:40" ht="14.5" x14ac:dyDescent="0.35">
      <c r="A439" s="373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  <c r="AM439" s="141"/>
      <c r="AN439" s="141"/>
    </row>
    <row r="440" spans="1:40" ht="14.5" x14ac:dyDescent="0.35">
      <c r="A440" s="373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  <c r="AE440" s="141"/>
      <c r="AF440" s="141"/>
      <c r="AG440" s="141"/>
      <c r="AH440" s="141"/>
      <c r="AI440" s="141"/>
      <c r="AJ440" s="141"/>
      <c r="AK440" s="141"/>
      <c r="AL440" s="141"/>
      <c r="AM440" s="141"/>
      <c r="AN440" s="141"/>
    </row>
    <row r="441" spans="1:40" ht="14.5" x14ac:dyDescent="0.35">
      <c r="A441" s="373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  <c r="AE441" s="141"/>
      <c r="AF441" s="141"/>
      <c r="AG441" s="141"/>
      <c r="AH441" s="141"/>
      <c r="AI441" s="141"/>
      <c r="AJ441" s="141"/>
      <c r="AK441" s="141"/>
      <c r="AL441" s="141"/>
      <c r="AM441" s="141"/>
      <c r="AN441" s="141"/>
    </row>
    <row r="442" spans="1:40" ht="14.5" x14ac:dyDescent="0.35">
      <c r="A442" s="373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  <c r="AE442" s="141"/>
      <c r="AF442" s="141"/>
      <c r="AG442" s="141"/>
      <c r="AH442" s="141"/>
      <c r="AI442" s="141"/>
      <c r="AJ442" s="141"/>
      <c r="AK442" s="141"/>
      <c r="AL442" s="141"/>
      <c r="AM442" s="141"/>
      <c r="AN442" s="141"/>
    </row>
    <row r="443" spans="1:40" ht="14.5" x14ac:dyDescent="0.35">
      <c r="A443" s="373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  <c r="AE443" s="141"/>
      <c r="AF443" s="141"/>
      <c r="AG443" s="141"/>
      <c r="AH443" s="141"/>
      <c r="AI443" s="141"/>
      <c r="AJ443" s="141"/>
      <c r="AK443" s="141"/>
      <c r="AL443" s="141"/>
      <c r="AM443" s="141"/>
      <c r="AN443" s="141"/>
    </row>
    <row r="444" spans="1:40" ht="14.5" x14ac:dyDescent="0.35">
      <c r="A444" s="373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  <c r="AL444" s="141"/>
      <c r="AM444" s="141"/>
      <c r="AN444" s="141"/>
    </row>
    <row r="445" spans="1:40" ht="14.5" x14ac:dyDescent="0.35">
      <c r="A445" s="373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  <c r="AL445" s="141"/>
      <c r="AM445" s="141"/>
      <c r="AN445" s="141"/>
    </row>
    <row r="446" spans="1:40" ht="14.5" x14ac:dyDescent="0.35">
      <c r="A446" s="373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  <c r="AE446" s="141"/>
      <c r="AF446" s="141"/>
      <c r="AG446" s="141"/>
      <c r="AH446" s="141"/>
      <c r="AI446" s="141"/>
      <c r="AJ446" s="141"/>
      <c r="AK446" s="141"/>
      <c r="AL446" s="141"/>
      <c r="AM446" s="141"/>
      <c r="AN446" s="141"/>
    </row>
    <row r="447" spans="1:40" ht="14.5" x14ac:dyDescent="0.35">
      <c r="A447" s="373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  <c r="AE447" s="141"/>
      <c r="AF447" s="141"/>
      <c r="AG447" s="141"/>
      <c r="AH447" s="141"/>
      <c r="AI447" s="141"/>
      <c r="AJ447" s="141"/>
      <c r="AK447" s="141"/>
      <c r="AL447" s="141"/>
      <c r="AM447" s="141"/>
      <c r="AN447" s="141"/>
    </row>
    <row r="448" spans="1:40" ht="14.5" x14ac:dyDescent="0.35">
      <c r="A448" s="373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  <c r="AL448" s="141"/>
      <c r="AM448" s="141"/>
      <c r="AN448" s="141"/>
    </row>
    <row r="449" spans="1:40" ht="14.5" x14ac:dyDescent="0.35">
      <c r="A449" s="373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  <c r="AL449" s="141"/>
      <c r="AM449" s="141"/>
      <c r="AN449" s="141"/>
    </row>
    <row r="450" spans="1:40" ht="14.5" x14ac:dyDescent="0.35">
      <c r="A450" s="373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  <c r="AE450" s="141"/>
      <c r="AF450" s="141"/>
      <c r="AG450" s="141"/>
      <c r="AH450" s="141"/>
      <c r="AI450" s="141"/>
      <c r="AJ450" s="141"/>
      <c r="AK450" s="141"/>
      <c r="AL450" s="141"/>
      <c r="AM450" s="141"/>
      <c r="AN450" s="141"/>
    </row>
    <row r="451" spans="1:40" ht="14.5" x14ac:dyDescent="0.35">
      <c r="A451" s="373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  <c r="AE451" s="141"/>
      <c r="AF451" s="141"/>
      <c r="AG451" s="141"/>
      <c r="AH451" s="141"/>
      <c r="AI451" s="141"/>
      <c r="AJ451" s="141"/>
      <c r="AK451" s="141"/>
      <c r="AL451" s="141"/>
      <c r="AM451" s="141"/>
      <c r="AN451" s="141"/>
    </row>
    <row r="452" spans="1:40" ht="14.5" x14ac:dyDescent="0.35">
      <c r="A452" s="373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  <c r="AE452" s="141"/>
      <c r="AF452" s="141"/>
      <c r="AG452" s="141"/>
      <c r="AH452" s="141"/>
      <c r="AI452" s="141"/>
      <c r="AJ452" s="141"/>
      <c r="AK452" s="141"/>
      <c r="AL452" s="141"/>
      <c r="AM452" s="141"/>
      <c r="AN452" s="141"/>
    </row>
    <row r="453" spans="1:40" ht="14.5" x14ac:dyDescent="0.35">
      <c r="A453" s="373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  <c r="AE453" s="141"/>
      <c r="AF453" s="141"/>
      <c r="AG453" s="141"/>
      <c r="AH453" s="141"/>
      <c r="AI453" s="141"/>
      <c r="AJ453" s="141"/>
      <c r="AK453" s="141"/>
      <c r="AL453" s="141"/>
      <c r="AM453" s="141"/>
      <c r="AN453" s="141"/>
    </row>
    <row r="454" spans="1:40" ht="14.5" x14ac:dyDescent="0.35">
      <c r="A454" s="373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  <c r="AE454" s="141"/>
      <c r="AF454" s="141"/>
      <c r="AG454" s="141"/>
      <c r="AH454" s="141"/>
      <c r="AI454" s="141"/>
      <c r="AJ454" s="141"/>
      <c r="AK454" s="141"/>
      <c r="AL454" s="141"/>
      <c r="AM454" s="141"/>
      <c r="AN454" s="141"/>
    </row>
    <row r="455" spans="1:40" ht="14.5" x14ac:dyDescent="0.35">
      <c r="A455" s="373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  <c r="AE455" s="141"/>
      <c r="AF455" s="141"/>
      <c r="AG455" s="141"/>
      <c r="AH455" s="141"/>
      <c r="AI455" s="141"/>
      <c r="AJ455" s="141"/>
      <c r="AK455" s="141"/>
      <c r="AL455" s="141"/>
      <c r="AM455" s="141"/>
      <c r="AN455" s="141"/>
    </row>
    <row r="456" spans="1:40" ht="14.5" x14ac:dyDescent="0.35">
      <c r="A456" s="373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  <c r="AE456" s="141"/>
      <c r="AF456" s="141"/>
      <c r="AG456" s="141"/>
      <c r="AH456" s="141"/>
      <c r="AI456" s="141"/>
      <c r="AJ456" s="141"/>
      <c r="AK456" s="141"/>
      <c r="AL456" s="141"/>
      <c r="AM456" s="141"/>
      <c r="AN456" s="141"/>
    </row>
    <row r="457" spans="1:40" ht="14.5" x14ac:dyDescent="0.35">
      <c r="A457" s="373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  <c r="AE457" s="141"/>
      <c r="AF457" s="141"/>
      <c r="AG457" s="141"/>
      <c r="AH457" s="141"/>
      <c r="AI457" s="141"/>
      <c r="AJ457" s="141"/>
      <c r="AK457" s="141"/>
      <c r="AL457" s="141"/>
      <c r="AM457" s="141"/>
      <c r="AN457" s="141"/>
    </row>
    <row r="458" spans="1:40" ht="14.5" x14ac:dyDescent="0.35">
      <c r="A458" s="373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  <c r="AE458" s="141"/>
      <c r="AF458" s="141"/>
      <c r="AG458" s="141"/>
      <c r="AH458" s="141"/>
      <c r="AI458" s="141"/>
      <c r="AJ458" s="141"/>
      <c r="AK458" s="141"/>
      <c r="AL458" s="141"/>
      <c r="AM458" s="141"/>
      <c r="AN458" s="141"/>
    </row>
    <row r="459" spans="1:40" ht="14.5" x14ac:dyDescent="0.35">
      <c r="A459" s="373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  <c r="AM459" s="141"/>
      <c r="AN459" s="141"/>
    </row>
    <row r="460" spans="1:40" ht="14.5" x14ac:dyDescent="0.35">
      <c r="A460" s="373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  <c r="AE460" s="141"/>
      <c r="AF460" s="141"/>
      <c r="AG460" s="141"/>
      <c r="AH460" s="141"/>
      <c r="AI460" s="141"/>
      <c r="AJ460" s="141"/>
      <c r="AK460" s="141"/>
      <c r="AL460" s="141"/>
      <c r="AM460" s="141"/>
      <c r="AN460" s="141"/>
    </row>
    <row r="461" spans="1:40" ht="14.5" x14ac:dyDescent="0.35">
      <c r="A461" s="373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  <c r="AE461" s="141"/>
      <c r="AF461" s="141"/>
      <c r="AG461" s="141"/>
      <c r="AH461" s="141"/>
      <c r="AI461" s="141"/>
      <c r="AJ461" s="141"/>
      <c r="AK461" s="141"/>
      <c r="AL461" s="141"/>
      <c r="AM461" s="141"/>
      <c r="AN461" s="141"/>
    </row>
    <row r="462" spans="1:40" ht="14.5" x14ac:dyDescent="0.35">
      <c r="A462" s="373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41"/>
      <c r="AJ462" s="141"/>
      <c r="AK462" s="141"/>
      <c r="AL462" s="141"/>
      <c r="AM462" s="141"/>
      <c r="AN462" s="141"/>
    </row>
    <row r="463" spans="1:40" ht="14.5" x14ac:dyDescent="0.35">
      <c r="A463" s="373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41"/>
      <c r="AJ463" s="141"/>
      <c r="AK463" s="141"/>
      <c r="AL463" s="141"/>
      <c r="AM463" s="141"/>
      <c r="AN463" s="141"/>
    </row>
    <row r="464" spans="1:40" ht="14.5" x14ac:dyDescent="0.35">
      <c r="A464" s="373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  <c r="AE464" s="141"/>
      <c r="AF464" s="141"/>
      <c r="AG464" s="141"/>
      <c r="AH464" s="141"/>
      <c r="AI464" s="141"/>
      <c r="AJ464" s="141"/>
      <c r="AK464" s="141"/>
      <c r="AL464" s="141"/>
      <c r="AM464" s="141"/>
      <c r="AN464" s="141"/>
    </row>
    <row r="465" spans="1:40" ht="14.5" x14ac:dyDescent="0.35">
      <c r="A465" s="373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  <c r="AE465" s="141"/>
      <c r="AF465" s="141"/>
      <c r="AG465" s="141"/>
      <c r="AH465" s="141"/>
      <c r="AI465" s="141"/>
      <c r="AJ465" s="141"/>
      <c r="AK465" s="141"/>
      <c r="AL465" s="141"/>
      <c r="AM465" s="141"/>
      <c r="AN465" s="141"/>
    </row>
    <row r="466" spans="1:40" ht="14.5" x14ac:dyDescent="0.35">
      <c r="A466" s="373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  <c r="AE466" s="141"/>
      <c r="AF466" s="141"/>
      <c r="AG466" s="141"/>
      <c r="AH466" s="141"/>
      <c r="AI466" s="141"/>
      <c r="AJ466" s="141"/>
      <c r="AK466" s="141"/>
      <c r="AL466" s="141"/>
      <c r="AM466" s="141"/>
      <c r="AN466" s="141"/>
    </row>
    <row r="467" spans="1:40" ht="14.5" x14ac:dyDescent="0.35">
      <c r="A467" s="373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  <c r="AL467" s="141"/>
      <c r="AM467" s="141"/>
      <c r="AN467" s="141"/>
    </row>
    <row r="468" spans="1:40" ht="14.5" x14ac:dyDescent="0.35">
      <c r="A468" s="373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  <c r="AE468" s="141"/>
      <c r="AF468" s="141"/>
      <c r="AG468" s="141"/>
      <c r="AH468" s="141"/>
      <c r="AI468" s="141"/>
      <c r="AJ468" s="141"/>
      <c r="AK468" s="141"/>
      <c r="AL468" s="141"/>
      <c r="AM468" s="141"/>
      <c r="AN468" s="141"/>
    </row>
    <row r="469" spans="1:40" ht="14.5" x14ac:dyDescent="0.35">
      <c r="A469" s="373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  <c r="AE469" s="141"/>
      <c r="AF469" s="141"/>
      <c r="AG469" s="141"/>
      <c r="AH469" s="141"/>
      <c r="AI469" s="141"/>
      <c r="AJ469" s="141"/>
      <c r="AK469" s="141"/>
      <c r="AL469" s="141"/>
      <c r="AM469" s="141"/>
      <c r="AN469" s="141"/>
    </row>
    <row r="470" spans="1:40" ht="14.5" x14ac:dyDescent="0.35">
      <c r="A470" s="373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  <c r="AE470" s="141"/>
      <c r="AF470" s="141"/>
      <c r="AG470" s="141"/>
      <c r="AH470" s="141"/>
      <c r="AI470" s="141"/>
      <c r="AJ470" s="141"/>
      <c r="AK470" s="141"/>
      <c r="AL470" s="141"/>
      <c r="AM470" s="141"/>
      <c r="AN470" s="141"/>
    </row>
    <row r="471" spans="1:40" ht="14.5" x14ac:dyDescent="0.35">
      <c r="A471" s="373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  <c r="AE471" s="141"/>
      <c r="AF471" s="141"/>
      <c r="AG471" s="141"/>
      <c r="AH471" s="141"/>
      <c r="AI471" s="141"/>
      <c r="AJ471" s="141"/>
      <c r="AK471" s="141"/>
      <c r="AL471" s="141"/>
      <c r="AM471" s="141"/>
      <c r="AN471" s="141"/>
    </row>
    <row r="472" spans="1:40" ht="14.5" x14ac:dyDescent="0.35">
      <c r="A472" s="373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  <c r="AE472" s="141"/>
      <c r="AF472" s="141"/>
      <c r="AG472" s="141"/>
      <c r="AH472" s="141"/>
      <c r="AI472" s="141"/>
      <c r="AJ472" s="141"/>
      <c r="AK472" s="141"/>
      <c r="AL472" s="141"/>
      <c r="AM472" s="141"/>
      <c r="AN472" s="141"/>
    </row>
    <row r="473" spans="1:40" ht="14.5" x14ac:dyDescent="0.35">
      <c r="A473" s="373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  <c r="AL473" s="141"/>
      <c r="AM473" s="141"/>
      <c r="AN473" s="141"/>
    </row>
    <row r="474" spans="1:40" ht="14.5" x14ac:dyDescent="0.35">
      <c r="A474" s="373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  <c r="AL474" s="141"/>
      <c r="AM474" s="141"/>
      <c r="AN474" s="141"/>
    </row>
    <row r="475" spans="1:40" ht="14.5" x14ac:dyDescent="0.35">
      <c r="A475" s="373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  <c r="AE475" s="141"/>
      <c r="AF475" s="141"/>
      <c r="AG475" s="141"/>
      <c r="AH475" s="141"/>
      <c r="AI475" s="141"/>
      <c r="AJ475" s="141"/>
      <c r="AK475" s="141"/>
      <c r="AL475" s="141"/>
      <c r="AM475" s="141"/>
      <c r="AN475" s="141"/>
    </row>
    <row r="476" spans="1:40" ht="14.5" x14ac:dyDescent="0.35">
      <c r="A476" s="373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  <c r="AE476" s="141"/>
      <c r="AF476" s="141"/>
      <c r="AG476" s="141"/>
      <c r="AH476" s="141"/>
      <c r="AI476" s="141"/>
      <c r="AJ476" s="141"/>
      <c r="AK476" s="141"/>
      <c r="AL476" s="141"/>
      <c r="AM476" s="141"/>
      <c r="AN476" s="141"/>
    </row>
    <row r="477" spans="1:40" ht="14.5" x14ac:dyDescent="0.35">
      <c r="A477" s="373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  <c r="AE477" s="141"/>
      <c r="AF477" s="141"/>
      <c r="AG477" s="141"/>
      <c r="AH477" s="141"/>
      <c r="AI477" s="141"/>
      <c r="AJ477" s="141"/>
      <c r="AK477" s="141"/>
      <c r="AL477" s="141"/>
      <c r="AM477" s="141"/>
      <c r="AN477" s="141"/>
    </row>
    <row r="478" spans="1:40" ht="14.5" x14ac:dyDescent="0.35">
      <c r="A478" s="373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  <c r="AE478" s="141"/>
      <c r="AF478" s="141"/>
      <c r="AG478" s="141"/>
      <c r="AH478" s="141"/>
      <c r="AI478" s="141"/>
      <c r="AJ478" s="141"/>
      <c r="AK478" s="141"/>
      <c r="AL478" s="141"/>
      <c r="AM478" s="141"/>
      <c r="AN478" s="141"/>
    </row>
    <row r="479" spans="1:40" ht="14.5" x14ac:dyDescent="0.35">
      <c r="A479" s="373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  <c r="AL479" s="141"/>
      <c r="AM479" s="141"/>
      <c r="AN479" s="141"/>
    </row>
    <row r="480" spans="1:40" ht="14.5" x14ac:dyDescent="0.35">
      <c r="A480" s="373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  <c r="AE480" s="141"/>
      <c r="AF480" s="141"/>
      <c r="AG480" s="141"/>
      <c r="AH480" s="141"/>
      <c r="AI480" s="141"/>
      <c r="AJ480" s="141"/>
      <c r="AK480" s="141"/>
      <c r="AL480" s="141"/>
      <c r="AM480" s="141"/>
      <c r="AN480" s="141"/>
    </row>
    <row r="481" spans="1:40" ht="14.5" x14ac:dyDescent="0.35">
      <c r="A481" s="373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  <c r="AE481" s="141"/>
      <c r="AF481" s="141"/>
      <c r="AG481" s="141"/>
      <c r="AH481" s="141"/>
      <c r="AI481" s="141"/>
      <c r="AJ481" s="141"/>
      <c r="AK481" s="141"/>
      <c r="AL481" s="141"/>
      <c r="AM481" s="141"/>
      <c r="AN481" s="141"/>
    </row>
    <row r="482" spans="1:40" ht="14.5" x14ac:dyDescent="0.35">
      <c r="A482" s="373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  <c r="AE482" s="141"/>
      <c r="AF482" s="141"/>
      <c r="AG482" s="141"/>
      <c r="AH482" s="141"/>
      <c r="AI482" s="141"/>
      <c r="AJ482" s="141"/>
      <c r="AK482" s="141"/>
      <c r="AL482" s="141"/>
      <c r="AM482" s="141"/>
      <c r="AN482" s="141"/>
    </row>
    <row r="483" spans="1:40" ht="14.5" x14ac:dyDescent="0.35">
      <c r="A483" s="373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  <c r="AE483" s="141"/>
      <c r="AF483" s="141"/>
      <c r="AG483" s="141"/>
      <c r="AH483" s="141"/>
      <c r="AI483" s="141"/>
      <c r="AJ483" s="141"/>
      <c r="AK483" s="141"/>
      <c r="AL483" s="141"/>
      <c r="AM483" s="141"/>
      <c r="AN483" s="141"/>
    </row>
    <row r="484" spans="1:40" ht="14.5" x14ac:dyDescent="0.35">
      <c r="A484" s="373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  <c r="AE484" s="141"/>
      <c r="AF484" s="141"/>
      <c r="AG484" s="141"/>
      <c r="AH484" s="141"/>
      <c r="AI484" s="141"/>
      <c r="AJ484" s="141"/>
      <c r="AK484" s="141"/>
      <c r="AL484" s="141"/>
      <c r="AM484" s="141"/>
      <c r="AN484" s="141"/>
    </row>
    <row r="485" spans="1:40" ht="14.5" x14ac:dyDescent="0.35">
      <c r="A485" s="373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  <c r="AE485" s="141"/>
      <c r="AF485" s="141"/>
      <c r="AG485" s="141"/>
      <c r="AH485" s="141"/>
      <c r="AI485" s="141"/>
      <c r="AJ485" s="141"/>
      <c r="AK485" s="141"/>
      <c r="AL485" s="141"/>
      <c r="AM485" s="141"/>
      <c r="AN485" s="141"/>
    </row>
    <row r="486" spans="1:40" ht="14.5" x14ac:dyDescent="0.35">
      <c r="A486" s="373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  <c r="AE486" s="141"/>
      <c r="AF486" s="141"/>
      <c r="AG486" s="141"/>
      <c r="AH486" s="141"/>
      <c r="AI486" s="141"/>
      <c r="AJ486" s="141"/>
      <c r="AK486" s="141"/>
      <c r="AL486" s="141"/>
      <c r="AM486" s="141"/>
      <c r="AN486" s="141"/>
    </row>
    <row r="487" spans="1:40" ht="14.5" x14ac:dyDescent="0.35">
      <c r="A487" s="373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  <c r="AE487" s="141"/>
      <c r="AF487" s="141"/>
      <c r="AG487" s="141"/>
      <c r="AH487" s="141"/>
      <c r="AI487" s="141"/>
      <c r="AJ487" s="141"/>
      <c r="AK487" s="141"/>
      <c r="AL487" s="141"/>
      <c r="AM487" s="141"/>
      <c r="AN487" s="141"/>
    </row>
    <row r="488" spans="1:40" ht="14.5" x14ac:dyDescent="0.35">
      <c r="A488" s="373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  <c r="AE488" s="141"/>
      <c r="AF488" s="141"/>
      <c r="AG488" s="141"/>
      <c r="AH488" s="141"/>
      <c r="AI488" s="141"/>
      <c r="AJ488" s="141"/>
      <c r="AK488" s="141"/>
      <c r="AL488" s="141"/>
      <c r="AM488" s="141"/>
      <c r="AN488" s="141"/>
    </row>
    <row r="489" spans="1:40" ht="14.5" x14ac:dyDescent="0.35">
      <c r="A489" s="373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  <c r="AE489" s="141"/>
      <c r="AF489" s="141"/>
      <c r="AG489" s="141"/>
      <c r="AH489" s="141"/>
      <c r="AI489" s="141"/>
      <c r="AJ489" s="141"/>
      <c r="AK489" s="141"/>
      <c r="AL489" s="141"/>
      <c r="AM489" s="141"/>
      <c r="AN489" s="141"/>
    </row>
    <row r="490" spans="1:40" ht="14.5" x14ac:dyDescent="0.35">
      <c r="A490" s="373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  <c r="AL490" s="141"/>
      <c r="AM490" s="141"/>
      <c r="AN490" s="141"/>
    </row>
    <row r="491" spans="1:40" ht="14.5" x14ac:dyDescent="0.35">
      <c r="A491" s="373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  <c r="AE491" s="141"/>
      <c r="AF491" s="141"/>
      <c r="AG491" s="141"/>
      <c r="AH491" s="141"/>
      <c r="AI491" s="141"/>
      <c r="AJ491" s="141"/>
      <c r="AK491" s="141"/>
      <c r="AL491" s="141"/>
      <c r="AM491" s="141"/>
      <c r="AN491" s="141"/>
    </row>
    <row r="492" spans="1:40" ht="14.5" x14ac:dyDescent="0.35">
      <c r="A492" s="373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  <c r="AE492" s="141"/>
      <c r="AF492" s="141"/>
      <c r="AG492" s="141"/>
      <c r="AH492" s="141"/>
      <c r="AI492" s="141"/>
      <c r="AJ492" s="141"/>
      <c r="AK492" s="141"/>
      <c r="AL492" s="141"/>
      <c r="AM492" s="141"/>
      <c r="AN492" s="141"/>
    </row>
    <row r="493" spans="1:40" ht="14.5" x14ac:dyDescent="0.35">
      <c r="A493" s="373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  <c r="AL493" s="141"/>
      <c r="AM493" s="141"/>
      <c r="AN493" s="141"/>
    </row>
    <row r="494" spans="1:40" ht="14.5" x14ac:dyDescent="0.35">
      <c r="A494" s="373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  <c r="AL494" s="141"/>
      <c r="AM494" s="141"/>
      <c r="AN494" s="141"/>
    </row>
    <row r="495" spans="1:40" ht="14.5" x14ac:dyDescent="0.35">
      <c r="A495" s="373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  <c r="AE495" s="141"/>
      <c r="AF495" s="141"/>
      <c r="AG495" s="141"/>
      <c r="AH495" s="141"/>
      <c r="AI495" s="141"/>
      <c r="AJ495" s="141"/>
      <c r="AK495" s="141"/>
      <c r="AL495" s="141"/>
      <c r="AM495" s="141"/>
      <c r="AN495" s="141"/>
    </row>
    <row r="496" spans="1:40" ht="14.5" x14ac:dyDescent="0.35">
      <c r="A496" s="373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  <c r="AE496" s="141"/>
      <c r="AF496" s="141"/>
      <c r="AG496" s="141"/>
      <c r="AH496" s="141"/>
      <c r="AI496" s="141"/>
      <c r="AJ496" s="141"/>
      <c r="AK496" s="141"/>
      <c r="AL496" s="141"/>
      <c r="AM496" s="141"/>
      <c r="AN496" s="141"/>
    </row>
    <row r="497" spans="1:40" ht="14.5" x14ac:dyDescent="0.35">
      <c r="A497" s="373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  <c r="AE497" s="141"/>
      <c r="AF497" s="141"/>
      <c r="AG497" s="141"/>
      <c r="AH497" s="141"/>
      <c r="AI497" s="141"/>
      <c r="AJ497" s="141"/>
      <c r="AK497" s="141"/>
      <c r="AL497" s="141"/>
      <c r="AM497" s="141"/>
      <c r="AN497" s="141"/>
    </row>
    <row r="498" spans="1:40" ht="14.5" x14ac:dyDescent="0.35">
      <c r="A498" s="373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  <c r="AE498" s="141"/>
      <c r="AF498" s="141"/>
      <c r="AG498" s="141"/>
      <c r="AH498" s="141"/>
      <c r="AI498" s="141"/>
      <c r="AJ498" s="141"/>
      <c r="AK498" s="141"/>
      <c r="AL498" s="141"/>
      <c r="AM498" s="141"/>
      <c r="AN498" s="141"/>
    </row>
    <row r="499" spans="1:40" ht="14.5" x14ac:dyDescent="0.35">
      <c r="A499" s="373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  <c r="AE499" s="141"/>
      <c r="AF499" s="141"/>
      <c r="AG499" s="141"/>
      <c r="AH499" s="141"/>
      <c r="AI499" s="141"/>
      <c r="AJ499" s="141"/>
      <c r="AK499" s="141"/>
      <c r="AL499" s="141"/>
      <c r="AM499" s="141"/>
      <c r="AN499" s="141"/>
    </row>
    <row r="500" spans="1:40" ht="14.5" x14ac:dyDescent="0.35">
      <c r="A500" s="373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  <c r="AE500" s="141"/>
      <c r="AF500" s="141"/>
      <c r="AG500" s="141"/>
      <c r="AH500" s="141"/>
      <c r="AI500" s="141"/>
      <c r="AJ500" s="141"/>
      <c r="AK500" s="141"/>
      <c r="AL500" s="141"/>
      <c r="AM500" s="141"/>
      <c r="AN500" s="141"/>
    </row>
    <row r="501" spans="1:40" ht="14.5" x14ac:dyDescent="0.35">
      <c r="A501" s="373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  <c r="AE501" s="141"/>
      <c r="AF501" s="141"/>
      <c r="AG501" s="141"/>
      <c r="AH501" s="141"/>
      <c r="AI501" s="141"/>
      <c r="AJ501" s="141"/>
      <c r="AK501" s="141"/>
      <c r="AL501" s="141"/>
      <c r="AM501" s="141"/>
      <c r="AN501" s="141"/>
    </row>
    <row r="502" spans="1:40" ht="14.5" x14ac:dyDescent="0.35">
      <c r="A502" s="373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  <c r="AE502" s="141"/>
      <c r="AF502" s="141"/>
      <c r="AG502" s="141"/>
      <c r="AH502" s="141"/>
      <c r="AI502" s="141"/>
      <c r="AJ502" s="141"/>
      <c r="AK502" s="141"/>
      <c r="AL502" s="141"/>
      <c r="AM502" s="141"/>
      <c r="AN502" s="141"/>
    </row>
    <row r="503" spans="1:40" ht="14.5" x14ac:dyDescent="0.35">
      <c r="A503" s="373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  <c r="AE503" s="141"/>
      <c r="AF503" s="141"/>
      <c r="AG503" s="141"/>
      <c r="AH503" s="141"/>
      <c r="AI503" s="141"/>
      <c r="AJ503" s="141"/>
      <c r="AK503" s="141"/>
      <c r="AL503" s="141"/>
      <c r="AM503" s="141"/>
      <c r="AN503" s="141"/>
    </row>
    <row r="504" spans="1:40" ht="14.5" x14ac:dyDescent="0.35">
      <c r="A504" s="373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  <c r="AE504" s="141"/>
      <c r="AF504" s="141"/>
      <c r="AG504" s="141"/>
      <c r="AH504" s="141"/>
      <c r="AI504" s="141"/>
      <c r="AJ504" s="141"/>
      <c r="AK504" s="141"/>
      <c r="AL504" s="141"/>
      <c r="AM504" s="141"/>
      <c r="AN504" s="141"/>
    </row>
    <row r="505" spans="1:40" ht="14.5" x14ac:dyDescent="0.35">
      <c r="A505" s="373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  <c r="AE505" s="141"/>
      <c r="AF505" s="141"/>
      <c r="AG505" s="141"/>
      <c r="AH505" s="141"/>
      <c r="AI505" s="141"/>
      <c r="AJ505" s="141"/>
      <c r="AK505" s="141"/>
      <c r="AL505" s="141"/>
      <c r="AM505" s="141"/>
      <c r="AN505" s="141"/>
    </row>
    <row r="506" spans="1:40" ht="14.5" x14ac:dyDescent="0.35">
      <c r="A506" s="373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  <c r="AE506" s="141"/>
      <c r="AF506" s="141"/>
      <c r="AG506" s="141"/>
      <c r="AH506" s="141"/>
      <c r="AI506" s="141"/>
      <c r="AJ506" s="141"/>
      <c r="AK506" s="141"/>
      <c r="AL506" s="141"/>
      <c r="AM506" s="141"/>
      <c r="AN506" s="141"/>
    </row>
    <row r="507" spans="1:40" ht="14.5" x14ac:dyDescent="0.35">
      <c r="A507" s="373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  <c r="AE507" s="141"/>
      <c r="AF507" s="141"/>
      <c r="AG507" s="141"/>
      <c r="AH507" s="141"/>
      <c r="AI507" s="141"/>
      <c r="AJ507" s="141"/>
      <c r="AK507" s="141"/>
      <c r="AL507" s="141"/>
      <c r="AM507" s="141"/>
      <c r="AN507" s="141"/>
    </row>
    <row r="508" spans="1:40" ht="14.5" x14ac:dyDescent="0.35">
      <c r="A508" s="373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  <c r="AL508" s="141"/>
      <c r="AM508" s="141"/>
      <c r="AN508" s="141"/>
    </row>
    <row r="509" spans="1:40" ht="14.5" x14ac:dyDescent="0.35">
      <c r="A509" s="373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  <c r="AE509" s="141"/>
      <c r="AF509" s="141"/>
      <c r="AG509" s="141"/>
      <c r="AH509" s="141"/>
      <c r="AI509" s="141"/>
      <c r="AJ509" s="141"/>
      <c r="AK509" s="141"/>
      <c r="AL509" s="141"/>
      <c r="AM509" s="141"/>
      <c r="AN509" s="141"/>
    </row>
    <row r="510" spans="1:40" ht="14.5" x14ac:dyDescent="0.35">
      <c r="A510" s="373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  <c r="AE510" s="141"/>
      <c r="AF510" s="141"/>
      <c r="AG510" s="141"/>
      <c r="AH510" s="141"/>
      <c r="AI510" s="141"/>
      <c r="AJ510" s="141"/>
      <c r="AK510" s="141"/>
      <c r="AL510" s="141"/>
      <c r="AM510" s="141"/>
      <c r="AN510" s="141"/>
    </row>
    <row r="511" spans="1:40" ht="14.5" x14ac:dyDescent="0.35">
      <c r="A511" s="373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  <c r="AE511" s="141"/>
      <c r="AF511" s="141"/>
      <c r="AG511" s="141"/>
      <c r="AH511" s="141"/>
      <c r="AI511" s="141"/>
      <c r="AJ511" s="141"/>
      <c r="AK511" s="141"/>
      <c r="AL511" s="141"/>
      <c r="AM511" s="141"/>
      <c r="AN511" s="141"/>
    </row>
    <row r="512" spans="1:40" ht="14.5" x14ac:dyDescent="0.35">
      <c r="A512" s="373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  <c r="AL512" s="141"/>
      <c r="AM512" s="141"/>
      <c r="AN512" s="141"/>
    </row>
    <row r="513" spans="1:40" ht="14.5" x14ac:dyDescent="0.35">
      <c r="A513" s="373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  <c r="AL513" s="141"/>
      <c r="AM513" s="141"/>
      <c r="AN513" s="141"/>
    </row>
    <row r="514" spans="1:40" ht="14.5" x14ac:dyDescent="0.35">
      <c r="A514" s="373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  <c r="AL514" s="141"/>
      <c r="AM514" s="141"/>
      <c r="AN514" s="141"/>
    </row>
    <row r="515" spans="1:40" ht="14.5" x14ac:dyDescent="0.35">
      <c r="A515" s="373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  <c r="AE515" s="141"/>
      <c r="AF515" s="141"/>
      <c r="AG515" s="141"/>
      <c r="AH515" s="141"/>
      <c r="AI515" s="141"/>
      <c r="AJ515" s="141"/>
      <c r="AK515" s="141"/>
      <c r="AL515" s="141"/>
      <c r="AM515" s="141"/>
      <c r="AN515" s="141"/>
    </row>
    <row r="516" spans="1:40" ht="14.5" x14ac:dyDescent="0.35">
      <c r="A516" s="373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  <c r="AE516" s="141"/>
      <c r="AF516" s="141"/>
      <c r="AG516" s="141"/>
      <c r="AH516" s="141"/>
      <c r="AI516" s="141"/>
      <c r="AJ516" s="141"/>
      <c r="AK516" s="141"/>
      <c r="AL516" s="141"/>
      <c r="AM516" s="141"/>
      <c r="AN516" s="141"/>
    </row>
    <row r="517" spans="1:40" ht="14.5" x14ac:dyDescent="0.35">
      <c r="A517" s="373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  <c r="AE517" s="141"/>
      <c r="AF517" s="141"/>
      <c r="AG517" s="141"/>
      <c r="AH517" s="141"/>
      <c r="AI517" s="141"/>
      <c r="AJ517" s="141"/>
      <c r="AK517" s="141"/>
      <c r="AL517" s="141"/>
      <c r="AM517" s="141"/>
      <c r="AN517" s="141"/>
    </row>
    <row r="518" spans="1:40" ht="14.5" x14ac:dyDescent="0.35">
      <c r="A518" s="373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  <c r="AE518" s="141"/>
      <c r="AF518" s="141"/>
      <c r="AG518" s="141"/>
      <c r="AH518" s="141"/>
      <c r="AI518" s="141"/>
      <c r="AJ518" s="141"/>
      <c r="AK518" s="141"/>
      <c r="AL518" s="141"/>
      <c r="AM518" s="141"/>
      <c r="AN518" s="141"/>
    </row>
    <row r="519" spans="1:40" ht="14.5" x14ac:dyDescent="0.35">
      <c r="A519" s="373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  <c r="AE519" s="141"/>
      <c r="AF519" s="141"/>
      <c r="AG519" s="141"/>
      <c r="AH519" s="141"/>
      <c r="AI519" s="141"/>
      <c r="AJ519" s="141"/>
      <c r="AK519" s="141"/>
      <c r="AL519" s="141"/>
      <c r="AM519" s="141"/>
      <c r="AN519" s="141"/>
    </row>
    <row r="520" spans="1:40" ht="14.5" x14ac:dyDescent="0.35">
      <c r="A520" s="373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  <c r="AL520" s="141"/>
      <c r="AM520" s="141"/>
      <c r="AN520" s="141"/>
    </row>
    <row r="521" spans="1:40" ht="14.5" x14ac:dyDescent="0.35">
      <c r="A521" s="373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  <c r="AE521" s="141"/>
      <c r="AF521" s="141"/>
      <c r="AG521" s="141"/>
      <c r="AH521" s="141"/>
      <c r="AI521" s="141"/>
      <c r="AJ521" s="141"/>
      <c r="AK521" s="141"/>
      <c r="AL521" s="141"/>
      <c r="AM521" s="141"/>
      <c r="AN521" s="141"/>
    </row>
    <row r="522" spans="1:40" ht="14.5" x14ac:dyDescent="0.35">
      <c r="A522" s="373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  <c r="AE522" s="141"/>
      <c r="AF522" s="141"/>
      <c r="AG522" s="141"/>
      <c r="AH522" s="141"/>
      <c r="AI522" s="141"/>
      <c r="AJ522" s="141"/>
      <c r="AK522" s="141"/>
      <c r="AL522" s="141"/>
      <c r="AM522" s="141"/>
      <c r="AN522" s="141"/>
    </row>
    <row r="523" spans="1:40" ht="14.5" x14ac:dyDescent="0.35">
      <c r="A523" s="373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  <c r="AE523" s="141"/>
      <c r="AF523" s="141"/>
      <c r="AG523" s="141"/>
      <c r="AH523" s="141"/>
      <c r="AI523" s="141"/>
      <c r="AJ523" s="141"/>
      <c r="AK523" s="141"/>
      <c r="AL523" s="141"/>
      <c r="AM523" s="141"/>
      <c r="AN523" s="141"/>
    </row>
    <row r="524" spans="1:40" ht="14.5" x14ac:dyDescent="0.35">
      <c r="A524" s="373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  <c r="AE524" s="141"/>
      <c r="AF524" s="141"/>
      <c r="AG524" s="141"/>
      <c r="AH524" s="141"/>
      <c r="AI524" s="141"/>
      <c r="AJ524" s="141"/>
      <c r="AK524" s="141"/>
      <c r="AL524" s="141"/>
      <c r="AM524" s="141"/>
      <c r="AN524" s="141"/>
    </row>
    <row r="525" spans="1:40" ht="14.5" x14ac:dyDescent="0.35">
      <c r="A525" s="373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  <c r="AE525" s="141"/>
      <c r="AF525" s="141"/>
      <c r="AG525" s="141"/>
      <c r="AH525" s="141"/>
      <c r="AI525" s="141"/>
      <c r="AJ525" s="141"/>
      <c r="AK525" s="141"/>
      <c r="AL525" s="141"/>
      <c r="AM525" s="141"/>
      <c r="AN525" s="141"/>
    </row>
    <row r="526" spans="1:40" ht="14.5" x14ac:dyDescent="0.35">
      <c r="A526" s="373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  <c r="AE526" s="141"/>
      <c r="AF526" s="141"/>
      <c r="AG526" s="141"/>
      <c r="AH526" s="141"/>
      <c r="AI526" s="141"/>
      <c r="AJ526" s="141"/>
      <c r="AK526" s="141"/>
      <c r="AL526" s="141"/>
      <c r="AM526" s="141"/>
      <c r="AN526" s="141"/>
    </row>
    <row r="527" spans="1:40" ht="14.5" x14ac:dyDescent="0.35">
      <c r="A527" s="373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  <c r="AE527" s="141"/>
      <c r="AF527" s="141"/>
      <c r="AG527" s="141"/>
      <c r="AH527" s="141"/>
      <c r="AI527" s="141"/>
      <c r="AJ527" s="141"/>
      <c r="AK527" s="141"/>
      <c r="AL527" s="141"/>
      <c r="AM527" s="141"/>
      <c r="AN527" s="141"/>
    </row>
    <row r="528" spans="1:40" ht="14.5" x14ac:dyDescent="0.35">
      <c r="A528" s="373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  <c r="AL528" s="141"/>
      <c r="AM528" s="141"/>
      <c r="AN528" s="141"/>
    </row>
    <row r="529" spans="1:40" ht="14.5" x14ac:dyDescent="0.35">
      <c r="A529" s="373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  <c r="AL529" s="141"/>
      <c r="AM529" s="141"/>
      <c r="AN529" s="141"/>
    </row>
    <row r="530" spans="1:40" ht="14.5" x14ac:dyDescent="0.35">
      <c r="A530" s="373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  <c r="AL530" s="141"/>
      <c r="AM530" s="141"/>
      <c r="AN530" s="141"/>
    </row>
    <row r="531" spans="1:40" ht="14.5" x14ac:dyDescent="0.35">
      <c r="A531" s="373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  <c r="AL531" s="141"/>
      <c r="AM531" s="141"/>
      <c r="AN531" s="141"/>
    </row>
    <row r="532" spans="1:40" ht="14.5" x14ac:dyDescent="0.35">
      <c r="A532" s="373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  <c r="AL532" s="141"/>
      <c r="AM532" s="141"/>
      <c r="AN532" s="141"/>
    </row>
    <row r="533" spans="1:40" ht="14.5" x14ac:dyDescent="0.35">
      <c r="A533" s="373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  <c r="AL533" s="141"/>
      <c r="AM533" s="141"/>
      <c r="AN533" s="141"/>
    </row>
    <row r="534" spans="1:40" ht="14.5" x14ac:dyDescent="0.35">
      <c r="A534" s="373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  <c r="AL534" s="141"/>
      <c r="AM534" s="141"/>
      <c r="AN534" s="141"/>
    </row>
    <row r="535" spans="1:40" ht="14.5" x14ac:dyDescent="0.35">
      <c r="A535" s="373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  <c r="AL535" s="141"/>
      <c r="AM535" s="141"/>
      <c r="AN535" s="141"/>
    </row>
    <row r="536" spans="1:40" ht="14.5" x14ac:dyDescent="0.35">
      <c r="A536" s="373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  <c r="AL536" s="141"/>
      <c r="AM536" s="141"/>
      <c r="AN536" s="141"/>
    </row>
    <row r="537" spans="1:40" ht="14.5" x14ac:dyDescent="0.35">
      <c r="A537" s="373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  <c r="AL537" s="141"/>
      <c r="AM537" s="141"/>
      <c r="AN537" s="141"/>
    </row>
    <row r="538" spans="1:40" ht="14.5" x14ac:dyDescent="0.35">
      <c r="A538" s="373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  <c r="AL538" s="141"/>
      <c r="AM538" s="141"/>
      <c r="AN538" s="141"/>
    </row>
    <row r="539" spans="1:40" ht="14.5" x14ac:dyDescent="0.35">
      <c r="A539" s="373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  <c r="AL539" s="141"/>
      <c r="AM539" s="141"/>
      <c r="AN539" s="141"/>
    </row>
    <row r="540" spans="1:40" ht="14.5" x14ac:dyDescent="0.35">
      <c r="A540" s="373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  <c r="AL540" s="141"/>
      <c r="AM540" s="141"/>
      <c r="AN540" s="141"/>
    </row>
    <row r="541" spans="1:40" ht="14.5" x14ac:dyDescent="0.35">
      <c r="A541" s="373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  <c r="AL541" s="141"/>
      <c r="AM541" s="141"/>
      <c r="AN541" s="141"/>
    </row>
    <row r="542" spans="1:40" ht="14.5" x14ac:dyDescent="0.35">
      <c r="A542" s="373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  <c r="AL542" s="141"/>
      <c r="AM542" s="141"/>
      <c r="AN542" s="141"/>
    </row>
    <row r="543" spans="1:40" ht="14.5" x14ac:dyDescent="0.35">
      <c r="A543" s="373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  <c r="AL543" s="141"/>
      <c r="AM543" s="141"/>
      <c r="AN543" s="141"/>
    </row>
    <row r="544" spans="1:40" ht="14.5" x14ac:dyDescent="0.35">
      <c r="A544" s="373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  <c r="AL544" s="141"/>
      <c r="AM544" s="141"/>
      <c r="AN544" s="141"/>
    </row>
    <row r="545" spans="1:40" ht="14.5" x14ac:dyDescent="0.35">
      <c r="A545" s="373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1"/>
      <c r="AM545" s="141"/>
      <c r="AN545" s="141"/>
    </row>
    <row r="546" spans="1:40" ht="14.5" x14ac:dyDescent="0.35">
      <c r="A546" s="373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  <c r="AL546" s="141"/>
      <c r="AM546" s="141"/>
      <c r="AN546" s="141"/>
    </row>
    <row r="547" spans="1:40" ht="14.5" x14ac:dyDescent="0.35">
      <c r="A547" s="373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  <c r="AL547" s="141"/>
      <c r="AM547" s="141"/>
      <c r="AN547" s="141"/>
    </row>
    <row r="548" spans="1:40" ht="14.5" x14ac:dyDescent="0.35">
      <c r="A548" s="373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  <c r="AL548" s="141"/>
      <c r="AM548" s="141"/>
      <c r="AN548" s="141"/>
    </row>
    <row r="549" spans="1:40" ht="14.5" x14ac:dyDescent="0.35">
      <c r="A549" s="373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  <c r="AL549" s="141"/>
      <c r="AM549" s="141"/>
      <c r="AN549" s="141"/>
    </row>
    <row r="550" spans="1:40" ht="14.5" x14ac:dyDescent="0.35">
      <c r="A550" s="373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  <c r="AL550" s="141"/>
      <c r="AM550" s="141"/>
      <c r="AN550" s="141"/>
    </row>
    <row r="551" spans="1:40" ht="14.5" x14ac:dyDescent="0.35">
      <c r="A551" s="373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  <c r="AL551" s="141"/>
      <c r="AM551" s="141"/>
      <c r="AN551" s="141"/>
    </row>
    <row r="552" spans="1:40" ht="14.5" x14ac:dyDescent="0.35">
      <c r="A552" s="373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  <c r="AL552" s="141"/>
      <c r="AM552" s="141"/>
      <c r="AN552" s="141"/>
    </row>
    <row r="553" spans="1:40" ht="14.5" x14ac:dyDescent="0.35">
      <c r="A553" s="373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  <c r="AL553" s="141"/>
      <c r="AM553" s="141"/>
      <c r="AN553" s="141"/>
    </row>
    <row r="554" spans="1:40" ht="14.5" x14ac:dyDescent="0.35">
      <c r="A554" s="373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  <c r="AL554" s="141"/>
      <c r="AM554" s="141"/>
      <c r="AN554" s="141"/>
    </row>
    <row r="555" spans="1:40" ht="14.5" x14ac:dyDescent="0.35">
      <c r="A555" s="373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  <c r="AL555" s="141"/>
      <c r="AM555" s="141"/>
      <c r="AN555" s="141"/>
    </row>
    <row r="556" spans="1:40" ht="14.5" x14ac:dyDescent="0.35">
      <c r="A556" s="373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  <c r="AL556" s="141"/>
      <c r="AM556" s="141"/>
      <c r="AN556" s="141"/>
    </row>
    <row r="557" spans="1:40" ht="14.5" x14ac:dyDescent="0.35">
      <c r="A557" s="373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  <c r="AL557" s="141"/>
      <c r="AM557" s="141"/>
      <c r="AN557" s="141"/>
    </row>
    <row r="558" spans="1:40" ht="14.5" x14ac:dyDescent="0.35">
      <c r="A558" s="373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  <c r="AL558" s="141"/>
      <c r="AM558" s="141"/>
      <c r="AN558" s="141"/>
    </row>
    <row r="559" spans="1:40" ht="14.5" x14ac:dyDescent="0.35">
      <c r="A559" s="373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  <c r="AL559" s="141"/>
      <c r="AM559" s="141"/>
      <c r="AN559" s="141"/>
    </row>
    <row r="560" spans="1:40" ht="14.5" x14ac:dyDescent="0.35">
      <c r="A560" s="373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  <c r="AL560" s="141"/>
      <c r="AM560" s="141"/>
      <c r="AN560" s="141"/>
    </row>
    <row r="561" spans="1:40" ht="14.5" x14ac:dyDescent="0.35">
      <c r="A561" s="373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  <c r="AL561" s="141"/>
      <c r="AM561" s="141"/>
      <c r="AN561" s="141"/>
    </row>
    <row r="562" spans="1:40" ht="14.5" x14ac:dyDescent="0.35">
      <c r="A562" s="373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  <c r="AL562" s="141"/>
      <c r="AM562" s="141"/>
      <c r="AN562" s="141"/>
    </row>
    <row r="563" spans="1:40" ht="14.5" x14ac:dyDescent="0.35">
      <c r="A563" s="373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  <c r="AL563" s="141"/>
      <c r="AM563" s="141"/>
      <c r="AN563" s="141"/>
    </row>
    <row r="564" spans="1:40" ht="14.5" x14ac:dyDescent="0.35">
      <c r="A564" s="373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  <c r="AL564" s="141"/>
      <c r="AM564" s="141"/>
      <c r="AN564" s="141"/>
    </row>
    <row r="565" spans="1:40" ht="14.5" x14ac:dyDescent="0.35">
      <c r="A565" s="373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  <c r="AL565" s="141"/>
      <c r="AM565" s="141"/>
      <c r="AN565" s="141"/>
    </row>
    <row r="566" spans="1:40" ht="14.5" x14ac:dyDescent="0.35">
      <c r="A566" s="373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  <c r="AL566" s="141"/>
      <c r="AM566" s="141"/>
      <c r="AN566" s="141"/>
    </row>
    <row r="567" spans="1:40" ht="14.5" x14ac:dyDescent="0.35">
      <c r="A567" s="373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  <c r="AL567" s="141"/>
      <c r="AM567" s="141"/>
      <c r="AN567" s="141"/>
    </row>
    <row r="568" spans="1:40" ht="14.5" x14ac:dyDescent="0.35">
      <c r="A568" s="373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  <c r="AL568" s="141"/>
      <c r="AM568" s="141"/>
      <c r="AN568" s="141"/>
    </row>
    <row r="569" spans="1:40" ht="14.5" x14ac:dyDescent="0.35">
      <c r="A569" s="373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  <c r="AL569" s="141"/>
      <c r="AM569" s="141"/>
      <c r="AN569" s="141"/>
    </row>
    <row r="570" spans="1:40" ht="14.5" x14ac:dyDescent="0.35">
      <c r="A570" s="373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  <c r="AL570" s="141"/>
      <c r="AM570" s="141"/>
      <c r="AN570" s="141"/>
    </row>
    <row r="571" spans="1:40" ht="14.5" x14ac:dyDescent="0.35">
      <c r="A571" s="373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  <c r="AL571" s="141"/>
      <c r="AM571" s="141"/>
      <c r="AN571" s="141"/>
    </row>
    <row r="572" spans="1:40" ht="14.5" x14ac:dyDescent="0.35">
      <c r="A572" s="373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  <c r="AL572" s="141"/>
      <c r="AM572" s="141"/>
      <c r="AN572" s="141"/>
    </row>
    <row r="573" spans="1:40" ht="14.5" x14ac:dyDescent="0.35">
      <c r="A573" s="373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  <c r="AL573" s="141"/>
      <c r="AM573" s="141"/>
      <c r="AN573" s="141"/>
    </row>
    <row r="574" spans="1:40" ht="14.5" x14ac:dyDescent="0.35">
      <c r="A574" s="373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  <c r="AL574" s="141"/>
      <c r="AM574" s="141"/>
      <c r="AN574" s="141"/>
    </row>
    <row r="575" spans="1:40" ht="14.5" x14ac:dyDescent="0.35">
      <c r="A575" s="373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  <c r="AL575" s="141"/>
      <c r="AM575" s="141"/>
      <c r="AN575" s="141"/>
    </row>
    <row r="576" spans="1:40" ht="14.5" x14ac:dyDescent="0.35">
      <c r="A576" s="373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  <c r="AL576" s="141"/>
      <c r="AM576" s="141"/>
      <c r="AN576" s="141"/>
    </row>
    <row r="577" spans="1:40" ht="14.5" x14ac:dyDescent="0.35">
      <c r="A577" s="373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  <c r="AL577" s="141"/>
      <c r="AM577" s="141"/>
      <c r="AN577" s="141"/>
    </row>
    <row r="578" spans="1:40" ht="14.5" x14ac:dyDescent="0.35">
      <c r="A578" s="373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  <c r="AL578" s="141"/>
      <c r="AM578" s="141"/>
      <c r="AN578" s="141"/>
    </row>
    <row r="579" spans="1:40" ht="14.5" x14ac:dyDescent="0.35">
      <c r="A579" s="373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  <c r="AL579" s="141"/>
      <c r="AM579" s="141"/>
      <c r="AN579" s="141"/>
    </row>
    <row r="580" spans="1:40" ht="14.5" x14ac:dyDescent="0.35">
      <c r="A580" s="373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  <c r="AL580" s="141"/>
      <c r="AM580" s="141"/>
      <c r="AN580" s="141"/>
    </row>
    <row r="581" spans="1:40" ht="14.5" x14ac:dyDescent="0.35">
      <c r="A581" s="373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  <c r="AL581" s="141"/>
      <c r="AM581" s="141"/>
      <c r="AN581" s="141"/>
    </row>
    <row r="582" spans="1:40" ht="14.5" x14ac:dyDescent="0.35">
      <c r="A582" s="373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  <c r="AL582" s="141"/>
      <c r="AM582" s="141"/>
      <c r="AN582" s="141"/>
    </row>
    <row r="583" spans="1:40" ht="14.5" x14ac:dyDescent="0.35">
      <c r="A583" s="373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  <c r="AL583" s="141"/>
      <c r="AM583" s="141"/>
      <c r="AN583" s="141"/>
    </row>
    <row r="584" spans="1:40" ht="14.5" x14ac:dyDescent="0.35">
      <c r="A584" s="373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  <c r="AL584" s="141"/>
      <c r="AM584" s="141"/>
      <c r="AN584" s="141"/>
    </row>
    <row r="585" spans="1:40" ht="14.5" x14ac:dyDescent="0.35">
      <c r="A585" s="373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  <c r="AL585" s="141"/>
      <c r="AM585" s="141"/>
      <c r="AN585" s="141"/>
    </row>
    <row r="586" spans="1:40" ht="14.5" x14ac:dyDescent="0.35">
      <c r="A586" s="373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  <c r="AL586" s="141"/>
      <c r="AM586" s="141"/>
      <c r="AN586" s="141"/>
    </row>
    <row r="587" spans="1:40" ht="14.5" x14ac:dyDescent="0.35">
      <c r="A587" s="373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  <c r="AL587" s="141"/>
      <c r="AM587" s="141"/>
      <c r="AN587" s="141"/>
    </row>
    <row r="588" spans="1:40" ht="14.5" x14ac:dyDescent="0.35">
      <c r="A588" s="373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  <c r="AL588" s="141"/>
      <c r="AM588" s="141"/>
      <c r="AN588" s="141"/>
    </row>
    <row r="589" spans="1:40" ht="14.5" x14ac:dyDescent="0.35">
      <c r="A589" s="373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  <c r="AL589" s="141"/>
      <c r="AM589" s="141"/>
      <c r="AN589" s="141"/>
    </row>
    <row r="590" spans="1:40" ht="14.5" x14ac:dyDescent="0.35">
      <c r="A590" s="373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  <c r="AL590" s="141"/>
      <c r="AM590" s="141"/>
      <c r="AN590" s="141"/>
    </row>
    <row r="591" spans="1:40" ht="14.5" x14ac:dyDescent="0.35">
      <c r="A591" s="373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  <c r="AL591" s="141"/>
      <c r="AM591" s="141"/>
      <c r="AN591" s="141"/>
    </row>
    <row r="592" spans="1:40" ht="14.5" x14ac:dyDescent="0.35">
      <c r="A592" s="373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  <c r="AL592" s="141"/>
      <c r="AM592" s="141"/>
      <c r="AN592" s="141"/>
    </row>
    <row r="593" spans="1:40" ht="14.5" x14ac:dyDescent="0.35">
      <c r="A593" s="373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  <c r="AL593" s="141"/>
      <c r="AM593" s="141"/>
      <c r="AN593" s="141"/>
    </row>
    <row r="594" spans="1:40" ht="14.5" x14ac:dyDescent="0.35">
      <c r="A594" s="373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  <c r="AL594" s="141"/>
      <c r="AM594" s="141"/>
      <c r="AN594" s="141"/>
    </row>
    <row r="595" spans="1:40" ht="14.5" x14ac:dyDescent="0.35">
      <c r="A595" s="373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  <c r="AL595" s="141"/>
      <c r="AM595" s="141"/>
      <c r="AN595" s="141"/>
    </row>
    <row r="596" spans="1:40" ht="14.5" x14ac:dyDescent="0.35">
      <c r="A596" s="373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  <c r="AL596" s="141"/>
      <c r="AM596" s="141"/>
      <c r="AN596" s="141"/>
    </row>
    <row r="597" spans="1:40" ht="14.5" x14ac:dyDescent="0.35">
      <c r="A597" s="373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  <c r="AL597" s="141"/>
      <c r="AM597" s="141"/>
      <c r="AN597" s="141"/>
    </row>
    <row r="598" spans="1:40" ht="14.5" x14ac:dyDescent="0.35">
      <c r="A598" s="373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  <c r="AL598" s="141"/>
      <c r="AM598" s="141"/>
      <c r="AN598" s="141"/>
    </row>
    <row r="599" spans="1:40" ht="14.5" x14ac:dyDescent="0.35">
      <c r="A599" s="373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  <c r="AL599" s="141"/>
      <c r="AM599" s="141"/>
      <c r="AN599" s="141"/>
    </row>
    <row r="600" spans="1:40" ht="14.5" x14ac:dyDescent="0.35">
      <c r="A600" s="373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  <c r="AL600" s="141"/>
      <c r="AM600" s="141"/>
      <c r="AN600" s="141"/>
    </row>
    <row r="601" spans="1:40" ht="14.5" x14ac:dyDescent="0.35">
      <c r="A601" s="373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  <c r="AL601" s="141"/>
      <c r="AM601" s="141"/>
      <c r="AN601" s="141"/>
    </row>
    <row r="602" spans="1:40" ht="14.5" x14ac:dyDescent="0.35">
      <c r="A602" s="373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  <c r="AL602" s="141"/>
      <c r="AM602" s="141"/>
      <c r="AN602" s="141"/>
    </row>
    <row r="603" spans="1:40" ht="14.5" x14ac:dyDescent="0.35">
      <c r="A603" s="373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  <c r="AL603" s="141"/>
      <c r="AM603" s="141"/>
      <c r="AN603" s="141"/>
    </row>
    <row r="604" spans="1:40" ht="14.5" x14ac:dyDescent="0.35">
      <c r="A604" s="373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  <c r="AL604" s="141"/>
      <c r="AM604" s="141"/>
      <c r="AN604" s="141"/>
    </row>
    <row r="605" spans="1:40" ht="14.5" x14ac:dyDescent="0.35">
      <c r="A605" s="373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  <c r="AL605" s="141"/>
      <c r="AM605" s="141"/>
      <c r="AN605" s="141"/>
    </row>
    <row r="606" spans="1:40" ht="14.5" x14ac:dyDescent="0.35">
      <c r="A606" s="373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  <c r="AL606" s="141"/>
      <c r="AM606" s="141"/>
      <c r="AN606" s="141"/>
    </row>
    <row r="607" spans="1:40" ht="14.5" x14ac:dyDescent="0.35">
      <c r="A607" s="373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  <c r="AL607" s="141"/>
      <c r="AM607" s="141"/>
      <c r="AN607" s="141"/>
    </row>
    <row r="608" spans="1:40" ht="14.5" x14ac:dyDescent="0.35">
      <c r="A608" s="373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  <c r="AL608" s="141"/>
      <c r="AM608" s="141"/>
      <c r="AN608" s="141"/>
    </row>
    <row r="609" spans="1:40" ht="14.5" x14ac:dyDescent="0.35">
      <c r="A609" s="373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  <c r="AL609" s="141"/>
      <c r="AM609" s="141"/>
      <c r="AN609" s="141"/>
    </row>
    <row r="610" spans="1:40" ht="14.5" x14ac:dyDescent="0.35">
      <c r="A610" s="373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  <c r="AL610" s="141"/>
      <c r="AM610" s="141"/>
      <c r="AN610" s="141"/>
    </row>
    <row r="611" spans="1:40" ht="14.5" x14ac:dyDescent="0.35">
      <c r="A611" s="373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  <c r="AL611" s="141"/>
      <c r="AM611" s="141"/>
      <c r="AN611" s="141"/>
    </row>
    <row r="612" spans="1:40" ht="14.5" x14ac:dyDescent="0.35">
      <c r="A612" s="373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  <c r="AL612" s="141"/>
      <c r="AM612" s="141"/>
      <c r="AN612" s="141"/>
    </row>
    <row r="613" spans="1:40" ht="14.5" x14ac:dyDescent="0.35">
      <c r="A613" s="373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  <c r="AL613" s="141"/>
      <c r="AM613" s="141"/>
      <c r="AN613" s="141"/>
    </row>
    <row r="614" spans="1:40" ht="14.5" x14ac:dyDescent="0.35">
      <c r="A614" s="373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  <c r="AL614" s="141"/>
      <c r="AM614" s="141"/>
      <c r="AN614" s="141"/>
    </row>
    <row r="615" spans="1:40" ht="14.5" x14ac:dyDescent="0.35">
      <c r="A615" s="373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  <c r="AL615" s="141"/>
      <c r="AM615" s="141"/>
      <c r="AN615" s="141"/>
    </row>
    <row r="616" spans="1:40" ht="14.5" x14ac:dyDescent="0.35">
      <c r="A616" s="373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  <c r="AL616" s="141"/>
      <c r="AM616" s="141"/>
      <c r="AN616" s="141"/>
    </row>
    <row r="617" spans="1:40" ht="14.5" x14ac:dyDescent="0.35">
      <c r="A617" s="373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  <c r="AL617" s="141"/>
      <c r="AM617" s="141"/>
      <c r="AN617" s="141"/>
    </row>
    <row r="618" spans="1:40" ht="14.5" x14ac:dyDescent="0.35">
      <c r="A618" s="373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  <c r="AL618" s="141"/>
      <c r="AM618" s="141"/>
      <c r="AN618" s="141"/>
    </row>
    <row r="619" spans="1:40" ht="14.5" x14ac:dyDescent="0.35">
      <c r="A619" s="373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  <c r="AL619" s="141"/>
      <c r="AM619" s="141"/>
      <c r="AN619" s="141"/>
    </row>
    <row r="620" spans="1:40" ht="14.5" x14ac:dyDescent="0.35">
      <c r="A620" s="373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  <c r="AL620" s="141"/>
      <c r="AM620" s="141"/>
      <c r="AN620" s="141"/>
    </row>
    <row r="621" spans="1:40" ht="14.5" x14ac:dyDescent="0.35">
      <c r="A621" s="373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  <c r="AL621" s="141"/>
      <c r="AM621" s="141"/>
      <c r="AN621" s="141"/>
    </row>
    <row r="622" spans="1:40" ht="14.5" x14ac:dyDescent="0.35">
      <c r="A622" s="373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  <c r="AL622" s="141"/>
      <c r="AM622" s="141"/>
      <c r="AN622" s="141"/>
    </row>
    <row r="623" spans="1:40" ht="14.5" x14ac:dyDescent="0.35">
      <c r="A623" s="373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  <c r="AL623" s="141"/>
      <c r="AM623" s="141"/>
      <c r="AN623" s="141"/>
    </row>
    <row r="624" spans="1:40" ht="14.5" x14ac:dyDescent="0.35">
      <c r="A624" s="373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  <c r="AL624" s="141"/>
      <c r="AM624" s="141"/>
      <c r="AN624" s="141"/>
    </row>
    <row r="625" spans="1:40" ht="14.5" x14ac:dyDescent="0.35">
      <c r="A625" s="373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  <c r="AL625" s="141"/>
      <c r="AM625" s="141"/>
      <c r="AN625" s="141"/>
    </row>
    <row r="626" spans="1:40" ht="14.5" x14ac:dyDescent="0.35">
      <c r="A626" s="373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  <c r="AL626" s="141"/>
      <c r="AM626" s="141"/>
      <c r="AN626" s="141"/>
    </row>
    <row r="627" spans="1:40" ht="14.5" x14ac:dyDescent="0.35">
      <c r="A627" s="373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  <c r="AL627" s="141"/>
      <c r="AM627" s="141"/>
      <c r="AN627" s="141"/>
    </row>
    <row r="628" spans="1:40" ht="14.5" x14ac:dyDescent="0.35">
      <c r="A628" s="373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  <c r="AL628" s="141"/>
      <c r="AM628" s="141"/>
      <c r="AN628" s="141"/>
    </row>
    <row r="629" spans="1:40" ht="14.5" x14ac:dyDescent="0.35">
      <c r="A629" s="373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  <c r="AL629" s="141"/>
      <c r="AM629" s="141"/>
      <c r="AN629" s="141"/>
    </row>
    <row r="630" spans="1:40" ht="14.5" x14ac:dyDescent="0.35">
      <c r="A630" s="373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  <c r="AL630" s="141"/>
      <c r="AM630" s="141"/>
      <c r="AN630" s="141"/>
    </row>
    <row r="631" spans="1:40" ht="14.5" x14ac:dyDescent="0.35">
      <c r="A631" s="373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  <c r="AL631" s="141"/>
      <c r="AM631" s="141"/>
      <c r="AN631" s="141"/>
    </row>
    <row r="632" spans="1:40" ht="14.5" x14ac:dyDescent="0.35">
      <c r="A632" s="373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  <c r="AL632" s="141"/>
      <c r="AM632" s="141"/>
      <c r="AN632" s="141"/>
    </row>
    <row r="633" spans="1:40" ht="14.5" x14ac:dyDescent="0.35">
      <c r="A633" s="373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  <c r="AL633" s="141"/>
      <c r="AM633" s="141"/>
      <c r="AN633" s="141"/>
    </row>
    <row r="634" spans="1:40" ht="14.5" x14ac:dyDescent="0.35">
      <c r="A634" s="373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  <c r="AL634" s="141"/>
      <c r="AM634" s="141"/>
      <c r="AN634" s="141"/>
    </row>
    <row r="635" spans="1:40" ht="14.5" x14ac:dyDescent="0.35">
      <c r="A635" s="373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  <c r="AL635" s="141"/>
      <c r="AM635" s="141"/>
      <c r="AN635" s="141"/>
    </row>
    <row r="636" spans="1:40" ht="14.5" x14ac:dyDescent="0.35">
      <c r="A636" s="373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  <c r="AL636" s="141"/>
      <c r="AM636" s="141"/>
      <c r="AN636" s="141"/>
    </row>
    <row r="637" spans="1:40" ht="14.5" x14ac:dyDescent="0.35">
      <c r="A637" s="373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  <c r="AL637" s="141"/>
      <c r="AM637" s="141"/>
      <c r="AN637" s="141"/>
    </row>
    <row r="638" spans="1:40" ht="14.5" x14ac:dyDescent="0.35">
      <c r="A638" s="373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  <c r="AL638" s="141"/>
      <c r="AM638" s="141"/>
      <c r="AN638" s="141"/>
    </row>
    <row r="639" spans="1:40" ht="14.5" x14ac:dyDescent="0.35">
      <c r="A639" s="373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  <c r="AL639" s="141"/>
      <c r="AM639" s="141"/>
      <c r="AN639" s="141"/>
    </row>
    <row r="640" spans="1:40" ht="14.5" x14ac:dyDescent="0.35">
      <c r="A640" s="373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  <c r="AL640" s="141"/>
      <c r="AM640" s="141"/>
      <c r="AN640" s="141"/>
    </row>
    <row r="641" spans="1:40" ht="14.5" x14ac:dyDescent="0.35">
      <c r="A641" s="373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  <c r="AL641" s="141"/>
      <c r="AM641" s="141"/>
      <c r="AN641" s="141"/>
    </row>
    <row r="642" spans="1:40" ht="14.5" x14ac:dyDescent="0.35">
      <c r="A642" s="373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  <c r="AL642" s="141"/>
      <c r="AM642" s="141"/>
      <c r="AN642" s="141"/>
    </row>
    <row r="643" spans="1:40" ht="14.5" x14ac:dyDescent="0.35">
      <c r="A643" s="373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  <c r="AL643" s="141"/>
      <c r="AM643" s="141"/>
      <c r="AN643" s="141"/>
    </row>
    <row r="644" spans="1:40" ht="14.5" x14ac:dyDescent="0.35">
      <c r="A644" s="373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  <c r="AL644" s="141"/>
      <c r="AM644" s="141"/>
      <c r="AN644" s="141"/>
    </row>
    <row r="645" spans="1:40" ht="14.5" x14ac:dyDescent="0.35">
      <c r="A645" s="373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  <c r="AL645" s="141"/>
      <c r="AM645" s="141"/>
      <c r="AN645" s="141"/>
    </row>
    <row r="646" spans="1:40" ht="14.5" x14ac:dyDescent="0.35">
      <c r="A646" s="373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  <c r="AL646" s="141"/>
      <c r="AM646" s="141"/>
      <c r="AN646" s="141"/>
    </row>
    <row r="647" spans="1:40" ht="14.5" x14ac:dyDescent="0.35">
      <c r="A647" s="373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  <c r="AL647" s="141"/>
      <c r="AM647" s="141"/>
      <c r="AN647" s="141"/>
    </row>
    <row r="648" spans="1:40" ht="14.5" x14ac:dyDescent="0.35">
      <c r="A648" s="373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  <c r="AL648" s="141"/>
      <c r="AM648" s="141"/>
      <c r="AN648" s="141"/>
    </row>
    <row r="649" spans="1:40" ht="14.5" x14ac:dyDescent="0.35">
      <c r="A649" s="373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  <c r="AL649" s="141"/>
      <c r="AM649" s="141"/>
      <c r="AN649" s="141"/>
    </row>
    <row r="650" spans="1:40" ht="14.5" x14ac:dyDescent="0.35">
      <c r="A650" s="373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  <c r="AJ650" s="141"/>
      <c r="AK650" s="141"/>
      <c r="AL650" s="141"/>
      <c r="AM650" s="141"/>
      <c r="AN650" s="141"/>
    </row>
    <row r="651" spans="1:40" ht="14.5" x14ac:dyDescent="0.35">
      <c r="A651" s="373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  <c r="AJ651" s="141"/>
      <c r="AK651" s="141"/>
      <c r="AL651" s="141"/>
      <c r="AM651" s="141"/>
      <c r="AN651" s="141"/>
    </row>
    <row r="652" spans="1:40" ht="14.5" x14ac:dyDescent="0.35">
      <c r="A652" s="373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/>
      <c r="AL652" s="141"/>
      <c r="AM652" s="141"/>
      <c r="AN652" s="141"/>
    </row>
    <row r="653" spans="1:40" ht="14.5" x14ac:dyDescent="0.35">
      <c r="A653" s="373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  <c r="AJ653" s="141"/>
      <c r="AK653" s="141"/>
      <c r="AL653" s="141"/>
      <c r="AM653" s="141"/>
      <c r="AN653" s="141"/>
    </row>
    <row r="654" spans="1:40" ht="14.5" x14ac:dyDescent="0.35">
      <c r="A654" s="373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/>
      <c r="AL654" s="141"/>
      <c r="AM654" s="141"/>
      <c r="AN654" s="141"/>
    </row>
    <row r="655" spans="1:40" ht="14.5" x14ac:dyDescent="0.35">
      <c r="A655" s="373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  <c r="AJ655" s="141"/>
      <c r="AK655" s="141"/>
      <c r="AL655" s="141"/>
      <c r="AM655" s="141"/>
      <c r="AN655" s="141"/>
    </row>
    <row r="656" spans="1:40" ht="14.5" x14ac:dyDescent="0.35">
      <c r="A656" s="373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  <c r="AL656" s="141"/>
      <c r="AM656" s="141"/>
      <c r="AN656" s="141"/>
    </row>
    <row r="657" spans="1:40" ht="14.5" x14ac:dyDescent="0.35">
      <c r="A657" s="373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  <c r="AJ657" s="141"/>
      <c r="AK657" s="141"/>
      <c r="AL657" s="141"/>
      <c r="AM657" s="141"/>
      <c r="AN657" s="141"/>
    </row>
    <row r="658" spans="1:40" ht="14.5" x14ac:dyDescent="0.35">
      <c r="A658" s="373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  <c r="AL658" s="141"/>
      <c r="AM658" s="141"/>
      <c r="AN658" s="141"/>
    </row>
    <row r="659" spans="1:40" ht="14.5" x14ac:dyDescent="0.35">
      <c r="A659" s="373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  <c r="AJ659" s="141"/>
      <c r="AK659" s="141"/>
      <c r="AL659" s="141"/>
      <c r="AM659" s="141"/>
      <c r="AN659" s="141"/>
    </row>
    <row r="660" spans="1:40" ht="14.5" x14ac:dyDescent="0.35">
      <c r="A660" s="373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  <c r="AL660" s="141"/>
      <c r="AM660" s="141"/>
      <c r="AN660" s="141"/>
    </row>
    <row r="661" spans="1:40" ht="14.5" x14ac:dyDescent="0.35">
      <c r="A661" s="373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  <c r="AJ661" s="141"/>
      <c r="AK661" s="141"/>
      <c r="AL661" s="141"/>
      <c r="AM661" s="141"/>
      <c r="AN661" s="141"/>
    </row>
    <row r="662" spans="1:40" ht="14.5" x14ac:dyDescent="0.35">
      <c r="A662" s="373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  <c r="AL662" s="141"/>
      <c r="AM662" s="141"/>
      <c r="AN662" s="141"/>
    </row>
    <row r="663" spans="1:40" ht="14.5" x14ac:dyDescent="0.35">
      <c r="A663" s="373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  <c r="AJ663" s="141"/>
      <c r="AK663" s="141"/>
      <c r="AL663" s="141"/>
      <c r="AM663" s="141"/>
      <c r="AN663" s="141"/>
    </row>
    <row r="664" spans="1:40" ht="14.5" x14ac:dyDescent="0.35">
      <c r="A664" s="373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  <c r="AL664" s="141"/>
      <c r="AM664" s="141"/>
      <c r="AN664" s="141"/>
    </row>
    <row r="665" spans="1:40" ht="14.5" x14ac:dyDescent="0.35">
      <c r="A665" s="373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  <c r="AJ665" s="141"/>
      <c r="AK665" s="141"/>
      <c r="AL665" s="141"/>
      <c r="AM665" s="141"/>
      <c r="AN665" s="141"/>
    </row>
    <row r="666" spans="1:40" ht="14.5" x14ac:dyDescent="0.35">
      <c r="A666" s="373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  <c r="AL666" s="141"/>
      <c r="AM666" s="141"/>
      <c r="AN666" s="141"/>
    </row>
    <row r="667" spans="1:40" ht="14.5" x14ac:dyDescent="0.35">
      <c r="A667" s="373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  <c r="AJ667" s="141"/>
      <c r="AK667" s="141"/>
      <c r="AL667" s="141"/>
      <c r="AM667" s="141"/>
      <c r="AN667" s="141"/>
    </row>
    <row r="668" spans="1:40" ht="14.5" x14ac:dyDescent="0.35">
      <c r="A668" s="373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  <c r="AJ668" s="141"/>
      <c r="AK668" s="141"/>
      <c r="AL668" s="141"/>
      <c r="AM668" s="141"/>
      <c r="AN668" s="141"/>
    </row>
    <row r="669" spans="1:40" ht="14.5" x14ac:dyDescent="0.35">
      <c r="A669" s="373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  <c r="AJ669" s="141"/>
      <c r="AK669" s="141"/>
      <c r="AL669" s="141"/>
      <c r="AM669" s="141"/>
      <c r="AN669" s="141"/>
    </row>
    <row r="670" spans="1:40" ht="14.5" x14ac:dyDescent="0.35">
      <c r="A670" s="373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/>
      <c r="AL670" s="141"/>
      <c r="AM670" s="141"/>
      <c r="AN670" s="141"/>
    </row>
    <row r="671" spans="1:40" ht="14.5" x14ac:dyDescent="0.35">
      <c r="A671" s="373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  <c r="AJ671" s="141"/>
      <c r="AK671" s="141"/>
      <c r="AL671" s="141"/>
      <c r="AM671" s="141"/>
      <c r="AN671" s="141"/>
    </row>
    <row r="672" spans="1:40" ht="14.5" x14ac:dyDescent="0.35">
      <c r="A672" s="373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  <c r="AJ672" s="141"/>
      <c r="AK672" s="141"/>
      <c r="AL672" s="141"/>
      <c r="AM672" s="141"/>
      <c r="AN672" s="141"/>
    </row>
    <row r="673" spans="1:40" ht="14.5" x14ac:dyDescent="0.35">
      <c r="A673" s="373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  <c r="AJ673" s="141"/>
      <c r="AK673" s="141"/>
      <c r="AL673" s="141"/>
      <c r="AM673" s="141"/>
      <c r="AN673" s="141"/>
    </row>
    <row r="674" spans="1:40" ht="14.5" x14ac:dyDescent="0.35">
      <c r="A674" s="373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  <c r="AL674" s="141"/>
      <c r="AM674" s="141"/>
      <c r="AN674" s="141"/>
    </row>
    <row r="675" spans="1:40" ht="14.5" x14ac:dyDescent="0.35">
      <c r="A675" s="373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  <c r="AJ675" s="141"/>
      <c r="AK675" s="141"/>
      <c r="AL675" s="141"/>
      <c r="AM675" s="141"/>
      <c r="AN675" s="141"/>
    </row>
    <row r="676" spans="1:40" ht="14.5" x14ac:dyDescent="0.35">
      <c r="A676" s="373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  <c r="AJ676" s="141"/>
      <c r="AK676" s="141"/>
      <c r="AL676" s="141"/>
      <c r="AM676" s="141"/>
      <c r="AN676" s="141"/>
    </row>
    <row r="677" spans="1:40" ht="14.5" x14ac:dyDescent="0.35">
      <c r="A677" s="373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  <c r="AJ677" s="141"/>
      <c r="AK677" s="141"/>
      <c r="AL677" s="141"/>
      <c r="AM677" s="141"/>
      <c r="AN677" s="141"/>
    </row>
    <row r="678" spans="1:40" ht="14.5" x14ac:dyDescent="0.35">
      <c r="A678" s="373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  <c r="AL678" s="141"/>
      <c r="AM678" s="141"/>
      <c r="AN678" s="141"/>
    </row>
    <row r="679" spans="1:40" ht="14.5" x14ac:dyDescent="0.35">
      <c r="A679" s="373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  <c r="AJ679" s="141"/>
      <c r="AK679" s="141"/>
      <c r="AL679" s="141"/>
      <c r="AM679" s="141"/>
      <c r="AN679" s="141"/>
    </row>
    <row r="680" spans="1:40" ht="14.5" x14ac:dyDescent="0.35">
      <c r="A680" s="373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/>
      <c r="AL680" s="141"/>
      <c r="AM680" s="141"/>
      <c r="AN680" s="141"/>
    </row>
    <row r="681" spans="1:40" ht="14.5" x14ac:dyDescent="0.35">
      <c r="A681" s="373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  <c r="AJ681" s="141"/>
      <c r="AK681" s="141"/>
      <c r="AL681" s="141"/>
      <c r="AM681" s="141"/>
      <c r="AN681" s="141"/>
    </row>
    <row r="682" spans="1:40" ht="14.5" x14ac:dyDescent="0.35">
      <c r="A682" s="373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  <c r="AJ682" s="141"/>
      <c r="AK682" s="141"/>
      <c r="AL682" s="141"/>
      <c r="AM682" s="141"/>
      <c r="AN682" s="141"/>
    </row>
    <row r="683" spans="1:40" ht="14.5" x14ac:dyDescent="0.35">
      <c r="A683" s="373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/>
      <c r="AL683" s="141"/>
      <c r="AM683" s="141"/>
      <c r="AN683" s="141"/>
    </row>
    <row r="684" spans="1:40" ht="14.5" x14ac:dyDescent="0.35">
      <c r="A684" s="373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  <c r="AJ684" s="141"/>
      <c r="AK684" s="141"/>
      <c r="AL684" s="141"/>
      <c r="AM684" s="141"/>
      <c r="AN684" s="141"/>
    </row>
    <row r="685" spans="1:40" ht="14.5" x14ac:dyDescent="0.35">
      <c r="A685" s="373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/>
      <c r="AL685" s="141"/>
      <c r="AM685" s="141"/>
      <c r="AN685" s="141"/>
    </row>
    <row r="686" spans="1:40" ht="14.5" x14ac:dyDescent="0.35">
      <c r="A686" s="373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  <c r="AJ686" s="141"/>
      <c r="AK686" s="141"/>
      <c r="AL686" s="141"/>
      <c r="AM686" s="141"/>
      <c r="AN686" s="141"/>
    </row>
    <row r="687" spans="1:40" ht="14.5" x14ac:dyDescent="0.35">
      <c r="A687" s="373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  <c r="AL687" s="141"/>
      <c r="AM687" s="141"/>
      <c r="AN687" s="141"/>
    </row>
    <row r="688" spans="1:40" ht="14.5" x14ac:dyDescent="0.35">
      <c r="A688" s="373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  <c r="AL688" s="141"/>
      <c r="AM688" s="141"/>
      <c r="AN688" s="141"/>
    </row>
    <row r="689" spans="1:40" ht="14.5" x14ac:dyDescent="0.35">
      <c r="A689" s="373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  <c r="AL689" s="141"/>
      <c r="AM689" s="141"/>
      <c r="AN689" s="141"/>
    </row>
    <row r="690" spans="1:40" ht="14.5" x14ac:dyDescent="0.35">
      <c r="A690" s="373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  <c r="AL690" s="141"/>
      <c r="AM690" s="141"/>
      <c r="AN690" s="141"/>
    </row>
    <row r="691" spans="1:40" ht="14.5" x14ac:dyDescent="0.35">
      <c r="A691" s="373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  <c r="AL691" s="141"/>
      <c r="AM691" s="141"/>
      <c r="AN691" s="141"/>
    </row>
    <row r="692" spans="1:40" ht="14.5" x14ac:dyDescent="0.35">
      <c r="A692" s="373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  <c r="AL692" s="141"/>
      <c r="AM692" s="141"/>
      <c r="AN692" s="141"/>
    </row>
    <row r="693" spans="1:40" ht="14.5" x14ac:dyDescent="0.35">
      <c r="A693" s="373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  <c r="AL693" s="141"/>
      <c r="AM693" s="141"/>
      <c r="AN693" s="141"/>
    </row>
    <row r="694" spans="1:40" ht="14.5" x14ac:dyDescent="0.35">
      <c r="A694" s="373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  <c r="AL694" s="141"/>
      <c r="AM694" s="141"/>
      <c r="AN694" s="141"/>
    </row>
    <row r="695" spans="1:40" ht="14.5" x14ac:dyDescent="0.35">
      <c r="A695" s="373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  <c r="AL695" s="141"/>
      <c r="AM695" s="141"/>
      <c r="AN695" s="141"/>
    </row>
    <row r="696" spans="1:40" ht="14.5" x14ac:dyDescent="0.35">
      <c r="A696" s="373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  <c r="AL696" s="141"/>
      <c r="AM696" s="141"/>
      <c r="AN696" s="141"/>
    </row>
    <row r="697" spans="1:40" ht="14.5" x14ac:dyDescent="0.35">
      <c r="A697" s="373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  <c r="AL697" s="141"/>
      <c r="AM697" s="141"/>
      <c r="AN697" s="141"/>
    </row>
    <row r="698" spans="1:40" ht="14.5" x14ac:dyDescent="0.35">
      <c r="A698" s="373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  <c r="AL698" s="141"/>
      <c r="AM698" s="141"/>
      <c r="AN698" s="141"/>
    </row>
    <row r="699" spans="1:40" ht="14.5" x14ac:dyDescent="0.35">
      <c r="A699" s="373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  <c r="AL699" s="141"/>
      <c r="AM699" s="141"/>
      <c r="AN699" s="141"/>
    </row>
    <row r="700" spans="1:40" ht="14.5" x14ac:dyDescent="0.35">
      <c r="A700" s="373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  <c r="AL700" s="141"/>
      <c r="AM700" s="141"/>
      <c r="AN700" s="141"/>
    </row>
    <row r="701" spans="1:40" ht="14.5" x14ac:dyDescent="0.35">
      <c r="A701" s="373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  <c r="AL701" s="141"/>
      <c r="AM701" s="141"/>
      <c r="AN701" s="141"/>
    </row>
    <row r="702" spans="1:40" ht="14.5" x14ac:dyDescent="0.35">
      <c r="A702" s="373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  <c r="AL702" s="141"/>
      <c r="AM702" s="141"/>
      <c r="AN702" s="141"/>
    </row>
    <row r="703" spans="1:40" ht="14.5" x14ac:dyDescent="0.35">
      <c r="A703" s="373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  <c r="AL703" s="141"/>
      <c r="AM703" s="141"/>
      <c r="AN703" s="141"/>
    </row>
    <row r="704" spans="1:40" ht="14.5" x14ac:dyDescent="0.35">
      <c r="A704" s="373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  <c r="AL704" s="141"/>
      <c r="AM704" s="141"/>
      <c r="AN704" s="141"/>
    </row>
    <row r="705" spans="1:40" ht="14.5" x14ac:dyDescent="0.35">
      <c r="A705" s="373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  <c r="AL705" s="141"/>
      <c r="AM705" s="141"/>
      <c r="AN705" s="141"/>
    </row>
    <row r="706" spans="1:40" ht="14.5" x14ac:dyDescent="0.35">
      <c r="A706" s="373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  <c r="AL706" s="141"/>
      <c r="AM706" s="141"/>
      <c r="AN706" s="141"/>
    </row>
    <row r="707" spans="1:40" ht="14.5" x14ac:dyDescent="0.35">
      <c r="A707" s="373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  <c r="AL707" s="141"/>
      <c r="AM707" s="141"/>
      <c r="AN707" s="141"/>
    </row>
    <row r="708" spans="1:40" ht="14.5" x14ac:dyDescent="0.35">
      <c r="A708" s="373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  <c r="AL708" s="141"/>
      <c r="AM708" s="141"/>
      <c r="AN708" s="141"/>
    </row>
    <row r="709" spans="1:40" ht="14.5" x14ac:dyDescent="0.35">
      <c r="A709" s="373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  <c r="AL709" s="141"/>
      <c r="AM709" s="141"/>
      <c r="AN709" s="141"/>
    </row>
    <row r="710" spans="1:40" ht="14.5" x14ac:dyDescent="0.35">
      <c r="A710" s="373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  <c r="AL710" s="141"/>
      <c r="AM710" s="141"/>
      <c r="AN710" s="141"/>
    </row>
    <row r="711" spans="1:40" ht="14.5" x14ac:dyDescent="0.35">
      <c r="A711" s="373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  <c r="AL711" s="141"/>
      <c r="AM711" s="141"/>
      <c r="AN711" s="141"/>
    </row>
    <row r="712" spans="1:40" ht="14.5" x14ac:dyDescent="0.35">
      <c r="A712" s="373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  <c r="AL712" s="141"/>
      <c r="AM712" s="141"/>
      <c r="AN712" s="141"/>
    </row>
    <row r="713" spans="1:40" ht="14.5" x14ac:dyDescent="0.35">
      <c r="A713" s="373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  <c r="AL713" s="141"/>
      <c r="AM713" s="141"/>
      <c r="AN713" s="141"/>
    </row>
    <row r="714" spans="1:40" ht="14.5" x14ac:dyDescent="0.35">
      <c r="A714" s="373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  <c r="AL714" s="141"/>
      <c r="AM714" s="141"/>
      <c r="AN714" s="141"/>
    </row>
    <row r="715" spans="1:40" ht="14.5" x14ac:dyDescent="0.35">
      <c r="A715" s="373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  <c r="AL715" s="141"/>
      <c r="AM715" s="141"/>
      <c r="AN715" s="141"/>
    </row>
    <row r="716" spans="1:40" ht="14.5" x14ac:dyDescent="0.35">
      <c r="A716" s="373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  <c r="AL716" s="141"/>
      <c r="AM716" s="141"/>
      <c r="AN716" s="141"/>
    </row>
    <row r="717" spans="1:40" ht="14.5" x14ac:dyDescent="0.35">
      <c r="A717" s="373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  <c r="AL717" s="141"/>
      <c r="AM717" s="141"/>
      <c r="AN717" s="141"/>
    </row>
    <row r="718" spans="1:40" ht="14.5" x14ac:dyDescent="0.35">
      <c r="A718" s="373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  <c r="AL718" s="141"/>
      <c r="AM718" s="141"/>
      <c r="AN718" s="141"/>
    </row>
    <row r="719" spans="1:40" ht="14.5" x14ac:dyDescent="0.35">
      <c r="A719" s="373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  <c r="AL719" s="141"/>
      <c r="AM719" s="141"/>
      <c r="AN719" s="141"/>
    </row>
    <row r="720" spans="1:40" ht="14.5" x14ac:dyDescent="0.35">
      <c r="A720" s="373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  <c r="AL720" s="141"/>
      <c r="AM720" s="141"/>
      <c r="AN720" s="141"/>
    </row>
    <row r="721" spans="1:40" ht="14.5" x14ac:dyDescent="0.35">
      <c r="A721" s="373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  <c r="AL721" s="141"/>
      <c r="AM721" s="141"/>
      <c r="AN721" s="141"/>
    </row>
    <row r="722" spans="1:40" ht="14.5" x14ac:dyDescent="0.35">
      <c r="A722" s="373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  <c r="AL722" s="141"/>
      <c r="AM722" s="141"/>
      <c r="AN722" s="141"/>
    </row>
    <row r="723" spans="1:40" ht="14.5" x14ac:dyDescent="0.35">
      <c r="A723" s="373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  <c r="AL723" s="141"/>
      <c r="AM723" s="141"/>
      <c r="AN723" s="141"/>
    </row>
    <row r="724" spans="1:40" ht="14.5" x14ac:dyDescent="0.35">
      <c r="A724" s="373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  <c r="AL724" s="141"/>
      <c r="AM724" s="141"/>
      <c r="AN724" s="141"/>
    </row>
    <row r="725" spans="1:40" ht="14.5" x14ac:dyDescent="0.35">
      <c r="A725" s="373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  <c r="AL725" s="141"/>
      <c r="AM725" s="141"/>
      <c r="AN725" s="141"/>
    </row>
    <row r="726" spans="1:40" ht="14.5" x14ac:dyDescent="0.35">
      <c r="A726" s="373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  <c r="AL726" s="141"/>
      <c r="AM726" s="141"/>
      <c r="AN726" s="141"/>
    </row>
    <row r="727" spans="1:40" ht="14.5" x14ac:dyDescent="0.35">
      <c r="A727" s="373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  <c r="AL727" s="141"/>
      <c r="AM727" s="141"/>
      <c r="AN727" s="141"/>
    </row>
    <row r="728" spans="1:40" ht="14.5" x14ac:dyDescent="0.35">
      <c r="A728" s="373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  <c r="AE728" s="141"/>
      <c r="AF728" s="141"/>
      <c r="AG728" s="141"/>
      <c r="AH728" s="141"/>
      <c r="AI728" s="141"/>
      <c r="AJ728" s="141"/>
      <c r="AK728" s="141"/>
      <c r="AL728" s="141"/>
      <c r="AM728" s="141"/>
      <c r="AN728" s="141"/>
    </row>
    <row r="729" spans="1:40" ht="14.5" x14ac:dyDescent="0.35">
      <c r="A729" s="373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  <c r="AE729" s="141"/>
      <c r="AF729" s="141"/>
      <c r="AG729" s="141"/>
      <c r="AH729" s="141"/>
      <c r="AI729" s="141"/>
      <c r="AJ729" s="141"/>
      <c r="AK729" s="141"/>
      <c r="AL729" s="141"/>
      <c r="AM729" s="141"/>
      <c r="AN729" s="141"/>
    </row>
    <row r="730" spans="1:40" ht="14.5" x14ac:dyDescent="0.35">
      <c r="A730" s="373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  <c r="AE730" s="141"/>
      <c r="AF730" s="141"/>
      <c r="AG730" s="141"/>
      <c r="AH730" s="141"/>
      <c r="AI730" s="141"/>
      <c r="AJ730" s="141"/>
      <c r="AK730" s="141"/>
      <c r="AL730" s="141"/>
      <c r="AM730" s="141"/>
      <c r="AN730" s="141"/>
    </row>
    <row r="731" spans="1:40" ht="14.5" x14ac:dyDescent="0.35">
      <c r="A731" s="373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  <c r="AE731" s="141"/>
      <c r="AF731" s="141"/>
      <c r="AG731" s="141"/>
      <c r="AH731" s="141"/>
      <c r="AI731" s="141"/>
      <c r="AJ731" s="141"/>
      <c r="AK731" s="141"/>
      <c r="AL731" s="141"/>
      <c r="AM731" s="141"/>
      <c r="AN731" s="141"/>
    </row>
    <row r="732" spans="1:40" ht="14.5" x14ac:dyDescent="0.35">
      <c r="A732" s="373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  <c r="AE732" s="141"/>
      <c r="AF732" s="141"/>
      <c r="AG732" s="141"/>
      <c r="AH732" s="141"/>
      <c r="AI732" s="141"/>
      <c r="AJ732" s="141"/>
      <c r="AK732" s="141"/>
      <c r="AL732" s="141"/>
      <c r="AM732" s="141"/>
      <c r="AN732" s="141"/>
    </row>
    <row r="733" spans="1:40" ht="14.5" x14ac:dyDescent="0.35">
      <c r="A733" s="373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  <c r="AE733" s="141"/>
      <c r="AF733" s="141"/>
      <c r="AG733" s="141"/>
      <c r="AH733" s="141"/>
      <c r="AI733" s="141"/>
      <c r="AJ733" s="141"/>
      <c r="AK733" s="141"/>
      <c r="AL733" s="141"/>
      <c r="AM733" s="141"/>
      <c r="AN733" s="141"/>
    </row>
    <row r="734" spans="1:40" ht="14.5" x14ac:dyDescent="0.35">
      <c r="A734" s="373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  <c r="AE734" s="141"/>
      <c r="AF734" s="141"/>
      <c r="AG734" s="141"/>
      <c r="AH734" s="141"/>
      <c r="AI734" s="141"/>
      <c r="AJ734" s="141"/>
      <c r="AK734" s="141"/>
      <c r="AL734" s="141"/>
      <c r="AM734" s="141"/>
      <c r="AN734" s="141"/>
    </row>
    <row r="735" spans="1:40" ht="14.5" x14ac:dyDescent="0.35">
      <c r="A735" s="373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  <c r="AE735" s="141"/>
      <c r="AF735" s="141"/>
      <c r="AG735" s="141"/>
      <c r="AH735" s="141"/>
      <c r="AI735" s="141"/>
      <c r="AJ735" s="141"/>
      <c r="AK735" s="141"/>
      <c r="AL735" s="141"/>
      <c r="AM735" s="141"/>
      <c r="AN735" s="141"/>
    </row>
    <row r="736" spans="1:40" ht="14.5" x14ac:dyDescent="0.35">
      <c r="A736" s="373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  <c r="AE736" s="141"/>
      <c r="AF736" s="141"/>
      <c r="AG736" s="141"/>
      <c r="AH736" s="141"/>
      <c r="AI736" s="141"/>
      <c r="AJ736" s="141"/>
      <c r="AK736" s="141"/>
      <c r="AL736" s="141"/>
      <c r="AM736" s="141"/>
      <c r="AN736" s="141"/>
    </row>
    <row r="737" spans="1:40" ht="14.5" x14ac:dyDescent="0.35">
      <c r="A737" s="373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  <c r="AE737" s="141"/>
      <c r="AF737" s="141"/>
      <c r="AG737" s="141"/>
      <c r="AH737" s="141"/>
      <c r="AI737" s="141"/>
      <c r="AJ737" s="141"/>
      <c r="AK737" s="141"/>
      <c r="AL737" s="141"/>
      <c r="AM737" s="141"/>
      <c r="AN737" s="141"/>
    </row>
    <row r="738" spans="1:40" ht="14.5" x14ac:dyDescent="0.35">
      <c r="A738" s="373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  <c r="AE738" s="141"/>
      <c r="AF738" s="141"/>
      <c r="AG738" s="141"/>
      <c r="AH738" s="141"/>
      <c r="AI738" s="141"/>
      <c r="AJ738" s="141"/>
      <c r="AK738" s="141"/>
      <c r="AL738" s="141"/>
      <c r="AM738" s="141"/>
      <c r="AN738" s="141"/>
    </row>
    <row r="739" spans="1:40" ht="14.5" x14ac:dyDescent="0.35">
      <c r="A739" s="373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  <c r="AE739" s="141"/>
      <c r="AF739" s="141"/>
      <c r="AG739" s="141"/>
      <c r="AH739" s="141"/>
      <c r="AI739" s="141"/>
      <c r="AJ739" s="141"/>
      <c r="AK739" s="141"/>
      <c r="AL739" s="141"/>
      <c r="AM739" s="141"/>
      <c r="AN739" s="141"/>
    </row>
    <row r="740" spans="1:40" ht="14.5" x14ac:dyDescent="0.35">
      <c r="A740" s="373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  <c r="AE740" s="141"/>
      <c r="AF740" s="141"/>
      <c r="AG740" s="141"/>
      <c r="AH740" s="141"/>
      <c r="AI740" s="141"/>
      <c r="AJ740" s="141"/>
      <c r="AK740" s="141"/>
      <c r="AL740" s="141"/>
      <c r="AM740" s="141"/>
      <c r="AN740" s="141"/>
    </row>
    <row r="741" spans="1:40" ht="14.5" x14ac:dyDescent="0.35">
      <c r="A741" s="373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  <c r="AE741" s="141"/>
      <c r="AF741" s="141"/>
      <c r="AG741" s="141"/>
      <c r="AH741" s="141"/>
      <c r="AI741" s="141"/>
      <c r="AJ741" s="141"/>
      <c r="AK741" s="141"/>
      <c r="AL741" s="141"/>
      <c r="AM741" s="141"/>
      <c r="AN741" s="141"/>
    </row>
    <row r="742" spans="1:40" ht="14.5" x14ac:dyDescent="0.35">
      <c r="A742" s="373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  <c r="AE742" s="141"/>
      <c r="AF742" s="141"/>
      <c r="AG742" s="141"/>
      <c r="AH742" s="141"/>
      <c r="AI742" s="141"/>
      <c r="AJ742" s="141"/>
      <c r="AK742" s="141"/>
      <c r="AL742" s="141"/>
      <c r="AM742" s="141"/>
      <c r="AN742" s="141"/>
    </row>
    <row r="743" spans="1:40" ht="14.5" x14ac:dyDescent="0.35">
      <c r="A743" s="373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  <c r="AE743" s="141"/>
      <c r="AF743" s="141"/>
      <c r="AG743" s="141"/>
      <c r="AH743" s="141"/>
      <c r="AI743" s="141"/>
      <c r="AJ743" s="141"/>
      <c r="AK743" s="141"/>
      <c r="AL743" s="141"/>
      <c r="AM743" s="141"/>
      <c r="AN743" s="141"/>
    </row>
    <row r="744" spans="1:40" ht="14.5" x14ac:dyDescent="0.35">
      <c r="A744" s="373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  <c r="AE744" s="141"/>
      <c r="AF744" s="141"/>
      <c r="AG744" s="141"/>
      <c r="AH744" s="141"/>
      <c r="AI744" s="141"/>
      <c r="AJ744" s="141"/>
      <c r="AK744" s="141"/>
      <c r="AL744" s="141"/>
      <c r="AM744" s="141"/>
      <c r="AN744" s="141"/>
    </row>
    <row r="745" spans="1:40" ht="14.5" x14ac:dyDescent="0.35">
      <c r="A745" s="373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  <c r="AE745" s="141"/>
      <c r="AF745" s="141"/>
      <c r="AG745" s="141"/>
      <c r="AH745" s="141"/>
      <c r="AI745" s="141"/>
      <c r="AJ745" s="141"/>
      <c r="AK745" s="141"/>
      <c r="AL745" s="141"/>
      <c r="AM745" s="141"/>
      <c r="AN745" s="141"/>
    </row>
    <row r="746" spans="1:40" ht="14.5" x14ac:dyDescent="0.35">
      <c r="A746" s="373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  <c r="AE746" s="141"/>
      <c r="AF746" s="141"/>
      <c r="AG746" s="141"/>
      <c r="AH746" s="141"/>
      <c r="AI746" s="141"/>
      <c r="AJ746" s="141"/>
      <c r="AK746" s="141"/>
      <c r="AL746" s="141"/>
      <c r="AM746" s="141"/>
      <c r="AN746" s="141"/>
    </row>
    <row r="747" spans="1:40" ht="14.5" x14ac:dyDescent="0.35">
      <c r="A747" s="373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  <c r="AE747" s="141"/>
      <c r="AF747" s="141"/>
      <c r="AG747" s="141"/>
      <c r="AH747" s="141"/>
      <c r="AI747" s="141"/>
      <c r="AJ747" s="141"/>
      <c r="AK747" s="141"/>
      <c r="AL747" s="141"/>
      <c r="AM747" s="141"/>
      <c r="AN747" s="141"/>
    </row>
    <row r="748" spans="1:40" ht="14.5" x14ac:dyDescent="0.35">
      <c r="A748" s="373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  <c r="AE748" s="141"/>
      <c r="AF748" s="141"/>
      <c r="AG748" s="141"/>
      <c r="AH748" s="141"/>
      <c r="AI748" s="141"/>
      <c r="AJ748" s="141"/>
      <c r="AK748" s="141"/>
      <c r="AL748" s="141"/>
      <c r="AM748" s="141"/>
      <c r="AN748" s="141"/>
    </row>
    <row r="749" spans="1:40" ht="14.5" x14ac:dyDescent="0.35">
      <c r="A749" s="373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  <c r="AE749" s="141"/>
      <c r="AF749" s="141"/>
      <c r="AG749" s="141"/>
      <c r="AH749" s="141"/>
      <c r="AI749" s="141"/>
      <c r="AJ749" s="141"/>
      <c r="AK749" s="141"/>
      <c r="AL749" s="141"/>
      <c r="AM749" s="141"/>
      <c r="AN749" s="141"/>
    </row>
    <row r="750" spans="1:40" ht="14.5" x14ac:dyDescent="0.35">
      <c r="A750" s="373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  <c r="AE750" s="141"/>
      <c r="AF750" s="141"/>
      <c r="AG750" s="141"/>
      <c r="AH750" s="141"/>
      <c r="AI750" s="141"/>
      <c r="AJ750" s="141"/>
      <c r="AK750" s="141"/>
      <c r="AL750" s="141"/>
      <c r="AM750" s="141"/>
      <c r="AN750" s="141"/>
    </row>
    <row r="751" spans="1:40" ht="14.5" x14ac:dyDescent="0.35">
      <c r="A751" s="373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  <c r="AE751" s="141"/>
      <c r="AF751" s="141"/>
      <c r="AG751" s="141"/>
      <c r="AH751" s="141"/>
      <c r="AI751" s="141"/>
      <c r="AJ751" s="141"/>
      <c r="AK751" s="141"/>
      <c r="AL751" s="141"/>
      <c r="AM751" s="141"/>
      <c r="AN751" s="141"/>
    </row>
    <row r="752" spans="1:40" ht="14.5" x14ac:dyDescent="0.35">
      <c r="A752" s="373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  <c r="AE752" s="141"/>
      <c r="AF752" s="141"/>
      <c r="AG752" s="141"/>
      <c r="AH752" s="141"/>
      <c r="AI752" s="141"/>
      <c r="AJ752" s="141"/>
      <c r="AK752" s="141"/>
      <c r="AL752" s="141"/>
      <c r="AM752" s="141"/>
      <c r="AN752" s="141"/>
    </row>
    <row r="753" spans="1:40" ht="14.5" x14ac:dyDescent="0.35">
      <c r="A753" s="373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  <c r="AE753" s="141"/>
      <c r="AF753" s="141"/>
      <c r="AG753" s="141"/>
      <c r="AH753" s="141"/>
      <c r="AI753" s="141"/>
      <c r="AJ753" s="141"/>
      <c r="AK753" s="141"/>
      <c r="AL753" s="141"/>
      <c r="AM753" s="141"/>
      <c r="AN753" s="141"/>
    </row>
    <row r="754" spans="1:40" ht="14.5" x14ac:dyDescent="0.35">
      <c r="A754" s="373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  <c r="AE754" s="141"/>
      <c r="AF754" s="141"/>
      <c r="AG754" s="141"/>
      <c r="AH754" s="141"/>
      <c r="AI754" s="141"/>
      <c r="AJ754" s="141"/>
      <c r="AK754" s="141"/>
      <c r="AL754" s="141"/>
      <c r="AM754" s="141"/>
      <c r="AN754" s="141"/>
    </row>
    <row r="755" spans="1:40" ht="14.5" x14ac:dyDescent="0.35">
      <c r="A755" s="373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  <c r="AE755" s="141"/>
      <c r="AF755" s="141"/>
      <c r="AG755" s="141"/>
      <c r="AH755" s="141"/>
      <c r="AI755" s="141"/>
      <c r="AJ755" s="141"/>
      <c r="AK755" s="141"/>
      <c r="AL755" s="141"/>
      <c r="AM755" s="141"/>
      <c r="AN755" s="141"/>
    </row>
    <row r="756" spans="1:40" ht="14.5" x14ac:dyDescent="0.35">
      <c r="A756" s="373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  <c r="AE756" s="141"/>
      <c r="AF756" s="141"/>
      <c r="AG756" s="141"/>
      <c r="AH756" s="141"/>
      <c r="AI756" s="141"/>
      <c r="AJ756" s="141"/>
      <c r="AK756" s="141"/>
      <c r="AL756" s="141"/>
      <c r="AM756" s="141"/>
      <c r="AN756" s="141"/>
    </row>
    <row r="757" spans="1:40" ht="14.5" x14ac:dyDescent="0.35">
      <c r="A757" s="373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  <c r="AE757" s="141"/>
      <c r="AF757" s="141"/>
      <c r="AG757" s="141"/>
      <c r="AH757" s="141"/>
      <c r="AI757" s="141"/>
      <c r="AJ757" s="141"/>
      <c r="AK757" s="141"/>
      <c r="AL757" s="141"/>
      <c r="AM757" s="141"/>
      <c r="AN757" s="141"/>
    </row>
    <row r="758" spans="1:40" ht="14.5" x14ac:dyDescent="0.35">
      <c r="A758" s="373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  <c r="AE758" s="141"/>
      <c r="AF758" s="141"/>
      <c r="AG758" s="141"/>
      <c r="AH758" s="141"/>
      <c r="AI758" s="141"/>
      <c r="AJ758" s="141"/>
      <c r="AK758" s="141"/>
      <c r="AL758" s="141"/>
      <c r="AM758" s="141"/>
      <c r="AN758" s="141"/>
    </row>
    <row r="759" spans="1:40" ht="14.5" x14ac:dyDescent="0.35">
      <c r="A759" s="373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  <c r="AE759" s="141"/>
      <c r="AF759" s="141"/>
      <c r="AG759" s="141"/>
      <c r="AH759" s="141"/>
      <c r="AI759" s="141"/>
      <c r="AJ759" s="141"/>
      <c r="AK759" s="141"/>
      <c r="AL759" s="141"/>
      <c r="AM759" s="141"/>
      <c r="AN759" s="141"/>
    </row>
    <row r="760" spans="1:40" ht="14.5" x14ac:dyDescent="0.35">
      <c r="A760" s="373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  <c r="AE760" s="141"/>
      <c r="AF760" s="141"/>
      <c r="AG760" s="141"/>
      <c r="AH760" s="141"/>
      <c r="AI760" s="141"/>
      <c r="AJ760" s="141"/>
      <c r="AK760" s="141"/>
      <c r="AL760" s="141"/>
      <c r="AM760" s="141"/>
      <c r="AN760" s="141"/>
    </row>
    <row r="761" spans="1:40" ht="14.5" x14ac:dyDescent="0.35">
      <c r="A761" s="373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  <c r="AE761" s="141"/>
      <c r="AF761" s="141"/>
      <c r="AG761" s="141"/>
      <c r="AH761" s="141"/>
      <c r="AI761" s="141"/>
      <c r="AJ761" s="141"/>
      <c r="AK761" s="141"/>
      <c r="AL761" s="141"/>
      <c r="AM761" s="141"/>
      <c r="AN761" s="141"/>
    </row>
    <row r="762" spans="1:40" ht="14.5" x14ac:dyDescent="0.35">
      <c r="A762" s="373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  <c r="AE762" s="141"/>
      <c r="AF762" s="141"/>
      <c r="AG762" s="141"/>
      <c r="AH762" s="141"/>
      <c r="AI762" s="141"/>
      <c r="AJ762" s="141"/>
      <c r="AK762" s="141"/>
      <c r="AL762" s="141"/>
      <c r="AM762" s="141"/>
      <c r="AN762" s="141"/>
    </row>
    <row r="763" spans="1:40" ht="14.5" x14ac:dyDescent="0.35">
      <c r="A763" s="373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  <c r="AE763" s="141"/>
      <c r="AF763" s="141"/>
      <c r="AG763" s="141"/>
      <c r="AH763" s="141"/>
      <c r="AI763" s="141"/>
      <c r="AJ763" s="141"/>
      <c r="AK763" s="141"/>
      <c r="AL763" s="141"/>
      <c r="AM763" s="141"/>
      <c r="AN763" s="141"/>
    </row>
    <row r="764" spans="1:40" ht="14.5" x14ac:dyDescent="0.35">
      <c r="A764" s="373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  <c r="AE764" s="141"/>
      <c r="AF764" s="141"/>
      <c r="AG764" s="141"/>
      <c r="AH764" s="141"/>
      <c r="AI764" s="141"/>
      <c r="AJ764" s="141"/>
      <c r="AK764" s="141"/>
      <c r="AL764" s="141"/>
      <c r="AM764" s="141"/>
      <c r="AN764" s="141"/>
    </row>
    <row r="765" spans="1:40" ht="14.5" x14ac:dyDescent="0.35">
      <c r="A765" s="373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  <c r="AE765" s="141"/>
      <c r="AF765" s="141"/>
      <c r="AG765" s="141"/>
      <c r="AH765" s="141"/>
      <c r="AI765" s="141"/>
      <c r="AJ765" s="141"/>
      <c r="AK765" s="141"/>
      <c r="AL765" s="141"/>
      <c r="AM765" s="141"/>
      <c r="AN765" s="141"/>
    </row>
    <row r="766" spans="1:40" ht="14.5" x14ac:dyDescent="0.35">
      <c r="A766" s="373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  <c r="AE766" s="141"/>
      <c r="AF766" s="141"/>
      <c r="AG766" s="141"/>
      <c r="AH766" s="141"/>
      <c r="AI766" s="141"/>
      <c r="AJ766" s="141"/>
      <c r="AK766" s="141"/>
      <c r="AL766" s="141"/>
      <c r="AM766" s="141"/>
      <c r="AN766" s="141"/>
    </row>
    <row r="767" spans="1:40" ht="14.5" x14ac:dyDescent="0.35">
      <c r="A767" s="373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  <c r="AE767" s="141"/>
      <c r="AF767" s="141"/>
      <c r="AG767" s="141"/>
      <c r="AH767" s="141"/>
      <c r="AI767" s="141"/>
      <c r="AJ767" s="141"/>
      <c r="AK767" s="141"/>
      <c r="AL767" s="141"/>
      <c r="AM767" s="141"/>
      <c r="AN767" s="141"/>
    </row>
    <row r="768" spans="1:40" ht="14.5" x14ac:dyDescent="0.35">
      <c r="A768" s="373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  <c r="AE768" s="141"/>
      <c r="AF768" s="141"/>
      <c r="AG768" s="141"/>
      <c r="AH768" s="141"/>
      <c r="AI768" s="141"/>
      <c r="AJ768" s="141"/>
      <c r="AK768" s="141"/>
      <c r="AL768" s="141"/>
      <c r="AM768" s="141"/>
      <c r="AN768" s="141"/>
    </row>
    <row r="769" spans="1:40" ht="14.5" x14ac:dyDescent="0.35">
      <c r="A769" s="373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  <c r="AE769" s="141"/>
      <c r="AF769" s="141"/>
      <c r="AG769" s="141"/>
      <c r="AH769" s="141"/>
      <c r="AI769" s="141"/>
      <c r="AJ769" s="141"/>
      <c r="AK769" s="141"/>
      <c r="AL769" s="141"/>
      <c r="AM769" s="141"/>
      <c r="AN769" s="141"/>
    </row>
    <row r="770" spans="1:40" ht="14.5" x14ac:dyDescent="0.35">
      <c r="A770" s="373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  <c r="AE770" s="141"/>
      <c r="AF770" s="141"/>
      <c r="AG770" s="141"/>
      <c r="AH770" s="141"/>
      <c r="AI770" s="141"/>
      <c r="AJ770" s="141"/>
      <c r="AK770" s="141"/>
      <c r="AL770" s="141"/>
      <c r="AM770" s="141"/>
      <c r="AN770" s="141"/>
    </row>
    <row r="771" spans="1:40" ht="14.5" x14ac:dyDescent="0.35">
      <c r="A771" s="373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  <c r="AE771" s="141"/>
      <c r="AF771" s="141"/>
      <c r="AG771" s="141"/>
      <c r="AH771" s="141"/>
      <c r="AI771" s="141"/>
      <c r="AJ771" s="141"/>
      <c r="AK771" s="141"/>
      <c r="AL771" s="141"/>
      <c r="AM771" s="141"/>
      <c r="AN771" s="141"/>
    </row>
    <row r="772" spans="1:40" ht="14.5" x14ac:dyDescent="0.35">
      <c r="A772" s="373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  <c r="AE772" s="141"/>
      <c r="AF772" s="141"/>
      <c r="AG772" s="141"/>
      <c r="AH772" s="141"/>
      <c r="AI772" s="141"/>
      <c r="AJ772" s="141"/>
      <c r="AK772" s="141"/>
      <c r="AL772" s="141"/>
      <c r="AM772" s="141"/>
      <c r="AN772" s="141"/>
    </row>
    <row r="773" spans="1:40" ht="14.5" x14ac:dyDescent="0.35">
      <c r="A773" s="373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  <c r="AE773" s="141"/>
      <c r="AF773" s="141"/>
      <c r="AG773" s="141"/>
      <c r="AH773" s="141"/>
      <c r="AI773" s="141"/>
      <c r="AJ773" s="141"/>
      <c r="AK773" s="141"/>
      <c r="AL773" s="141"/>
      <c r="AM773" s="141"/>
      <c r="AN773" s="141"/>
    </row>
    <row r="774" spans="1:40" ht="14.5" x14ac:dyDescent="0.35">
      <c r="A774" s="373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  <c r="AE774" s="141"/>
      <c r="AF774" s="141"/>
      <c r="AG774" s="141"/>
      <c r="AH774" s="141"/>
      <c r="AI774" s="141"/>
      <c r="AJ774" s="141"/>
      <c r="AK774" s="141"/>
      <c r="AL774" s="141"/>
      <c r="AM774" s="141"/>
      <c r="AN774" s="141"/>
    </row>
    <row r="775" spans="1:40" ht="14.5" x14ac:dyDescent="0.35">
      <c r="A775" s="373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  <c r="AE775" s="141"/>
      <c r="AF775" s="141"/>
      <c r="AG775" s="141"/>
      <c r="AH775" s="141"/>
      <c r="AI775" s="141"/>
      <c r="AJ775" s="141"/>
      <c r="AK775" s="141"/>
      <c r="AL775" s="141"/>
      <c r="AM775" s="141"/>
      <c r="AN775" s="141"/>
    </row>
    <row r="776" spans="1:40" ht="14.5" x14ac:dyDescent="0.35">
      <c r="A776" s="373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  <c r="AE776" s="141"/>
      <c r="AF776" s="141"/>
      <c r="AG776" s="141"/>
      <c r="AH776" s="141"/>
      <c r="AI776" s="141"/>
      <c r="AJ776" s="141"/>
      <c r="AK776" s="141"/>
      <c r="AL776" s="141"/>
      <c r="AM776" s="141"/>
      <c r="AN776" s="141"/>
    </row>
    <row r="777" spans="1:40" ht="14.5" x14ac:dyDescent="0.35">
      <c r="A777" s="373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  <c r="AE777" s="141"/>
      <c r="AF777" s="141"/>
      <c r="AG777" s="141"/>
      <c r="AH777" s="141"/>
      <c r="AI777" s="141"/>
      <c r="AJ777" s="141"/>
      <c r="AK777" s="141"/>
      <c r="AL777" s="141"/>
      <c r="AM777" s="141"/>
      <c r="AN777" s="141"/>
    </row>
    <row r="778" spans="1:40" ht="14.5" x14ac:dyDescent="0.35">
      <c r="A778" s="373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  <c r="AE778" s="141"/>
      <c r="AF778" s="141"/>
      <c r="AG778" s="141"/>
      <c r="AH778" s="141"/>
      <c r="AI778" s="141"/>
      <c r="AJ778" s="141"/>
      <c r="AK778" s="141"/>
      <c r="AL778" s="141"/>
      <c r="AM778" s="141"/>
      <c r="AN778" s="141"/>
    </row>
    <row r="779" spans="1:40" ht="14.5" x14ac:dyDescent="0.35">
      <c r="A779" s="373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  <c r="AE779" s="141"/>
      <c r="AF779" s="141"/>
      <c r="AG779" s="141"/>
      <c r="AH779" s="141"/>
      <c r="AI779" s="141"/>
      <c r="AJ779" s="141"/>
      <c r="AK779" s="141"/>
      <c r="AL779" s="141"/>
      <c r="AM779" s="141"/>
      <c r="AN779" s="141"/>
    </row>
    <row r="780" spans="1:40" ht="14.5" x14ac:dyDescent="0.35">
      <c r="A780" s="373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  <c r="AE780" s="141"/>
      <c r="AF780" s="141"/>
      <c r="AG780" s="141"/>
      <c r="AH780" s="141"/>
      <c r="AI780" s="141"/>
      <c r="AJ780" s="141"/>
      <c r="AK780" s="141"/>
      <c r="AL780" s="141"/>
      <c r="AM780" s="141"/>
      <c r="AN780" s="141"/>
    </row>
    <row r="781" spans="1:40" ht="14.5" x14ac:dyDescent="0.35">
      <c r="A781" s="373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  <c r="AE781" s="141"/>
      <c r="AF781" s="141"/>
      <c r="AG781" s="141"/>
      <c r="AH781" s="141"/>
      <c r="AI781" s="141"/>
      <c r="AJ781" s="141"/>
      <c r="AK781" s="141"/>
      <c r="AL781" s="141"/>
      <c r="AM781" s="141"/>
      <c r="AN781" s="141"/>
    </row>
    <row r="782" spans="1:40" ht="14.5" x14ac:dyDescent="0.35">
      <c r="A782" s="373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  <c r="AE782" s="141"/>
      <c r="AF782" s="141"/>
      <c r="AG782" s="141"/>
      <c r="AH782" s="141"/>
      <c r="AI782" s="141"/>
      <c r="AJ782" s="141"/>
      <c r="AK782" s="141"/>
      <c r="AL782" s="141"/>
      <c r="AM782" s="141"/>
      <c r="AN782" s="141"/>
    </row>
    <row r="783" spans="1:40" ht="14.5" x14ac:dyDescent="0.35">
      <c r="A783" s="373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  <c r="AE783" s="141"/>
      <c r="AF783" s="141"/>
      <c r="AG783" s="141"/>
      <c r="AH783" s="141"/>
      <c r="AI783" s="141"/>
      <c r="AJ783" s="141"/>
      <c r="AK783" s="141"/>
      <c r="AL783" s="141"/>
      <c r="AM783" s="141"/>
      <c r="AN783" s="141"/>
    </row>
    <row r="784" spans="1:40" ht="14.5" x14ac:dyDescent="0.35">
      <c r="A784" s="373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  <c r="AE784" s="141"/>
      <c r="AF784" s="141"/>
      <c r="AG784" s="141"/>
      <c r="AH784" s="141"/>
      <c r="AI784" s="141"/>
      <c r="AJ784" s="141"/>
      <c r="AK784" s="141"/>
      <c r="AL784" s="141"/>
      <c r="AM784" s="141"/>
      <c r="AN784" s="141"/>
    </row>
    <row r="785" spans="1:40" ht="14.5" x14ac:dyDescent="0.35">
      <c r="A785" s="373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  <c r="AE785" s="141"/>
      <c r="AF785" s="141"/>
      <c r="AG785" s="141"/>
      <c r="AH785" s="141"/>
      <c r="AI785" s="141"/>
      <c r="AJ785" s="141"/>
      <c r="AK785" s="141"/>
      <c r="AL785" s="141"/>
      <c r="AM785" s="141"/>
      <c r="AN785" s="141"/>
    </row>
    <row r="786" spans="1:40" ht="14.5" x14ac:dyDescent="0.35">
      <c r="A786" s="373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  <c r="AE786" s="141"/>
      <c r="AF786" s="141"/>
      <c r="AG786" s="141"/>
      <c r="AH786" s="141"/>
      <c r="AI786" s="141"/>
      <c r="AJ786" s="141"/>
      <c r="AK786" s="141"/>
      <c r="AL786" s="141"/>
      <c r="AM786" s="141"/>
      <c r="AN786" s="141"/>
    </row>
    <row r="787" spans="1:40" ht="14.5" x14ac:dyDescent="0.35">
      <c r="A787" s="373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  <c r="AE787" s="141"/>
      <c r="AF787" s="141"/>
      <c r="AG787" s="141"/>
      <c r="AH787" s="141"/>
      <c r="AI787" s="141"/>
      <c r="AJ787" s="141"/>
      <c r="AK787" s="141"/>
      <c r="AL787" s="141"/>
      <c r="AM787" s="141"/>
      <c r="AN787" s="141"/>
    </row>
    <row r="788" spans="1:40" ht="14.5" x14ac:dyDescent="0.35">
      <c r="A788" s="373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  <c r="AE788" s="141"/>
      <c r="AF788" s="141"/>
      <c r="AG788" s="141"/>
      <c r="AH788" s="141"/>
      <c r="AI788" s="141"/>
      <c r="AJ788" s="141"/>
      <c r="AK788" s="141"/>
      <c r="AL788" s="141"/>
      <c r="AM788" s="141"/>
      <c r="AN788" s="141"/>
    </row>
    <row r="789" spans="1:40" ht="14.5" x14ac:dyDescent="0.35">
      <c r="A789" s="373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  <c r="AE789" s="141"/>
      <c r="AF789" s="141"/>
      <c r="AG789" s="141"/>
      <c r="AH789" s="141"/>
      <c r="AI789" s="141"/>
      <c r="AJ789" s="141"/>
      <c r="AK789" s="141"/>
      <c r="AL789" s="141"/>
      <c r="AM789" s="141"/>
      <c r="AN789" s="141"/>
    </row>
    <row r="790" spans="1:40" ht="14.5" x14ac:dyDescent="0.35">
      <c r="A790" s="373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  <c r="AE790" s="141"/>
      <c r="AF790" s="141"/>
      <c r="AG790" s="141"/>
      <c r="AH790" s="141"/>
      <c r="AI790" s="141"/>
      <c r="AJ790" s="141"/>
      <c r="AK790" s="141"/>
      <c r="AL790" s="141"/>
      <c r="AM790" s="141"/>
      <c r="AN790" s="141"/>
    </row>
    <row r="791" spans="1:40" ht="14.5" x14ac:dyDescent="0.35">
      <c r="A791" s="373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  <c r="AE791" s="141"/>
      <c r="AF791" s="141"/>
      <c r="AG791" s="141"/>
      <c r="AH791" s="141"/>
      <c r="AI791" s="141"/>
      <c r="AJ791" s="141"/>
      <c r="AK791" s="141"/>
      <c r="AL791" s="141"/>
      <c r="AM791" s="141"/>
      <c r="AN791" s="141"/>
    </row>
    <row r="792" spans="1:40" ht="14.5" x14ac:dyDescent="0.35">
      <c r="A792" s="373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  <c r="AE792" s="141"/>
      <c r="AF792" s="141"/>
      <c r="AG792" s="141"/>
      <c r="AH792" s="141"/>
      <c r="AI792" s="141"/>
      <c r="AJ792" s="141"/>
      <c r="AK792" s="141"/>
      <c r="AL792" s="141"/>
      <c r="AM792" s="141"/>
      <c r="AN792" s="141"/>
    </row>
    <row r="793" spans="1:40" ht="14.5" x14ac:dyDescent="0.35">
      <c r="A793" s="373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  <c r="AE793" s="141"/>
      <c r="AF793" s="141"/>
      <c r="AG793" s="141"/>
      <c r="AH793" s="141"/>
      <c r="AI793" s="141"/>
      <c r="AJ793" s="141"/>
      <c r="AK793" s="141"/>
      <c r="AL793" s="141"/>
      <c r="AM793" s="141"/>
      <c r="AN793" s="141"/>
    </row>
    <row r="794" spans="1:40" ht="14.5" x14ac:dyDescent="0.35">
      <c r="A794" s="373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  <c r="AE794" s="141"/>
      <c r="AF794" s="141"/>
      <c r="AG794" s="141"/>
      <c r="AH794" s="141"/>
      <c r="AI794" s="141"/>
      <c r="AJ794" s="141"/>
      <c r="AK794" s="141"/>
      <c r="AL794" s="141"/>
      <c r="AM794" s="141"/>
      <c r="AN794" s="141"/>
    </row>
    <row r="795" spans="1:40" ht="14.5" x14ac:dyDescent="0.35">
      <c r="A795" s="373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  <c r="AE795" s="141"/>
      <c r="AF795" s="141"/>
      <c r="AG795" s="141"/>
      <c r="AH795" s="141"/>
      <c r="AI795" s="141"/>
      <c r="AJ795" s="141"/>
      <c r="AK795" s="141"/>
      <c r="AL795" s="141"/>
      <c r="AM795" s="141"/>
      <c r="AN795" s="141"/>
    </row>
    <row r="796" spans="1:40" ht="14.5" x14ac:dyDescent="0.35">
      <c r="A796" s="373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  <c r="AE796" s="141"/>
      <c r="AF796" s="141"/>
      <c r="AG796" s="141"/>
      <c r="AH796" s="141"/>
      <c r="AI796" s="141"/>
      <c r="AJ796" s="141"/>
      <c r="AK796" s="141"/>
      <c r="AL796" s="141"/>
      <c r="AM796" s="141"/>
      <c r="AN796" s="141"/>
    </row>
    <row r="797" spans="1:40" ht="14.5" x14ac:dyDescent="0.35">
      <c r="A797" s="373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  <c r="AE797" s="141"/>
      <c r="AF797" s="141"/>
      <c r="AG797" s="141"/>
      <c r="AH797" s="141"/>
      <c r="AI797" s="141"/>
      <c r="AJ797" s="141"/>
      <c r="AK797" s="141"/>
      <c r="AL797" s="141"/>
      <c r="AM797" s="141"/>
      <c r="AN797" s="141"/>
    </row>
    <row r="798" spans="1:40" ht="14.5" x14ac:dyDescent="0.35">
      <c r="A798" s="373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  <c r="AE798" s="141"/>
      <c r="AF798" s="141"/>
      <c r="AG798" s="141"/>
      <c r="AH798" s="141"/>
      <c r="AI798" s="141"/>
      <c r="AJ798" s="141"/>
      <c r="AK798" s="141"/>
      <c r="AL798" s="141"/>
      <c r="AM798" s="141"/>
      <c r="AN798" s="141"/>
    </row>
    <row r="799" spans="1:40" ht="14.5" x14ac:dyDescent="0.35">
      <c r="A799" s="373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  <c r="AE799" s="141"/>
      <c r="AF799" s="141"/>
      <c r="AG799" s="141"/>
      <c r="AH799" s="141"/>
      <c r="AI799" s="141"/>
      <c r="AJ799" s="141"/>
      <c r="AK799" s="141"/>
      <c r="AL799" s="141"/>
      <c r="AM799" s="141"/>
      <c r="AN799" s="141"/>
    </row>
    <row r="800" spans="1:40" ht="14.5" x14ac:dyDescent="0.35">
      <c r="A800" s="373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  <c r="AE800" s="141"/>
      <c r="AF800" s="141"/>
      <c r="AG800" s="141"/>
      <c r="AH800" s="141"/>
      <c r="AI800" s="141"/>
      <c r="AJ800" s="141"/>
      <c r="AK800" s="141"/>
      <c r="AL800" s="141"/>
      <c r="AM800" s="141"/>
      <c r="AN800" s="141"/>
    </row>
    <row r="801" spans="1:40" ht="14.5" x14ac:dyDescent="0.35">
      <c r="A801" s="373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  <c r="AE801" s="141"/>
      <c r="AF801" s="141"/>
      <c r="AG801" s="141"/>
      <c r="AH801" s="141"/>
      <c r="AI801" s="141"/>
      <c r="AJ801" s="141"/>
      <c r="AK801" s="141"/>
      <c r="AL801" s="141"/>
      <c r="AM801" s="141"/>
      <c r="AN801" s="141"/>
    </row>
    <row r="802" spans="1:40" ht="14.5" x14ac:dyDescent="0.35">
      <c r="A802" s="373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  <c r="AE802" s="141"/>
      <c r="AF802" s="141"/>
      <c r="AG802" s="141"/>
      <c r="AH802" s="141"/>
      <c r="AI802" s="141"/>
      <c r="AJ802" s="141"/>
      <c r="AK802" s="141"/>
      <c r="AL802" s="141"/>
      <c r="AM802" s="141"/>
      <c r="AN802" s="141"/>
    </row>
    <row r="803" spans="1:40" ht="14.5" x14ac:dyDescent="0.35">
      <c r="A803" s="373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  <c r="AE803" s="141"/>
      <c r="AF803" s="141"/>
      <c r="AG803" s="141"/>
      <c r="AH803" s="141"/>
      <c r="AI803" s="141"/>
      <c r="AJ803" s="141"/>
      <c r="AK803" s="141"/>
      <c r="AL803" s="141"/>
      <c r="AM803" s="141"/>
      <c r="AN803" s="141"/>
    </row>
    <row r="804" spans="1:40" ht="14.5" x14ac:dyDescent="0.35">
      <c r="A804" s="373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  <c r="AE804" s="141"/>
      <c r="AF804" s="141"/>
      <c r="AG804" s="141"/>
      <c r="AH804" s="141"/>
      <c r="AI804" s="141"/>
      <c r="AJ804" s="141"/>
      <c r="AK804" s="141"/>
      <c r="AL804" s="141"/>
      <c r="AM804" s="141"/>
      <c r="AN804" s="141"/>
    </row>
    <row r="805" spans="1:40" ht="14.5" x14ac:dyDescent="0.35">
      <c r="A805" s="373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  <c r="AE805" s="141"/>
      <c r="AF805" s="141"/>
      <c r="AG805" s="141"/>
      <c r="AH805" s="141"/>
      <c r="AI805" s="141"/>
      <c r="AJ805" s="141"/>
      <c r="AK805" s="141"/>
      <c r="AL805" s="141"/>
      <c r="AM805" s="141"/>
      <c r="AN805" s="141"/>
    </row>
    <row r="806" spans="1:40" ht="14.5" x14ac:dyDescent="0.35">
      <c r="A806" s="373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  <c r="AE806" s="141"/>
      <c r="AF806" s="141"/>
      <c r="AG806" s="141"/>
      <c r="AH806" s="141"/>
      <c r="AI806" s="141"/>
      <c r="AJ806" s="141"/>
      <c r="AK806" s="141"/>
      <c r="AL806" s="141"/>
      <c r="AM806" s="141"/>
      <c r="AN806" s="141"/>
    </row>
    <row r="807" spans="1:40" ht="14.5" x14ac:dyDescent="0.35">
      <c r="A807" s="373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  <c r="AE807" s="141"/>
      <c r="AF807" s="141"/>
      <c r="AG807" s="141"/>
      <c r="AH807" s="141"/>
      <c r="AI807" s="141"/>
      <c r="AJ807" s="141"/>
      <c r="AK807" s="141"/>
      <c r="AL807" s="141"/>
      <c r="AM807" s="141"/>
      <c r="AN807" s="141"/>
    </row>
    <row r="808" spans="1:40" ht="14.5" x14ac:dyDescent="0.35">
      <c r="A808" s="373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  <c r="AE808" s="141"/>
      <c r="AF808" s="141"/>
      <c r="AG808" s="141"/>
      <c r="AH808" s="141"/>
      <c r="AI808" s="141"/>
      <c r="AJ808" s="141"/>
      <c r="AK808" s="141"/>
      <c r="AL808" s="141"/>
      <c r="AM808" s="141"/>
      <c r="AN808" s="141"/>
    </row>
    <row r="809" spans="1:40" ht="14.5" x14ac:dyDescent="0.35">
      <c r="A809" s="373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  <c r="AE809" s="141"/>
      <c r="AF809" s="141"/>
      <c r="AG809" s="141"/>
      <c r="AH809" s="141"/>
      <c r="AI809" s="141"/>
      <c r="AJ809" s="141"/>
      <c r="AK809" s="141"/>
      <c r="AL809" s="141"/>
      <c r="AM809" s="141"/>
      <c r="AN809" s="141"/>
    </row>
    <row r="810" spans="1:40" ht="14.5" x14ac:dyDescent="0.35">
      <c r="A810" s="373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  <c r="AE810" s="141"/>
      <c r="AF810" s="141"/>
      <c r="AG810" s="141"/>
      <c r="AH810" s="141"/>
      <c r="AI810" s="141"/>
      <c r="AJ810" s="141"/>
      <c r="AK810" s="141"/>
      <c r="AL810" s="141"/>
      <c r="AM810" s="141"/>
      <c r="AN810" s="141"/>
    </row>
    <row r="811" spans="1:40" ht="14.5" x14ac:dyDescent="0.35">
      <c r="A811" s="373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  <c r="AE811" s="141"/>
      <c r="AF811" s="141"/>
      <c r="AG811" s="141"/>
      <c r="AH811" s="141"/>
      <c r="AI811" s="141"/>
      <c r="AJ811" s="141"/>
      <c r="AK811" s="141"/>
      <c r="AL811" s="141"/>
      <c r="AM811" s="141"/>
      <c r="AN811" s="141"/>
    </row>
    <row r="812" spans="1:40" ht="14.5" x14ac:dyDescent="0.35">
      <c r="A812" s="373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  <c r="AE812" s="141"/>
      <c r="AF812" s="141"/>
      <c r="AG812" s="141"/>
      <c r="AH812" s="141"/>
      <c r="AI812" s="141"/>
      <c r="AJ812" s="141"/>
      <c r="AK812" s="141"/>
      <c r="AL812" s="141"/>
      <c r="AM812" s="141"/>
      <c r="AN812" s="141"/>
    </row>
    <row r="813" spans="1:40" ht="14.5" x14ac:dyDescent="0.35">
      <c r="A813" s="373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  <c r="AE813" s="141"/>
      <c r="AF813" s="141"/>
      <c r="AG813" s="141"/>
      <c r="AH813" s="141"/>
      <c r="AI813" s="141"/>
      <c r="AJ813" s="141"/>
      <c r="AK813" s="141"/>
      <c r="AL813" s="141"/>
      <c r="AM813" s="141"/>
      <c r="AN813" s="141"/>
    </row>
    <row r="814" spans="1:40" ht="14.5" x14ac:dyDescent="0.35">
      <c r="A814" s="373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  <c r="AE814" s="141"/>
      <c r="AF814" s="141"/>
      <c r="AG814" s="141"/>
      <c r="AH814" s="141"/>
      <c r="AI814" s="141"/>
      <c r="AJ814" s="141"/>
      <c r="AK814" s="141"/>
      <c r="AL814" s="141"/>
      <c r="AM814" s="141"/>
      <c r="AN814" s="141"/>
    </row>
    <row r="815" spans="1:40" ht="14.5" x14ac:dyDescent="0.35">
      <c r="A815" s="373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  <c r="AE815" s="141"/>
      <c r="AF815" s="141"/>
      <c r="AG815" s="141"/>
      <c r="AH815" s="141"/>
      <c r="AI815" s="141"/>
      <c r="AJ815" s="141"/>
      <c r="AK815" s="141"/>
      <c r="AL815" s="141"/>
      <c r="AM815" s="141"/>
      <c r="AN815" s="141"/>
    </row>
    <row r="816" spans="1:40" ht="14.5" x14ac:dyDescent="0.35">
      <c r="A816" s="373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  <c r="AE816" s="141"/>
      <c r="AF816" s="141"/>
      <c r="AG816" s="141"/>
      <c r="AH816" s="141"/>
      <c r="AI816" s="141"/>
      <c r="AJ816" s="141"/>
      <c r="AK816" s="141"/>
      <c r="AL816" s="141"/>
      <c r="AM816" s="141"/>
      <c r="AN816" s="141"/>
    </row>
    <row r="817" spans="1:40" ht="14.5" x14ac:dyDescent="0.35">
      <c r="A817" s="373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  <c r="AE817" s="141"/>
      <c r="AF817" s="141"/>
      <c r="AG817" s="141"/>
      <c r="AH817" s="141"/>
      <c r="AI817" s="141"/>
      <c r="AJ817" s="141"/>
      <c r="AK817" s="141"/>
      <c r="AL817" s="141"/>
      <c r="AM817" s="141"/>
      <c r="AN817" s="141"/>
    </row>
    <row r="818" spans="1:40" ht="14.5" x14ac:dyDescent="0.35">
      <c r="A818" s="373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  <c r="AE818" s="141"/>
      <c r="AF818" s="141"/>
      <c r="AG818" s="141"/>
      <c r="AH818" s="141"/>
      <c r="AI818" s="141"/>
      <c r="AJ818" s="141"/>
      <c r="AK818" s="141"/>
      <c r="AL818" s="141"/>
      <c r="AM818" s="141"/>
      <c r="AN818" s="141"/>
    </row>
    <row r="819" spans="1:40" ht="14.5" x14ac:dyDescent="0.35">
      <c r="A819" s="373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  <c r="AE819" s="141"/>
      <c r="AF819" s="141"/>
      <c r="AG819" s="141"/>
      <c r="AH819" s="141"/>
      <c r="AI819" s="141"/>
      <c r="AJ819" s="141"/>
      <c r="AK819" s="141"/>
      <c r="AL819" s="141"/>
      <c r="AM819" s="141"/>
      <c r="AN819" s="141"/>
    </row>
    <row r="820" spans="1:40" ht="14.5" x14ac:dyDescent="0.35">
      <c r="A820" s="373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  <c r="AE820" s="141"/>
      <c r="AF820" s="141"/>
      <c r="AG820" s="141"/>
      <c r="AH820" s="141"/>
      <c r="AI820" s="141"/>
      <c r="AJ820" s="141"/>
      <c r="AK820" s="141"/>
      <c r="AL820" s="141"/>
      <c r="AM820" s="141"/>
      <c r="AN820" s="141"/>
    </row>
    <row r="821" spans="1:40" ht="14.5" x14ac:dyDescent="0.35">
      <c r="A821" s="373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  <c r="AE821" s="141"/>
      <c r="AF821" s="141"/>
      <c r="AG821" s="141"/>
      <c r="AH821" s="141"/>
      <c r="AI821" s="141"/>
      <c r="AJ821" s="141"/>
      <c r="AK821" s="141"/>
      <c r="AL821" s="141"/>
      <c r="AM821" s="141"/>
      <c r="AN821" s="141"/>
    </row>
    <row r="822" spans="1:40" ht="14.5" x14ac:dyDescent="0.35">
      <c r="A822" s="373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  <c r="AE822" s="141"/>
      <c r="AF822" s="141"/>
      <c r="AG822" s="141"/>
      <c r="AH822" s="141"/>
      <c r="AI822" s="141"/>
      <c r="AJ822" s="141"/>
      <c r="AK822" s="141"/>
      <c r="AL822" s="141"/>
      <c r="AM822" s="141"/>
      <c r="AN822" s="141"/>
    </row>
    <row r="823" spans="1:40" ht="14.5" x14ac:dyDescent="0.35">
      <c r="A823" s="373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  <c r="AE823" s="141"/>
      <c r="AF823" s="141"/>
      <c r="AG823" s="141"/>
      <c r="AH823" s="141"/>
      <c r="AI823" s="141"/>
      <c r="AJ823" s="141"/>
      <c r="AK823" s="141"/>
      <c r="AL823" s="141"/>
      <c r="AM823" s="141"/>
      <c r="AN823" s="141"/>
    </row>
    <row r="824" spans="1:40" ht="14.5" x14ac:dyDescent="0.35">
      <c r="A824" s="373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  <c r="AE824" s="141"/>
      <c r="AF824" s="141"/>
      <c r="AG824" s="141"/>
      <c r="AH824" s="141"/>
      <c r="AI824" s="141"/>
      <c r="AJ824" s="141"/>
      <c r="AK824" s="141"/>
      <c r="AL824" s="141"/>
      <c r="AM824" s="141"/>
      <c r="AN824" s="141"/>
    </row>
    <row r="825" spans="1:40" ht="14.5" x14ac:dyDescent="0.35">
      <c r="A825" s="373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  <c r="AE825" s="141"/>
      <c r="AF825" s="141"/>
      <c r="AG825" s="141"/>
      <c r="AH825" s="141"/>
      <c r="AI825" s="141"/>
      <c r="AJ825" s="141"/>
      <c r="AK825" s="141"/>
      <c r="AL825" s="141"/>
      <c r="AM825" s="141"/>
      <c r="AN825" s="141"/>
    </row>
    <row r="826" spans="1:40" ht="14.5" x14ac:dyDescent="0.35">
      <c r="A826" s="373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  <c r="AE826" s="141"/>
      <c r="AF826" s="141"/>
      <c r="AG826" s="141"/>
      <c r="AH826" s="141"/>
      <c r="AI826" s="141"/>
      <c r="AJ826" s="141"/>
      <c r="AK826" s="141"/>
      <c r="AL826" s="141"/>
      <c r="AM826" s="141"/>
      <c r="AN826" s="141"/>
    </row>
    <row r="827" spans="1:40" ht="14.5" x14ac:dyDescent="0.35">
      <c r="A827" s="373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  <c r="AE827" s="141"/>
      <c r="AF827" s="141"/>
      <c r="AG827" s="141"/>
      <c r="AH827" s="141"/>
      <c r="AI827" s="141"/>
      <c r="AJ827" s="141"/>
      <c r="AK827" s="141"/>
      <c r="AL827" s="141"/>
      <c r="AM827" s="141"/>
      <c r="AN827" s="141"/>
    </row>
    <row r="828" spans="1:40" ht="14.5" x14ac:dyDescent="0.35">
      <c r="A828" s="373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  <c r="AE828" s="141"/>
      <c r="AF828" s="141"/>
      <c r="AG828" s="141"/>
      <c r="AH828" s="141"/>
      <c r="AI828" s="141"/>
      <c r="AJ828" s="141"/>
      <c r="AK828" s="141"/>
      <c r="AL828" s="141"/>
      <c r="AM828" s="141"/>
      <c r="AN828" s="141"/>
    </row>
    <row r="829" spans="1:40" ht="14.5" x14ac:dyDescent="0.35">
      <c r="A829" s="373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  <c r="AE829" s="141"/>
      <c r="AF829" s="141"/>
      <c r="AG829" s="141"/>
      <c r="AH829" s="141"/>
      <c r="AI829" s="141"/>
      <c r="AJ829" s="141"/>
      <c r="AK829" s="141"/>
      <c r="AL829" s="141"/>
      <c r="AM829" s="141"/>
      <c r="AN829" s="141"/>
    </row>
    <row r="830" spans="1:40" ht="14.5" x14ac:dyDescent="0.35">
      <c r="A830" s="373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  <c r="AE830" s="141"/>
      <c r="AF830" s="141"/>
      <c r="AG830" s="141"/>
      <c r="AH830" s="141"/>
      <c r="AI830" s="141"/>
      <c r="AJ830" s="141"/>
      <c r="AK830" s="141"/>
      <c r="AL830" s="141"/>
      <c r="AM830" s="141"/>
      <c r="AN830" s="141"/>
    </row>
    <row r="831" spans="1:40" ht="14.5" x14ac:dyDescent="0.35">
      <c r="A831" s="373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  <c r="AE831" s="141"/>
      <c r="AF831" s="141"/>
      <c r="AG831" s="141"/>
      <c r="AH831" s="141"/>
      <c r="AI831" s="141"/>
      <c r="AJ831" s="141"/>
      <c r="AK831" s="141"/>
      <c r="AL831" s="141"/>
      <c r="AM831" s="141"/>
      <c r="AN831" s="141"/>
    </row>
    <row r="832" spans="1:40" ht="14.5" x14ac:dyDescent="0.35">
      <c r="A832" s="373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  <c r="AE832" s="141"/>
      <c r="AF832" s="141"/>
      <c r="AG832" s="141"/>
      <c r="AH832" s="141"/>
      <c r="AI832" s="141"/>
      <c r="AJ832" s="141"/>
      <c r="AK832" s="141"/>
      <c r="AL832" s="141"/>
      <c r="AM832" s="141"/>
      <c r="AN832" s="141"/>
    </row>
    <row r="833" spans="1:40" ht="14.5" x14ac:dyDescent="0.35">
      <c r="A833" s="373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  <c r="AE833" s="141"/>
      <c r="AF833" s="141"/>
      <c r="AG833" s="141"/>
      <c r="AH833" s="141"/>
      <c r="AI833" s="141"/>
      <c r="AJ833" s="141"/>
      <c r="AK833" s="141"/>
      <c r="AL833" s="141"/>
      <c r="AM833" s="141"/>
      <c r="AN833" s="141"/>
    </row>
    <row r="834" spans="1:40" ht="14.5" x14ac:dyDescent="0.35">
      <c r="A834" s="373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  <c r="AE834" s="141"/>
      <c r="AF834" s="141"/>
      <c r="AG834" s="141"/>
      <c r="AH834" s="141"/>
      <c r="AI834" s="141"/>
      <c r="AJ834" s="141"/>
      <c r="AK834" s="141"/>
      <c r="AL834" s="141"/>
      <c r="AM834" s="141"/>
      <c r="AN834" s="141"/>
    </row>
    <row r="835" spans="1:40" ht="14.5" x14ac:dyDescent="0.35">
      <c r="A835" s="373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  <c r="AE835" s="141"/>
      <c r="AF835" s="141"/>
      <c r="AG835" s="141"/>
      <c r="AH835" s="141"/>
      <c r="AI835" s="141"/>
      <c r="AJ835" s="141"/>
      <c r="AK835" s="141"/>
      <c r="AL835" s="141"/>
      <c r="AM835" s="141"/>
      <c r="AN835" s="141"/>
    </row>
    <row r="836" spans="1:40" ht="14.5" x14ac:dyDescent="0.35">
      <c r="A836" s="373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  <c r="AE836" s="141"/>
      <c r="AF836" s="141"/>
      <c r="AG836" s="141"/>
      <c r="AH836" s="141"/>
      <c r="AI836" s="141"/>
      <c r="AJ836" s="141"/>
      <c r="AK836" s="141"/>
      <c r="AL836" s="141"/>
      <c r="AM836" s="141"/>
      <c r="AN836" s="141"/>
    </row>
    <row r="837" spans="1:40" ht="14.5" x14ac:dyDescent="0.35">
      <c r="A837" s="373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  <c r="AE837" s="141"/>
      <c r="AF837" s="141"/>
      <c r="AG837" s="141"/>
      <c r="AH837" s="141"/>
      <c r="AI837" s="141"/>
      <c r="AJ837" s="141"/>
      <c r="AK837" s="141"/>
      <c r="AL837" s="141"/>
      <c r="AM837" s="141"/>
      <c r="AN837" s="141"/>
    </row>
    <row r="838" spans="1:40" ht="14.5" x14ac:dyDescent="0.35">
      <c r="A838" s="373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  <c r="AE838" s="141"/>
      <c r="AF838" s="141"/>
      <c r="AG838" s="141"/>
      <c r="AH838" s="141"/>
      <c r="AI838" s="141"/>
      <c r="AJ838" s="141"/>
      <c r="AK838" s="141"/>
      <c r="AL838" s="141"/>
      <c r="AM838" s="141"/>
      <c r="AN838" s="141"/>
    </row>
    <row r="839" spans="1:40" ht="14.5" x14ac:dyDescent="0.35">
      <c r="A839" s="373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  <c r="AE839" s="141"/>
      <c r="AF839" s="141"/>
      <c r="AG839" s="141"/>
      <c r="AH839" s="141"/>
      <c r="AI839" s="141"/>
      <c r="AJ839" s="141"/>
      <c r="AK839" s="141"/>
      <c r="AL839" s="141"/>
      <c r="AM839" s="141"/>
      <c r="AN839" s="141"/>
    </row>
    <row r="840" spans="1:40" ht="14.5" x14ac:dyDescent="0.35">
      <c r="A840" s="373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  <c r="AE840" s="141"/>
      <c r="AF840" s="141"/>
      <c r="AG840" s="141"/>
      <c r="AH840" s="141"/>
      <c r="AI840" s="141"/>
      <c r="AJ840" s="141"/>
      <c r="AK840" s="141"/>
      <c r="AL840" s="141"/>
      <c r="AM840" s="141"/>
      <c r="AN840" s="141"/>
    </row>
    <row r="841" spans="1:40" ht="14.5" x14ac:dyDescent="0.35">
      <c r="A841" s="373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  <c r="AE841" s="141"/>
      <c r="AF841" s="141"/>
      <c r="AG841" s="141"/>
      <c r="AH841" s="141"/>
      <c r="AI841" s="141"/>
      <c r="AJ841" s="141"/>
      <c r="AK841" s="141"/>
      <c r="AL841" s="141"/>
      <c r="AM841" s="141"/>
      <c r="AN841" s="141"/>
    </row>
    <row r="842" spans="1:40" ht="14.5" x14ac:dyDescent="0.35">
      <c r="A842" s="373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  <c r="AE842" s="141"/>
      <c r="AF842" s="141"/>
      <c r="AG842" s="141"/>
      <c r="AH842" s="141"/>
      <c r="AI842" s="141"/>
      <c r="AJ842" s="141"/>
      <c r="AK842" s="141"/>
      <c r="AL842" s="141"/>
      <c r="AM842" s="141"/>
      <c r="AN842" s="141"/>
    </row>
    <row r="843" spans="1:40" ht="14.5" x14ac:dyDescent="0.35">
      <c r="A843" s="373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  <c r="AE843" s="141"/>
      <c r="AF843" s="141"/>
      <c r="AG843" s="141"/>
      <c r="AH843" s="141"/>
      <c r="AI843" s="141"/>
      <c r="AJ843" s="141"/>
      <c r="AK843" s="141"/>
      <c r="AL843" s="141"/>
      <c r="AM843" s="141"/>
      <c r="AN843" s="141"/>
    </row>
    <row r="844" spans="1:40" ht="14.5" x14ac:dyDescent="0.35">
      <c r="A844" s="373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  <c r="AE844" s="141"/>
      <c r="AF844" s="141"/>
      <c r="AG844" s="141"/>
      <c r="AH844" s="141"/>
      <c r="AI844" s="141"/>
      <c r="AJ844" s="141"/>
      <c r="AK844" s="141"/>
      <c r="AL844" s="141"/>
      <c r="AM844" s="141"/>
      <c r="AN844" s="141"/>
    </row>
    <row r="845" spans="1:40" ht="14.5" x14ac:dyDescent="0.35">
      <c r="A845" s="373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  <c r="AE845" s="141"/>
      <c r="AF845" s="141"/>
      <c r="AG845" s="141"/>
      <c r="AH845" s="141"/>
      <c r="AI845" s="141"/>
      <c r="AJ845" s="141"/>
      <c r="AK845" s="141"/>
      <c r="AL845" s="141"/>
      <c r="AM845" s="141"/>
      <c r="AN845" s="141"/>
    </row>
    <row r="846" spans="1:40" ht="14.5" x14ac:dyDescent="0.35">
      <c r="A846" s="373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  <c r="AE846" s="141"/>
      <c r="AF846" s="141"/>
      <c r="AG846" s="141"/>
      <c r="AH846" s="141"/>
      <c r="AI846" s="141"/>
      <c r="AJ846" s="141"/>
      <c r="AK846" s="141"/>
      <c r="AL846" s="141"/>
      <c r="AM846" s="141"/>
      <c r="AN846" s="141"/>
    </row>
    <row r="847" spans="1:40" ht="14.5" x14ac:dyDescent="0.35">
      <c r="A847" s="373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  <c r="AE847" s="141"/>
      <c r="AF847" s="141"/>
      <c r="AG847" s="141"/>
      <c r="AH847" s="141"/>
      <c r="AI847" s="141"/>
      <c r="AJ847" s="141"/>
      <c r="AK847" s="141"/>
      <c r="AL847" s="141"/>
      <c r="AM847" s="141"/>
      <c r="AN847" s="141"/>
    </row>
    <row r="848" spans="1:40" ht="14.5" x14ac:dyDescent="0.35">
      <c r="A848" s="373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  <c r="AE848" s="141"/>
      <c r="AF848" s="141"/>
      <c r="AG848" s="141"/>
      <c r="AH848" s="141"/>
      <c r="AI848" s="141"/>
      <c r="AJ848" s="141"/>
      <c r="AK848" s="141"/>
      <c r="AL848" s="141"/>
      <c r="AM848" s="141"/>
      <c r="AN848" s="141"/>
    </row>
    <row r="849" spans="1:40" ht="14.5" x14ac:dyDescent="0.35">
      <c r="A849" s="373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  <c r="AE849" s="141"/>
      <c r="AF849" s="141"/>
      <c r="AG849" s="141"/>
      <c r="AH849" s="141"/>
      <c r="AI849" s="141"/>
      <c r="AJ849" s="141"/>
      <c r="AK849" s="141"/>
      <c r="AL849" s="141"/>
      <c r="AM849" s="141"/>
      <c r="AN849" s="141"/>
    </row>
    <row r="850" spans="1:40" ht="14.5" x14ac:dyDescent="0.35">
      <c r="A850" s="373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  <c r="AE850" s="141"/>
      <c r="AF850" s="141"/>
      <c r="AG850" s="141"/>
      <c r="AH850" s="141"/>
      <c r="AI850" s="141"/>
      <c r="AJ850" s="141"/>
      <c r="AK850" s="141"/>
      <c r="AL850" s="141"/>
      <c r="AM850" s="141"/>
      <c r="AN850" s="141"/>
    </row>
    <row r="851" spans="1:40" ht="14.5" x14ac:dyDescent="0.35">
      <c r="A851" s="373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  <c r="AE851" s="141"/>
      <c r="AF851" s="141"/>
      <c r="AG851" s="141"/>
      <c r="AH851" s="141"/>
      <c r="AI851" s="141"/>
      <c r="AJ851" s="141"/>
      <c r="AK851" s="141"/>
      <c r="AL851" s="141"/>
      <c r="AM851" s="141"/>
      <c r="AN851" s="141"/>
    </row>
    <row r="852" spans="1:40" ht="14.5" x14ac:dyDescent="0.35">
      <c r="A852" s="373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  <c r="AE852" s="141"/>
      <c r="AF852" s="141"/>
      <c r="AG852" s="141"/>
      <c r="AH852" s="141"/>
      <c r="AI852" s="141"/>
      <c r="AJ852" s="141"/>
      <c r="AK852" s="141"/>
      <c r="AL852" s="141"/>
      <c r="AM852" s="141"/>
      <c r="AN852" s="141"/>
    </row>
    <row r="853" spans="1:40" ht="14.5" x14ac:dyDescent="0.35">
      <c r="A853" s="373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  <c r="AE853" s="141"/>
      <c r="AF853" s="141"/>
      <c r="AG853" s="141"/>
      <c r="AH853" s="141"/>
      <c r="AI853" s="141"/>
      <c r="AJ853" s="141"/>
      <c r="AK853" s="141"/>
      <c r="AL853" s="141"/>
      <c r="AM853" s="141"/>
      <c r="AN853" s="141"/>
    </row>
    <row r="854" spans="1:40" ht="14.5" x14ac:dyDescent="0.35">
      <c r="A854" s="373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  <c r="AE854" s="141"/>
      <c r="AF854" s="141"/>
      <c r="AG854" s="141"/>
      <c r="AH854" s="141"/>
      <c r="AI854" s="141"/>
      <c r="AJ854" s="141"/>
      <c r="AK854" s="141"/>
      <c r="AL854" s="141"/>
      <c r="AM854" s="141"/>
      <c r="AN854" s="141"/>
    </row>
    <row r="855" spans="1:40" ht="14.5" x14ac:dyDescent="0.35">
      <c r="A855" s="373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  <c r="AE855" s="141"/>
      <c r="AF855" s="141"/>
      <c r="AG855" s="141"/>
      <c r="AH855" s="141"/>
      <c r="AI855" s="141"/>
      <c r="AJ855" s="141"/>
      <c r="AK855" s="141"/>
      <c r="AL855" s="141"/>
      <c r="AM855" s="141"/>
      <c r="AN855" s="141"/>
    </row>
    <row r="856" spans="1:40" ht="14.5" x14ac:dyDescent="0.35">
      <c r="A856" s="373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  <c r="AE856" s="141"/>
      <c r="AF856" s="141"/>
      <c r="AG856" s="141"/>
      <c r="AH856" s="141"/>
      <c r="AI856" s="141"/>
      <c r="AJ856" s="141"/>
      <c r="AK856" s="141"/>
      <c r="AL856" s="141"/>
      <c r="AM856" s="141"/>
      <c r="AN856" s="141"/>
    </row>
    <row r="857" spans="1:40" ht="14.5" x14ac:dyDescent="0.35">
      <c r="A857" s="373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  <c r="AE857" s="141"/>
      <c r="AF857" s="141"/>
      <c r="AG857" s="141"/>
      <c r="AH857" s="141"/>
      <c r="AI857" s="141"/>
      <c r="AJ857" s="141"/>
      <c r="AK857" s="141"/>
      <c r="AL857" s="141"/>
      <c r="AM857" s="141"/>
      <c r="AN857" s="141"/>
    </row>
    <row r="858" spans="1:40" ht="14.5" x14ac:dyDescent="0.35">
      <c r="A858" s="373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  <c r="AE858" s="141"/>
      <c r="AF858" s="141"/>
      <c r="AG858" s="141"/>
      <c r="AH858" s="141"/>
      <c r="AI858" s="141"/>
      <c r="AJ858" s="141"/>
      <c r="AK858" s="141"/>
      <c r="AL858" s="141"/>
      <c r="AM858" s="141"/>
      <c r="AN858" s="141"/>
    </row>
    <row r="859" spans="1:40" ht="14.5" x14ac:dyDescent="0.35">
      <c r="A859" s="373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  <c r="AE859" s="141"/>
      <c r="AF859" s="141"/>
      <c r="AG859" s="141"/>
      <c r="AH859" s="141"/>
      <c r="AI859" s="141"/>
      <c r="AJ859" s="141"/>
      <c r="AK859" s="141"/>
      <c r="AL859" s="141"/>
      <c r="AM859" s="141"/>
      <c r="AN859" s="141"/>
    </row>
    <row r="860" spans="1:40" ht="14.5" x14ac:dyDescent="0.35">
      <c r="A860" s="373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  <c r="AE860" s="141"/>
      <c r="AF860" s="141"/>
      <c r="AG860" s="141"/>
      <c r="AH860" s="141"/>
      <c r="AI860" s="141"/>
      <c r="AJ860" s="141"/>
      <c r="AK860" s="141"/>
      <c r="AL860" s="141"/>
      <c r="AM860" s="141"/>
      <c r="AN860" s="141"/>
    </row>
    <row r="861" spans="1:40" ht="14.5" x14ac:dyDescent="0.35">
      <c r="A861" s="373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  <c r="AE861" s="141"/>
      <c r="AF861" s="141"/>
      <c r="AG861" s="141"/>
      <c r="AH861" s="141"/>
      <c r="AI861" s="141"/>
      <c r="AJ861" s="141"/>
      <c r="AK861" s="141"/>
      <c r="AL861" s="141"/>
      <c r="AM861" s="141"/>
      <c r="AN861" s="141"/>
    </row>
    <row r="862" spans="1:40" ht="14.5" x14ac:dyDescent="0.35">
      <c r="A862" s="373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  <c r="AE862" s="141"/>
      <c r="AF862" s="141"/>
      <c r="AG862" s="141"/>
      <c r="AH862" s="141"/>
      <c r="AI862" s="141"/>
      <c r="AJ862" s="141"/>
      <c r="AK862" s="141"/>
      <c r="AL862" s="141"/>
      <c r="AM862" s="141"/>
      <c r="AN862" s="141"/>
    </row>
    <row r="863" spans="1:40" ht="14.5" x14ac:dyDescent="0.35">
      <c r="A863" s="373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  <c r="AE863" s="141"/>
      <c r="AF863" s="141"/>
      <c r="AG863" s="141"/>
      <c r="AH863" s="141"/>
      <c r="AI863" s="141"/>
      <c r="AJ863" s="141"/>
      <c r="AK863" s="141"/>
      <c r="AL863" s="141"/>
      <c r="AM863" s="141"/>
      <c r="AN863" s="141"/>
    </row>
    <row r="864" spans="1:40" ht="14.5" x14ac:dyDescent="0.35">
      <c r="A864" s="373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  <c r="AE864" s="141"/>
      <c r="AF864" s="141"/>
      <c r="AG864" s="141"/>
      <c r="AH864" s="141"/>
      <c r="AI864" s="141"/>
      <c r="AJ864" s="141"/>
      <c r="AK864" s="141"/>
      <c r="AL864" s="141"/>
      <c r="AM864" s="141"/>
      <c r="AN864" s="141"/>
    </row>
    <row r="865" spans="1:40" ht="14.5" x14ac:dyDescent="0.35">
      <c r="A865" s="373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  <c r="AE865" s="141"/>
      <c r="AF865" s="141"/>
      <c r="AG865" s="141"/>
      <c r="AH865" s="141"/>
      <c r="AI865" s="141"/>
      <c r="AJ865" s="141"/>
      <c r="AK865" s="141"/>
      <c r="AL865" s="141"/>
      <c r="AM865" s="141"/>
      <c r="AN865" s="141"/>
    </row>
    <row r="866" spans="1:40" ht="14.5" x14ac:dyDescent="0.35">
      <c r="A866" s="373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  <c r="AE866" s="141"/>
      <c r="AF866" s="141"/>
      <c r="AG866" s="141"/>
      <c r="AH866" s="141"/>
      <c r="AI866" s="141"/>
      <c r="AJ866" s="141"/>
      <c r="AK866" s="141"/>
      <c r="AL866" s="141"/>
      <c r="AM866" s="141"/>
      <c r="AN866" s="141"/>
    </row>
    <row r="867" spans="1:40" ht="14.5" x14ac:dyDescent="0.35">
      <c r="A867" s="373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  <c r="AE867" s="141"/>
      <c r="AF867" s="141"/>
      <c r="AG867" s="141"/>
      <c r="AH867" s="141"/>
      <c r="AI867" s="141"/>
      <c r="AJ867" s="141"/>
      <c r="AK867" s="141"/>
      <c r="AL867" s="141"/>
      <c r="AM867" s="141"/>
      <c r="AN867" s="141"/>
    </row>
    <row r="868" spans="1:40" ht="14.5" x14ac:dyDescent="0.35">
      <c r="A868" s="373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  <c r="AE868" s="141"/>
      <c r="AF868" s="141"/>
      <c r="AG868" s="141"/>
      <c r="AH868" s="141"/>
      <c r="AI868" s="141"/>
      <c r="AJ868" s="141"/>
      <c r="AK868" s="141"/>
      <c r="AL868" s="141"/>
      <c r="AM868" s="141"/>
      <c r="AN868" s="141"/>
    </row>
    <row r="869" spans="1:40" ht="14.5" x14ac:dyDescent="0.35">
      <c r="A869" s="373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  <c r="AE869" s="141"/>
      <c r="AF869" s="141"/>
      <c r="AG869" s="141"/>
      <c r="AH869" s="141"/>
      <c r="AI869" s="141"/>
      <c r="AJ869" s="141"/>
      <c r="AK869" s="141"/>
      <c r="AL869" s="141"/>
      <c r="AM869" s="141"/>
      <c r="AN869" s="141"/>
    </row>
    <row r="870" spans="1:40" ht="14.5" x14ac:dyDescent="0.35">
      <c r="A870" s="373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  <c r="AE870" s="141"/>
      <c r="AF870" s="141"/>
      <c r="AG870" s="141"/>
      <c r="AH870" s="141"/>
      <c r="AI870" s="141"/>
      <c r="AJ870" s="141"/>
      <c r="AK870" s="141"/>
      <c r="AL870" s="141"/>
      <c r="AM870" s="141"/>
      <c r="AN870" s="141"/>
    </row>
    <row r="871" spans="1:40" ht="14.5" x14ac:dyDescent="0.35">
      <c r="A871" s="373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  <c r="AE871" s="141"/>
      <c r="AF871" s="141"/>
      <c r="AG871" s="141"/>
      <c r="AH871" s="141"/>
      <c r="AI871" s="141"/>
      <c r="AJ871" s="141"/>
      <c r="AK871" s="141"/>
      <c r="AL871" s="141"/>
      <c r="AM871" s="141"/>
      <c r="AN871" s="141"/>
    </row>
    <row r="872" spans="1:40" ht="14.5" x14ac:dyDescent="0.35">
      <c r="A872" s="373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  <c r="AE872" s="141"/>
      <c r="AF872" s="141"/>
      <c r="AG872" s="141"/>
      <c r="AH872" s="141"/>
      <c r="AI872" s="141"/>
      <c r="AJ872" s="141"/>
      <c r="AK872" s="141"/>
      <c r="AL872" s="141"/>
      <c r="AM872" s="141"/>
      <c r="AN872" s="141"/>
    </row>
    <row r="873" spans="1:40" ht="14.5" x14ac:dyDescent="0.35">
      <c r="A873" s="373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  <c r="AE873" s="141"/>
      <c r="AF873" s="141"/>
      <c r="AG873" s="141"/>
      <c r="AH873" s="141"/>
      <c r="AI873" s="141"/>
      <c r="AJ873" s="141"/>
      <c r="AK873" s="141"/>
      <c r="AL873" s="141"/>
      <c r="AM873" s="141"/>
      <c r="AN873" s="141"/>
    </row>
    <row r="874" spans="1:40" ht="14.5" x14ac:dyDescent="0.35">
      <c r="A874" s="373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  <c r="AE874" s="141"/>
      <c r="AF874" s="141"/>
      <c r="AG874" s="141"/>
      <c r="AH874" s="141"/>
      <c r="AI874" s="141"/>
      <c r="AJ874" s="141"/>
      <c r="AK874" s="141"/>
      <c r="AL874" s="141"/>
      <c r="AM874" s="141"/>
      <c r="AN874" s="141"/>
    </row>
    <row r="875" spans="1:40" ht="14.5" x14ac:dyDescent="0.35">
      <c r="A875" s="373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  <c r="AE875" s="141"/>
      <c r="AF875" s="141"/>
      <c r="AG875" s="141"/>
      <c r="AH875" s="141"/>
      <c r="AI875" s="141"/>
      <c r="AJ875" s="141"/>
      <c r="AK875" s="141"/>
      <c r="AL875" s="141"/>
      <c r="AM875" s="141"/>
      <c r="AN875" s="141"/>
    </row>
    <row r="876" spans="1:40" ht="14.5" x14ac:dyDescent="0.35">
      <c r="A876" s="373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  <c r="AE876" s="141"/>
      <c r="AF876" s="141"/>
      <c r="AG876" s="141"/>
      <c r="AH876" s="141"/>
      <c r="AI876" s="141"/>
      <c r="AJ876" s="141"/>
      <c r="AK876" s="141"/>
      <c r="AL876" s="141"/>
      <c r="AM876" s="141"/>
      <c r="AN876" s="141"/>
    </row>
    <row r="877" spans="1:40" ht="14.5" x14ac:dyDescent="0.35">
      <c r="A877" s="373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  <c r="AE877" s="141"/>
      <c r="AF877" s="141"/>
      <c r="AG877" s="141"/>
      <c r="AH877" s="141"/>
      <c r="AI877" s="141"/>
      <c r="AJ877" s="141"/>
      <c r="AK877" s="141"/>
      <c r="AL877" s="141"/>
      <c r="AM877" s="141"/>
      <c r="AN877" s="141"/>
    </row>
    <row r="878" spans="1:40" ht="14.5" x14ac:dyDescent="0.35">
      <c r="A878" s="373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  <c r="AE878" s="141"/>
      <c r="AF878" s="141"/>
      <c r="AG878" s="141"/>
      <c r="AH878" s="141"/>
      <c r="AI878" s="141"/>
      <c r="AJ878" s="141"/>
      <c r="AK878" s="141"/>
      <c r="AL878" s="141"/>
      <c r="AM878" s="141"/>
      <c r="AN878" s="141"/>
    </row>
    <row r="879" spans="1:40" ht="14.5" x14ac:dyDescent="0.35">
      <c r="A879" s="373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  <c r="AE879" s="141"/>
      <c r="AF879" s="141"/>
      <c r="AG879" s="141"/>
      <c r="AH879" s="141"/>
      <c r="AI879" s="141"/>
      <c r="AJ879" s="141"/>
      <c r="AK879" s="141"/>
      <c r="AL879" s="141"/>
      <c r="AM879" s="141"/>
      <c r="AN879" s="141"/>
    </row>
    <row r="880" spans="1:40" ht="14.5" x14ac:dyDescent="0.35">
      <c r="A880" s="373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  <c r="AE880" s="141"/>
      <c r="AF880" s="141"/>
      <c r="AG880" s="141"/>
      <c r="AH880" s="141"/>
      <c r="AI880" s="141"/>
      <c r="AJ880" s="141"/>
      <c r="AK880" s="141"/>
      <c r="AL880" s="141"/>
      <c r="AM880" s="141"/>
      <c r="AN880" s="141"/>
    </row>
    <row r="881" spans="1:40" ht="14.5" x14ac:dyDescent="0.35">
      <c r="A881" s="373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  <c r="AE881" s="141"/>
      <c r="AF881" s="141"/>
      <c r="AG881" s="141"/>
      <c r="AH881" s="141"/>
      <c r="AI881" s="141"/>
      <c r="AJ881" s="141"/>
      <c r="AK881" s="141"/>
      <c r="AL881" s="141"/>
      <c r="AM881" s="141"/>
      <c r="AN881" s="141"/>
    </row>
    <row r="882" spans="1:40" ht="14.5" x14ac:dyDescent="0.35">
      <c r="A882" s="373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  <c r="AE882" s="141"/>
      <c r="AF882" s="141"/>
      <c r="AG882" s="141"/>
      <c r="AH882" s="141"/>
      <c r="AI882" s="141"/>
      <c r="AJ882" s="141"/>
      <c r="AK882" s="141"/>
      <c r="AL882" s="141"/>
      <c r="AM882" s="141"/>
      <c r="AN882" s="141"/>
    </row>
    <row r="883" spans="1:40" ht="14.5" x14ac:dyDescent="0.35">
      <c r="A883" s="373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  <c r="AE883" s="141"/>
      <c r="AF883" s="141"/>
      <c r="AG883" s="141"/>
      <c r="AH883" s="141"/>
      <c r="AI883" s="141"/>
      <c r="AJ883" s="141"/>
      <c r="AK883" s="141"/>
      <c r="AL883" s="141"/>
      <c r="AM883" s="141"/>
      <c r="AN883" s="141"/>
    </row>
    <row r="884" spans="1:40" ht="14.5" x14ac:dyDescent="0.35">
      <c r="A884" s="373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  <c r="AE884" s="141"/>
      <c r="AF884" s="141"/>
      <c r="AG884" s="141"/>
      <c r="AH884" s="141"/>
      <c r="AI884" s="141"/>
      <c r="AJ884" s="141"/>
      <c r="AK884" s="141"/>
      <c r="AL884" s="141"/>
      <c r="AM884" s="141"/>
      <c r="AN884" s="141"/>
    </row>
    <row r="885" spans="1:40" ht="14.5" x14ac:dyDescent="0.35">
      <c r="A885" s="373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  <c r="AE885" s="141"/>
      <c r="AF885" s="141"/>
      <c r="AG885" s="141"/>
      <c r="AH885" s="141"/>
      <c r="AI885" s="141"/>
      <c r="AJ885" s="141"/>
      <c r="AK885" s="141"/>
      <c r="AL885" s="141"/>
      <c r="AM885" s="141"/>
      <c r="AN885" s="141"/>
    </row>
    <row r="886" spans="1:40" ht="14.5" x14ac:dyDescent="0.35">
      <c r="A886" s="373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  <c r="AE886" s="141"/>
      <c r="AF886" s="141"/>
      <c r="AG886" s="141"/>
      <c r="AH886" s="141"/>
      <c r="AI886" s="141"/>
      <c r="AJ886" s="141"/>
      <c r="AK886" s="141"/>
      <c r="AL886" s="141"/>
      <c r="AM886" s="141"/>
      <c r="AN886" s="141"/>
    </row>
    <row r="887" spans="1:40" ht="14.5" x14ac:dyDescent="0.35">
      <c r="A887" s="373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  <c r="AE887" s="141"/>
      <c r="AF887" s="141"/>
      <c r="AG887" s="141"/>
      <c r="AH887" s="141"/>
      <c r="AI887" s="141"/>
      <c r="AJ887" s="141"/>
      <c r="AK887" s="141"/>
      <c r="AL887" s="141"/>
      <c r="AM887" s="141"/>
      <c r="AN887" s="141"/>
    </row>
    <row r="888" spans="1:40" ht="14.5" x14ac:dyDescent="0.35">
      <c r="A888" s="373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  <c r="AE888" s="141"/>
      <c r="AF888" s="141"/>
      <c r="AG888" s="141"/>
      <c r="AH888" s="141"/>
      <c r="AI888" s="141"/>
      <c r="AJ888" s="141"/>
      <c r="AK888" s="141"/>
      <c r="AL888" s="141"/>
      <c r="AM888" s="141"/>
      <c r="AN888" s="141"/>
    </row>
    <row r="889" spans="1:40" ht="14.5" x14ac:dyDescent="0.35">
      <c r="A889" s="373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  <c r="AE889" s="141"/>
      <c r="AF889" s="141"/>
      <c r="AG889" s="141"/>
      <c r="AH889" s="141"/>
      <c r="AI889" s="141"/>
      <c r="AJ889" s="141"/>
      <c r="AK889" s="141"/>
      <c r="AL889" s="141"/>
      <c r="AM889" s="141"/>
      <c r="AN889" s="141"/>
    </row>
    <row r="890" spans="1:40" ht="14.5" x14ac:dyDescent="0.35">
      <c r="A890" s="373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  <c r="AE890" s="141"/>
      <c r="AF890" s="141"/>
      <c r="AG890" s="141"/>
      <c r="AH890" s="141"/>
      <c r="AI890" s="141"/>
      <c r="AJ890" s="141"/>
      <c r="AK890" s="141"/>
      <c r="AL890" s="141"/>
      <c r="AM890" s="141"/>
      <c r="AN890" s="141"/>
    </row>
    <row r="891" spans="1:40" ht="14.5" x14ac:dyDescent="0.35">
      <c r="A891" s="373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  <c r="AE891" s="141"/>
      <c r="AF891" s="141"/>
      <c r="AG891" s="141"/>
      <c r="AH891" s="141"/>
      <c r="AI891" s="141"/>
      <c r="AJ891" s="141"/>
      <c r="AK891" s="141"/>
      <c r="AL891" s="141"/>
      <c r="AM891" s="141"/>
      <c r="AN891" s="141"/>
    </row>
    <row r="892" spans="1:40" ht="14.5" x14ac:dyDescent="0.35">
      <c r="A892" s="373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  <c r="AE892" s="141"/>
      <c r="AF892" s="141"/>
      <c r="AG892" s="141"/>
      <c r="AH892" s="141"/>
      <c r="AI892" s="141"/>
      <c r="AJ892" s="141"/>
      <c r="AK892" s="141"/>
      <c r="AL892" s="141"/>
      <c r="AM892" s="141"/>
      <c r="AN892" s="141"/>
    </row>
    <row r="893" spans="1:40" ht="14.5" x14ac:dyDescent="0.35">
      <c r="A893" s="373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  <c r="AE893" s="141"/>
      <c r="AF893" s="141"/>
      <c r="AG893" s="141"/>
      <c r="AH893" s="141"/>
      <c r="AI893" s="141"/>
      <c r="AJ893" s="141"/>
      <c r="AK893" s="141"/>
      <c r="AL893" s="141"/>
      <c r="AM893" s="141"/>
      <c r="AN893" s="141"/>
    </row>
    <row r="894" spans="1:40" ht="14.5" x14ac:dyDescent="0.35">
      <c r="A894" s="373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  <c r="AE894" s="141"/>
      <c r="AF894" s="141"/>
      <c r="AG894" s="141"/>
      <c r="AH894" s="141"/>
      <c r="AI894" s="141"/>
      <c r="AJ894" s="141"/>
      <c r="AK894" s="141"/>
      <c r="AL894" s="141"/>
      <c r="AM894" s="141"/>
      <c r="AN894" s="141"/>
    </row>
    <row r="895" spans="1:40" ht="14.5" x14ac:dyDescent="0.35">
      <c r="A895" s="373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  <c r="AE895" s="141"/>
      <c r="AF895" s="141"/>
      <c r="AG895" s="141"/>
      <c r="AH895" s="141"/>
      <c r="AI895" s="141"/>
      <c r="AJ895" s="141"/>
      <c r="AK895" s="141"/>
      <c r="AL895" s="141"/>
      <c r="AM895" s="141"/>
      <c r="AN895" s="141"/>
    </row>
    <row r="896" spans="1:40" ht="14.5" x14ac:dyDescent="0.35">
      <c r="A896" s="373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  <c r="AE896" s="141"/>
      <c r="AF896" s="141"/>
      <c r="AG896" s="141"/>
      <c r="AH896" s="141"/>
      <c r="AI896" s="141"/>
      <c r="AJ896" s="141"/>
      <c r="AK896" s="141"/>
      <c r="AL896" s="141"/>
      <c r="AM896" s="141"/>
      <c r="AN896" s="141"/>
    </row>
    <row r="897" spans="1:40" ht="14.5" x14ac:dyDescent="0.35">
      <c r="A897" s="373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  <c r="AE897" s="141"/>
      <c r="AF897" s="141"/>
      <c r="AG897" s="141"/>
      <c r="AH897" s="141"/>
      <c r="AI897" s="141"/>
      <c r="AJ897" s="141"/>
      <c r="AK897" s="141"/>
      <c r="AL897" s="141"/>
      <c r="AM897" s="141"/>
      <c r="AN897" s="141"/>
    </row>
    <row r="898" spans="1:40" ht="14.5" x14ac:dyDescent="0.35">
      <c r="A898" s="373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  <c r="AE898" s="141"/>
      <c r="AF898" s="141"/>
      <c r="AG898" s="141"/>
      <c r="AH898" s="141"/>
      <c r="AI898" s="141"/>
      <c r="AJ898" s="141"/>
      <c r="AK898" s="141"/>
      <c r="AL898" s="141"/>
      <c r="AM898" s="141"/>
      <c r="AN898" s="141"/>
    </row>
    <row r="899" spans="1:40" ht="14.5" x14ac:dyDescent="0.35">
      <c r="A899" s="373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  <c r="AE899" s="141"/>
      <c r="AF899" s="141"/>
      <c r="AG899" s="141"/>
      <c r="AH899" s="141"/>
      <c r="AI899" s="141"/>
      <c r="AJ899" s="141"/>
      <c r="AK899" s="141"/>
      <c r="AL899" s="141"/>
      <c r="AM899" s="141"/>
      <c r="AN899" s="141"/>
    </row>
    <row r="900" spans="1:40" ht="14.5" x14ac:dyDescent="0.35">
      <c r="A900" s="373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  <c r="AE900" s="141"/>
      <c r="AF900" s="141"/>
      <c r="AG900" s="141"/>
      <c r="AH900" s="141"/>
      <c r="AI900" s="141"/>
      <c r="AJ900" s="141"/>
      <c r="AK900" s="141"/>
      <c r="AL900" s="141"/>
      <c r="AM900" s="141"/>
      <c r="AN900" s="141"/>
    </row>
    <row r="901" spans="1:40" ht="14.5" x14ac:dyDescent="0.35">
      <c r="A901" s="373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  <c r="AE901" s="141"/>
      <c r="AF901" s="141"/>
      <c r="AG901" s="141"/>
      <c r="AH901" s="141"/>
      <c r="AI901" s="141"/>
      <c r="AJ901" s="141"/>
      <c r="AK901" s="141"/>
      <c r="AL901" s="141"/>
      <c r="AM901" s="141"/>
      <c r="AN901" s="141"/>
    </row>
    <row r="902" spans="1:40" ht="14.5" x14ac:dyDescent="0.35">
      <c r="A902" s="373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  <c r="AE902" s="141"/>
      <c r="AF902" s="141"/>
      <c r="AG902" s="141"/>
      <c r="AH902" s="141"/>
      <c r="AI902" s="141"/>
      <c r="AJ902" s="141"/>
      <c r="AK902" s="141"/>
      <c r="AL902" s="141"/>
      <c r="AM902" s="141"/>
      <c r="AN902" s="141"/>
    </row>
    <row r="903" spans="1:40" ht="14.5" x14ac:dyDescent="0.35">
      <c r="A903" s="373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  <c r="AE903" s="141"/>
      <c r="AF903" s="141"/>
      <c r="AG903" s="141"/>
      <c r="AH903" s="141"/>
      <c r="AI903" s="141"/>
      <c r="AJ903" s="141"/>
      <c r="AK903" s="141"/>
      <c r="AL903" s="141"/>
      <c r="AM903" s="141"/>
      <c r="AN903" s="141"/>
    </row>
    <row r="904" spans="1:40" ht="14.5" x14ac:dyDescent="0.35">
      <c r="A904" s="373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  <c r="AE904" s="141"/>
      <c r="AF904" s="141"/>
      <c r="AG904" s="141"/>
      <c r="AH904" s="141"/>
      <c r="AI904" s="141"/>
      <c r="AJ904" s="141"/>
      <c r="AK904" s="141"/>
      <c r="AL904" s="141"/>
      <c r="AM904" s="141"/>
      <c r="AN904" s="141"/>
    </row>
    <row r="905" spans="1:40" ht="14.5" x14ac:dyDescent="0.35">
      <c r="A905" s="373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  <c r="AE905" s="141"/>
      <c r="AF905" s="141"/>
      <c r="AG905" s="141"/>
      <c r="AH905" s="141"/>
      <c r="AI905" s="141"/>
      <c r="AJ905" s="141"/>
      <c r="AK905" s="141"/>
      <c r="AL905" s="141"/>
      <c r="AM905" s="141"/>
      <c r="AN905" s="141"/>
    </row>
    <row r="906" spans="1:40" ht="14.5" x14ac:dyDescent="0.35">
      <c r="A906" s="373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  <c r="AE906" s="141"/>
      <c r="AF906" s="141"/>
      <c r="AG906" s="141"/>
      <c r="AH906" s="141"/>
      <c r="AI906" s="141"/>
      <c r="AJ906" s="141"/>
      <c r="AK906" s="141"/>
      <c r="AL906" s="141"/>
      <c r="AM906" s="141"/>
      <c r="AN906" s="141"/>
    </row>
    <row r="907" spans="1:40" ht="14.5" x14ac:dyDescent="0.35">
      <c r="A907" s="373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  <c r="AE907" s="141"/>
      <c r="AF907" s="141"/>
      <c r="AG907" s="141"/>
      <c r="AH907" s="141"/>
      <c r="AI907" s="141"/>
      <c r="AJ907" s="141"/>
      <c r="AK907" s="141"/>
      <c r="AL907" s="141"/>
      <c r="AM907" s="141"/>
      <c r="AN907" s="141"/>
    </row>
    <row r="908" spans="1:40" ht="14.5" x14ac:dyDescent="0.35">
      <c r="A908" s="373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  <c r="AE908" s="141"/>
      <c r="AF908" s="141"/>
      <c r="AG908" s="141"/>
      <c r="AH908" s="141"/>
      <c r="AI908" s="141"/>
      <c r="AJ908" s="141"/>
      <c r="AK908" s="141"/>
      <c r="AL908" s="141"/>
      <c r="AM908" s="141"/>
      <c r="AN908" s="141"/>
    </row>
    <row r="909" spans="1:40" ht="14.5" x14ac:dyDescent="0.35">
      <c r="A909" s="373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  <c r="AE909" s="141"/>
      <c r="AF909" s="141"/>
      <c r="AG909" s="141"/>
      <c r="AH909" s="141"/>
      <c r="AI909" s="141"/>
      <c r="AJ909" s="141"/>
      <c r="AK909" s="141"/>
      <c r="AL909" s="141"/>
      <c r="AM909" s="141"/>
      <c r="AN909" s="141"/>
    </row>
    <row r="910" spans="1:40" ht="14.5" x14ac:dyDescent="0.35">
      <c r="A910" s="373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  <c r="AE910" s="141"/>
      <c r="AF910" s="141"/>
      <c r="AG910" s="141"/>
      <c r="AH910" s="141"/>
      <c r="AI910" s="141"/>
      <c r="AJ910" s="141"/>
      <c r="AK910" s="141"/>
      <c r="AL910" s="141"/>
      <c r="AM910" s="141"/>
      <c r="AN910" s="141"/>
    </row>
    <row r="911" spans="1:40" ht="14.5" x14ac:dyDescent="0.35">
      <c r="A911" s="373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  <c r="AE911" s="141"/>
      <c r="AF911" s="141"/>
      <c r="AG911" s="141"/>
      <c r="AH911" s="141"/>
      <c r="AI911" s="141"/>
      <c r="AJ911" s="141"/>
      <c r="AK911" s="141"/>
      <c r="AL911" s="141"/>
      <c r="AM911" s="141"/>
      <c r="AN911" s="141"/>
    </row>
    <row r="912" spans="1:40" ht="14.5" x14ac:dyDescent="0.35">
      <c r="A912" s="373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  <c r="AE912" s="141"/>
      <c r="AF912" s="141"/>
      <c r="AG912" s="141"/>
      <c r="AH912" s="141"/>
      <c r="AI912" s="141"/>
      <c r="AJ912" s="141"/>
      <c r="AK912" s="141"/>
      <c r="AL912" s="141"/>
      <c r="AM912" s="141"/>
      <c r="AN912" s="141"/>
    </row>
    <row r="913" spans="1:40" ht="14.5" x14ac:dyDescent="0.35">
      <c r="A913" s="373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  <c r="AE913" s="141"/>
      <c r="AF913" s="141"/>
      <c r="AG913" s="141"/>
      <c r="AH913" s="141"/>
      <c r="AI913" s="141"/>
      <c r="AJ913" s="141"/>
      <c r="AK913" s="141"/>
      <c r="AL913" s="141"/>
      <c r="AM913" s="141"/>
      <c r="AN913" s="141"/>
    </row>
    <row r="914" spans="1:40" ht="14.5" x14ac:dyDescent="0.35">
      <c r="A914" s="373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  <c r="AE914" s="141"/>
      <c r="AF914" s="141"/>
      <c r="AG914" s="141"/>
      <c r="AH914" s="141"/>
      <c r="AI914" s="141"/>
      <c r="AJ914" s="141"/>
      <c r="AK914" s="141"/>
      <c r="AL914" s="141"/>
      <c r="AM914" s="141"/>
      <c r="AN914" s="141"/>
    </row>
    <row r="915" spans="1:40" ht="14.5" x14ac:dyDescent="0.35">
      <c r="A915" s="373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  <c r="AE915" s="141"/>
      <c r="AF915" s="141"/>
      <c r="AG915" s="141"/>
      <c r="AH915" s="141"/>
      <c r="AI915" s="141"/>
      <c r="AJ915" s="141"/>
      <c r="AK915" s="141"/>
      <c r="AL915" s="141"/>
      <c r="AM915" s="141"/>
      <c r="AN915" s="141"/>
    </row>
    <row r="916" spans="1:40" ht="14.5" x14ac:dyDescent="0.35">
      <c r="A916" s="373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  <c r="AE916" s="141"/>
      <c r="AF916" s="141"/>
      <c r="AG916" s="141"/>
      <c r="AH916" s="141"/>
      <c r="AI916" s="141"/>
      <c r="AJ916" s="141"/>
      <c r="AK916" s="141"/>
      <c r="AL916" s="141"/>
      <c r="AM916" s="141"/>
      <c r="AN916" s="141"/>
    </row>
    <row r="917" spans="1:40" ht="14.5" x14ac:dyDescent="0.35">
      <c r="A917" s="373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  <c r="AE917" s="141"/>
      <c r="AF917" s="141"/>
      <c r="AG917" s="141"/>
      <c r="AH917" s="141"/>
      <c r="AI917" s="141"/>
      <c r="AJ917" s="141"/>
      <c r="AK917" s="141"/>
      <c r="AL917" s="141"/>
      <c r="AM917" s="141"/>
      <c r="AN917" s="141"/>
    </row>
    <row r="918" spans="1:40" ht="14.5" x14ac:dyDescent="0.35">
      <c r="A918" s="373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  <c r="AE918" s="141"/>
      <c r="AF918" s="141"/>
      <c r="AG918" s="141"/>
      <c r="AH918" s="141"/>
      <c r="AI918" s="141"/>
      <c r="AJ918" s="141"/>
      <c r="AK918" s="141"/>
      <c r="AL918" s="141"/>
      <c r="AM918" s="141"/>
      <c r="AN918" s="141"/>
    </row>
    <row r="919" spans="1:40" ht="14.5" x14ac:dyDescent="0.35">
      <c r="A919" s="373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  <c r="AE919" s="141"/>
      <c r="AF919" s="141"/>
      <c r="AG919" s="141"/>
      <c r="AH919" s="141"/>
      <c r="AI919" s="141"/>
      <c r="AJ919" s="141"/>
      <c r="AK919" s="141"/>
      <c r="AL919" s="141"/>
      <c r="AM919" s="141"/>
      <c r="AN919" s="141"/>
    </row>
    <row r="920" spans="1:40" ht="14.5" x14ac:dyDescent="0.35">
      <c r="A920" s="373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  <c r="AE920" s="141"/>
      <c r="AF920" s="141"/>
      <c r="AG920" s="141"/>
      <c r="AH920" s="141"/>
      <c r="AI920" s="141"/>
      <c r="AJ920" s="141"/>
      <c r="AK920" s="141"/>
      <c r="AL920" s="141"/>
      <c r="AM920" s="141"/>
      <c r="AN920" s="141"/>
    </row>
    <row r="921" spans="1:40" ht="14.5" x14ac:dyDescent="0.35">
      <c r="A921" s="373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  <c r="AE921" s="141"/>
      <c r="AF921" s="141"/>
      <c r="AG921" s="141"/>
      <c r="AH921" s="141"/>
      <c r="AI921" s="141"/>
      <c r="AJ921" s="141"/>
      <c r="AK921" s="141"/>
      <c r="AL921" s="141"/>
      <c r="AM921" s="141"/>
      <c r="AN921" s="141"/>
    </row>
    <row r="922" spans="1:40" ht="14.5" x14ac:dyDescent="0.35">
      <c r="A922" s="373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  <c r="AE922" s="141"/>
      <c r="AF922" s="141"/>
      <c r="AG922" s="141"/>
      <c r="AH922" s="141"/>
      <c r="AI922" s="141"/>
      <c r="AJ922" s="141"/>
      <c r="AK922" s="141"/>
      <c r="AL922" s="141"/>
      <c r="AM922" s="141"/>
      <c r="AN922" s="141"/>
    </row>
    <row r="923" spans="1:40" ht="14.5" x14ac:dyDescent="0.35">
      <c r="A923" s="373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  <c r="AE923" s="141"/>
      <c r="AF923" s="141"/>
      <c r="AG923" s="141"/>
      <c r="AH923" s="141"/>
      <c r="AI923" s="141"/>
      <c r="AJ923" s="141"/>
      <c r="AK923" s="141"/>
      <c r="AL923" s="141"/>
      <c r="AM923" s="141"/>
      <c r="AN923" s="141"/>
    </row>
    <row r="924" spans="1:40" ht="14.5" x14ac:dyDescent="0.35">
      <c r="A924" s="373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  <c r="AE924" s="141"/>
      <c r="AF924" s="141"/>
      <c r="AG924" s="141"/>
      <c r="AH924" s="141"/>
      <c r="AI924" s="141"/>
      <c r="AJ924" s="141"/>
      <c r="AK924" s="141"/>
      <c r="AL924" s="141"/>
      <c r="AM924" s="141"/>
      <c r="AN924" s="141"/>
    </row>
    <row r="925" spans="1:40" ht="14.5" x14ac:dyDescent="0.35">
      <c r="A925" s="373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  <c r="AE925" s="141"/>
      <c r="AF925" s="141"/>
      <c r="AG925" s="141"/>
      <c r="AH925" s="141"/>
      <c r="AI925" s="141"/>
      <c r="AJ925" s="141"/>
      <c r="AK925" s="141"/>
      <c r="AL925" s="141"/>
      <c r="AM925" s="141"/>
      <c r="AN925" s="141"/>
    </row>
    <row r="926" spans="1:40" ht="14.5" x14ac:dyDescent="0.35">
      <c r="A926" s="373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  <c r="AE926" s="141"/>
      <c r="AF926" s="141"/>
      <c r="AG926" s="141"/>
      <c r="AH926" s="141"/>
      <c r="AI926" s="141"/>
      <c r="AJ926" s="141"/>
      <c r="AK926" s="141"/>
      <c r="AL926" s="141"/>
      <c r="AM926" s="141"/>
      <c r="AN926" s="141"/>
    </row>
    <row r="927" spans="1:40" ht="14.5" x14ac:dyDescent="0.35">
      <c r="A927" s="373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  <c r="AE927" s="141"/>
      <c r="AF927" s="141"/>
      <c r="AG927" s="141"/>
      <c r="AH927" s="141"/>
      <c r="AI927" s="141"/>
      <c r="AJ927" s="141"/>
      <c r="AK927" s="141"/>
      <c r="AL927" s="141"/>
      <c r="AM927" s="141"/>
      <c r="AN927" s="141"/>
    </row>
    <row r="928" spans="1:40" ht="14.5" x14ac:dyDescent="0.35">
      <c r="A928" s="373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  <c r="AE928" s="141"/>
      <c r="AF928" s="141"/>
      <c r="AG928" s="141"/>
      <c r="AH928" s="141"/>
      <c r="AI928" s="141"/>
      <c r="AJ928" s="141"/>
      <c r="AK928" s="141"/>
      <c r="AL928" s="141"/>
      <c r="AM928" s="141"/>
      <c r="AN928" s="141"/>
    </row>
    <row r="929" spans="1:40" ht="14.5" x14ac:dyDescent="0.35">
      <c r="A929" s="373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  <c r="AE929" s="141"/>
      <c r="AF929" s="141"/>
      <c r="AG929" s="141"/>
      <c r="AH929" s="141"/>
      <c r="AI929" s="141"/>
      <c r="AJ929" s="141"/>
      <c r="AK929" s="141"/>
      <c r="AL929" s="141"/>
      <c r="AM929" s="141"/>
      <c r="AN929" s="141"/>
    </row>
    <row r="930" spans="1:40" ht="14.5" x14ac:dyDescent="0.35">
      <c r="A930" s="373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  <c r="AE930" s="141"/>
      <c r="AF930" s="141"/>
      <c r="AG930" s="141"/>
      <c r="AH930" s="141"/>
      <c r="AI930" s="141"/>
      <c r="AJ930" s="141"/>
      <c r="AK930" s="141"/>
      <c r="AL930" s="141"/>
      <c r="AM930" s="141"/>
      <c r="AN930" s="141"/>
    </row>
    <row r="931" spans="1:40" ht="14.5" x14ac:dyDescent="0.35">
      <c r="A931" s="373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  <c r="AE931" s="141"/>
      <c r="AF931" s="141"/>
      <c r="AG931" s="141"/>
      <c r="AH931" s="141"/>
      <c r="AI931" s="141"/>
      <c r="AJ931" s="141"/>
      <c r="AK931" s="141"/>
      <c r="AL931" s="141"/>
      <c r="AM931" s="141"/>
      <c r="AN931" s="141"/>
    </row>
    <row r="932" spans="1:40" ht="14.5" x14ac:dyDescent="0.35">
      <c r="A932" s="373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  <c r="AE932" s="141"/>
      <c r="AF932" s="141"/>
      <c r="AG932" s="141"/>
      <c r="AH932" s="141"/>
      <c r="AI932" s="141"/>
      <c r="AJ932" s="141"/>
      <c r="AK932" s="141"/>
      <c r="AL932" s="141"/>
      <c r="AM932" s="141"/>
      <c r="AN932" s="141"/>
    </row>
    <row r="933" spans="1:40" ht="14.5" x14ac:dyDescent="0.35">
      <c r="A933" s="373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  <c r="AE933" s="141"/>
      <c r="AF933" s="141"/>
      <c r="AG933" s="141"/>
      <c r="AH933" s="141"/>
      <c r="AI933" s="141"/>
      <c r="AJ933" s="141"/>
      <c r="AK933" s="141"/>
      <c r="AL933" s="141"/>
      <c r="AM933" s="141"/>
      <c r="AN933" s="141"/>
    </row>
    <row r="934" spans="1:40" ht="14.5" x14ac:dyDescent="0.35">
      <c r="A934" s="373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  <c r="AE934" s="141"/>
      <c r="AF934" s="141"/>
      <c r="AG934" s="141"/>
      <c r="AH934" s="141"/>
      <c r="AI934" s="141"/>
      <c r="AJ934" s="141"/>
      <c r="AK934" s="141"/>
      <c r="AL934" s="141"/>
      <c r="AM934" s="141"/>
      <c r="AN934" s="141"/>
    </row>
    <row r="935" spans="1:40" ht="14.5" x14ac:dyDescent="0.35">
      <c r="A935" s="373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  <c r="AE935" s="141"/>
      <c r="AF935" s="141"/>
      <c r="AG935" s="141"/>
      <c r="AH935" s="141"/>
      <c r="AI935" s="141"/>
      <c r="AJ935" s="141"/>
      <c r="AK935" s="141"/>
      <c r="AL935" s="141"/>
      <c r="AM935" s="141"/>
      <c r="AN935" s="141"/>
    </row>
    <row r="936" spans="1:40" ht="14.5" x14ac:dyDescent="0.35">
      <c r="A936" s="373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  <c r="AE936" s="141"/>
      <c r="AF936" s="141"/>
      <c r="AG936" s="141"/>
      <c r="AH936" s="141"/>
      <c r="AI936" s="141"/>
      <c r="AJ936" s="141"/>
      <c r="AK936" s="141"/>
      <c r="AL936" s="141"/>
      <c r="AM936" s="141"/>
      <c r="AN936" s="141"/>
    </row>
    <row r="937" spans="1:40" ht="14.5" x14ac:dyDescent="0.35">
      <c r="A937" s="373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  <c r="AE937" s="141"/>
      <c r="AF937" s="141"/>
      <c r="AG937" s="141"/>
      <c r="AH937" s="141"/>
      <c r="AI937" s="141"/>
      <c r="AJ937" s="141"/>
      <c r="AK937" s="141"/>
      <c r="AL937" s="141"/>
      <c r="AM937" s="141"/>
      <c r="AN937" s="141"/>
    </row>
    <row r="938" spans="1:40" ht="14.5" x14ac:dyDescent="0.35">
      <c r="A938" s="373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  <c r="AE938" s="141"/>
      <c r="AF938" s="141"/>
      <c r="AG938" s="141"/>
      <c r="AH938" s="141"/>
      <c r="AI938" s="141"/>
      <c r="AJ938" s="141"/>
      <c r="AK938" s="141"/>
      <c r="AL938" s="141"/>
      <c r="AM938" s="141"/>
      <c r="AN938" s="141"/>
    </row>
    <row r="939" spans="1:40" ht="14.5" x14ac:dyDescent="0.35">
      <c r="A939" s="373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  <c r="AE939" s="141"/>
      <c r="AF939" s="141"/>
      <c r="AG939" s="141"/>
      <c r="AH939" s="141"/>
      <c r="AI939" s="141"/>
      <c r="AJ939" s="141"/>
      <c r="AK939" s="141"/>
      <c r="AL939" s="141"/>
      <c r="AM939" s="141"/>
      <c r="AN939" s="141"/>
    </row>
    <row r="940" spans="1:40" ht="14.5" x14ac:dyDescent="0.35">
      <c r="A940" s="373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  <c r="AE940" s="141"/>
      <c r="AF940" s="141"/>
      <c r="AG940" s="141"/>
      <c r="AH940" s="141"/>
      <c r="AI940" s="141"/>
      <c r="AJ940" s="141"/>
      <c r="AK940" s="141"/>
      <c r="AL940" s="141"/>
      <c r="AM940" s="141"/>
      <c r="AN940" s="141"/>
    </row>
    <row r="941" spans="1:40" ht="14.5" x14ac:dyDescent="0.35">
      <c r="A941" s="373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  <c r="AE941" s="141"/>
      <c r="AF941" s="141"/>
      <c r="AG941" s="141"/>
      <c r="AH941" s="141"/>
      <c r="AI941" s="141"/>
      <c r="AJ941" s="141"/>
      <c r="AK941" s="141"/>
      <c r="AL941" s="141"/>
      <c r="AM941" s="141"/>
      <c r="AN941" s="141"/>
    </row>
    <row r="942" spans="1:40" ht="14.5" x14ac:dyDescent="0.35">
      <c r="A942" s="373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  <c r="AE942" s="141"/>
      <c r="AF942" s="141"/>
      <c r="AG942" s="141"/>
      <c r="AH942" s="141"/>
      <c r="AI942" s="141"/>
      <c r="AJ942" s="141"/>
      <c r="AK942" s="141"/>
      <c r="AL942" s="141"/>
      <c r="AM942" s="141"/>
      <c r="AN942" s="141"/>
    </row>
    <row r="943" spans="1:40" ht="14.5" x14ac:dyDescent="0.35">
      <c r="A943" s="373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  <c r="AE943" s="141"/>
      <c r="AF943" s="141"/>
      <c r="AG943" s="141"/>
      <c r="AH943" s="141"/>
      <c r="AI943" s="141"/>
      <c r="AJ943" s="141"/>
      <c r="AK943" s="141"/>
      <c r="AL943" s="141"/>
      <c r="AM943" s="141"/>
      <c r="AN943" s="141"/>
    </row>
    <row r="944" spans="1:40" ht="14.5" x14ac:dyDescent="0.35">
      <c r="A944" s="373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  <c r="AE944" s="141"/>
      <c r="AF944" s="141"/>
      <c r="AG944" s="141"/>
      <c r="AH944" s="141"/>
      <c r="AI944" s="141"/>
      <c r="AJ944" s="141"/>
      <c r="AK944" s="141"/>
      <c r="AL944" s="141"/>
      <c r="AM944" s="141"/>
      <c r="AN944" s="141"/>
    </row>
    <row r="945" spans="1:40" ht="14.5" x14ac:dyDescent="0.35">
      <c r="A945" s="373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  <c r="AE945" s="141"/>
      <c r="AF945" s="141"/>
      <c r="AG945" s="141"/>
      <c r="AH945" s="141"/>
      <c r="AI945" s="141"/>
      <c r="AJ945" s="141"/>
      <c r="AK945" s="141"/>
      <c r="AL945" s="141"/>
      <c r="AM945" s="141"/>
      <c r="AN945" s="141"/>
    </row>
    <row r="946" spans="1:40" ht="14.5" x14ac:dyDescent="0.35">
      <c r="A946" s="373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  <c r="AE946" s="141"/>
      <c r="AF946" s="141"/>
      <c r="AG946" s="141"/>
      <c r="AH946" s="141"/>
      <c r="AI946" s="141"/>
      <c r="AJ946" s="141"/>
      <c r="AK946" s="141"/>
      <c r="AL946" s="141"/>
      <c r="AM946" s="141"/>
      <c r="AN946" s="141"/>
    </row>
    <row r="947" spans="1:40" ht="14.5" x14ac:dyDescent="0.35">
      <c r="A947" s="373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  <c r="AE947" s="141"/>
      <c r="AF947" s="141"/>
      <c r="AG947" s="141"/>
      <c r="AH947" s="141"/>
      <c r="AI947" s="141"/>
      <c r="AJ947" s="141"/>
      <c r="AK947" s="141"/>
      <c r="AL947" s="141"/>
      <c r="AM947" s="141"/>
      <c r="AN947" s="141"/>
    </row>
    <row r="948" spans="1:40" ht="14.5" x14ac:dyDescent="0.35">
      <c r="A948" s="373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  <c r="AE948" s="141"/>
      <c r="AF948" s="141"/>
      <c r="AG948" s="141"/>
      <c r="AH948" s="141"/>
      <c r="AI948" s="141"/>
      <c r="AJ948" s="141"/>
      <c r="AK948" s="141"/>
      <c r="AL948" s="141"/>
      <c r="AM948" s="141"/>
      <c r="AN948" s="141"/>
    </row>
    <row r="949" spans="1:40" ht="14.5" x14ac:dyDescent="0.35">
      <c r="A949" s="373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  <c r="AE949" s="141"/>
      <c r="AF949" s="141"/>
      <c r="AG949" s="141"/>
      <c r="AH949" s="141"/>
      <c r="AI949" s="141"/>
      <c r="AJ949" s="141"/>
      <c r="AK949" s="141"/>
      <c r="AL949" s="141"/>
      <c r="AM949" s="141"/>
      <c r="AN949" s="141"/>
    </row>
    <row r="950" spans="1:40" ht="14.5" x14ac:dyDescent="0.35">
      <c r="A950" s="373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  <c r="AE950" s="141"/>
      <c r="AF950" s="141"/>
      <c r="AG950" s="141"/>
      <c r="AH950" s="141"/>
      <c r="AI950" s="141"/>
      <c r="AJ950" s="141"/>
      <c r="AK950" s="141"/>
      <c r="AL950" s="141"/>
      <c r="AM950" s="141"/>
      <c r="AN950" s="141"/>
    </row>
    <row r="951" spans="1:40" ht="14.5" x14ac:dyDescent="0.35">
      <c r="A951" s="373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  <c r="AE951" s="141"/>
      <c r="AF951" s="141"/>
      <c r="AG951" s="141"/>
      <c r="AH951" s="141"/>
      <c r="AI951" s="141"/>
      <c r="AJ951" s="141"/>
      <c r="AK951" s="141"/>
      <c r="AL951" s="141"/>
      <c r="AM951" s="141"/>
      <c r="AN951" s="141"/>
    </row>
    <row r="952" spans="1:40" ht="14.5" x14ac:dyDescent="0.35">
      <c r="A952" s="373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  <c r="AE952" s="141"/>
      <c r="AF952" s="141"/>
      <c r="AG952" s="141"/>
      <c r="AH952" s="141"/>
      <c r="AI952" s="141"/>
      <c r="AJ952" s="141"/>
      <c r="AK952" s="141"/>
      <c r="AL952" s="141"/>
      <c r="AM952" s="141"/>
      <c r="AN952" s="141"/>
    </row>
    <row r="953" spans="1:40" ht="14.5" x14ac:dyDescent="0.35">
      <c r="A953" s="373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  <c r="AE953" s="141"/>
      <c r="AF953" s="141"/>
      <c r="AG953" s="141"/>
      <c r="AH953" s="141"/>
      <c r="AI953" s="141"/>
      <c r="AJ953" s="141"/>
      <c r="AK953" s="141"/>
      <c r="AL953" s="141"/>
      <c r="AM953" s="141"/>
      <c r="AN953" s="141"/>
    </row>
    <row r="954" spans="1:40" ht="14.5" x14ac:dyDescent="0.35">
      <c r="A954" s="373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  <c r="AE954" s="141"/>
      <c r="AF954" s="141"/>
      <c r="AG954" s="141"/>
      <c r="AH954" s="141"/>
      <c r="AI954" s="141"/>
      <c r="AJ954" s="141"/>
      <c r="AK954" s="141"/>
      <c r="AL954" s="141"/>
      <c r="AM954" s="141"/>
      <c r="AN954" s="141"/>
    </row>
    <row r="955" spans="1:40" ht="14.5" x14ac:dyDescent="0.35">
      <c r="A955" s="373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  <c r="AE955" s="141"/>
      <c r="AF955" s="141"/>
      <c r="AG955" s="141"/>
      <c r="AH955" s="141"/>
      <c r="AI955" s="141"/>
      <c r="AJ955" s="141"/>
      <c r="AK955" s="141"/>
      <c r="AL955" s="141"/>
      <c r="AM955" s="141"/>
      <c r="AN955" s="141"/>
    </row>
    <row r="956" spans="1:40" ht="14.5" x14ac:dyDescent="0.35">
      <c r="A956" s="373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  <c r="AE956" s="141"/>
      <c r="AF956" s="141"/>
      <c r="AG956" s="141"/>
      <c r="AH956" s="141"/>
      <c r="AI956" s="141"/>
      <c r="AJ956" s="141"/>
      <c r="AK956" s="141"/>
      <c r="AL956" s="141"/>
      <c r="AM956" s="141"/>
      <c r="AN956" s="141"/>
    </row>
    <row r="957" spans="1:40" ht="14.5" x14ac:dyDescent="0.35">
      <c r="A957" s="373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  <c r="AE957" s="141"/>
      <c r="AF957" s="141"/>
      <c r="AG957" s="141"/>
      <c r="AH957" s="141"/>
      <c r="AI957" s="141"/>
      <c r="AJ957" s="141"/>
      <c r="AK957" s="141"/>
      <c r="AL957" s="141"/>
      <c r="AM957" s="141"/>
      <c r="AN957" s="141"/>
    </row>
    <row r="958" spans="1:40" ht="14.5" x14ac:dyDescent="0.35">
      <c r="A958" s="373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  <c r="AE958" s="141"/>
      <c r="AF958" s="141"/>
      <c r="AG958" s="141"/>
      <c r="AH958" s="141"/>
      <c r="AI958" s="141"/>
      <c r="AJ958" s="141"/>
      <c r="AK958" s="141"/>
      <c r="AL958" s="141"/>
      <c r="AM958" s="141"/>
      <c r="AN958" s="141"/>
    </row>
    <row r="959" spans="1:40" ht="14.5" x14ac:dyDescent="0.35">
      <c r="A959" s="373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  <c r="AE959" s="141"/>
      <c r="AF959" s="141"/>
      <c r="AG959" s="141"/>
      <c r="AH959" s="141"/>
      <c r="AI959" s="141"/>
      <c r="AJ959" s="141"/>
      <c r="AK959" s="141"/>
      <c r="AL959" s="141"/>
      <c r="AM959" s="141"/>
      <c r="AN959" s="141"/>
    </row>
    <row r="960" spans="1:40" ht="14.5" x14ac:dyDescent="0.35">
      <c r="A960" s="373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  <c r="AE960" s="141"/>
      <c r="AF960" s="141"/>
      <c r="AG960" s="141"/>
      <c r="AH960" s="141"/>
      <c r="AI960" s="141"/>
      <c r="AJ960" s="141"/>
      <c r="AK960" s="141"/>
      <c r="AL960" s="141"/>
      <c r="AM960" s="141"/>
      <c r="AN960" s="141"/>
    </row>
    <row r="961" spans="1:40" ht="14.5" x14ac:dyDescent="0.35">
      <c r="A961" s="373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  <c r="AE961" s="141"/>
      <c r="AF961" s="141"/>
      <c r="AG961" s="141"/>
      <c r="AH961" s="141"/>
      <c r="AI961" s="141"/>
      <c r="AJ961" s="141"/>
      <c r="AK961" s="141"/>
      <c r="AL961" s="141"/>
      <c r="AM961" s="141"/>
      <c r="AN961" s="141"/>
    </row>
    <row r="962" spans="1:40" ht="14.5" x14ac:dyDescent="0.35">
      <c r="A962" s="373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  <c r="AE962" s="141"/>
      <c r="AF962" s="141"/>
      <c r="AG962" s="141"/>
      <c r="AH962" s="141"/>
      <c r="AI962" s="141"/>
      <c r="AJ962" s="141"/>
      <c r="AK962" s="141"/>
      <c r="AL962" s="141"/>
      <c r="AM962" s="141"/>
      <c r="AN962" s="141"/>
    </row>
    <row r="963" spans="1:40" ht="14.5" x14ac:dyDescent="0.35">
      <c r="A963" s="373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  <c r="AE963" s="141"/>
      <c r="AF963" s="141"/>
      <c r="AG963" s="141"/>
      <c r="AH963" s="141"/>
      <c r="AI963" s="141"/>
      <c r="AJ963" s="141"/>
      <c r="AK963" s="141"/>
      <c r="AL963" s="141"/>
      <c r="AM963" s="141"/>
      <c r="AN963" s="141"/>
    </row>
    <row r="964" spans="1:40" ht="14.5" x14ac:dyDescent="0.35">
      <c r="A964" s="373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  <c r="AE964" s="141"/>
      <c r="AF964" s="141"/>
      <c r="AG964" s="141"/>
      <c r="AH964" s="141"/>
      <c r="AI964" s="141"/>
      <c r="AJ964" s="141"/>
      <c r="AK964" s="141"/>
      <c r="AL964" s="141"/>
      <c r="AM964" s="141"/>
      <c r="AN964" s="141"/>
    </row>
    <row r="965" spans="1:40" ht="14.5" x14ac:dyDescent="0.35">
      <c r="A965" s="373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  <c r="AE965" s="141"/>
      <c r="AF965" s="141"/>
      <c r="AG965" s="141"/>
      <c r="AH965" s="141"/>
      <c r="AI965" s="141"/>
      <c r="AJ965" s="141"/>
      <c r="AK965" s="141"/>
      <c r="AL965" s="141"/>
      <c r="AM965" s="141"/>
      <c r="AN965" s="141"/>
    </row>
    <row r="966" spans="1:40" ht="14.5" x14ac:dyDescent="0.35">
      <c r="A966" s="373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  <c r="AE966" s="141"/>
      <c r="AF966" s="141"/>
      <c r="AG966" s="141"/>
      <c r="AH966" s="141"/>
      <c r="AI966" s="141"/>
      <c r="AJ966" s="141"/>
      <c r="AK966" s="141"/>
      <c r="AL966" s="141"/>
      <c r="AM966" s="141"/>
      <c r="AN966" s="141"/>
    </row>
    <row r="967" spans="1:40" ht="14.5" x14ac:dyDescent="0.35">
      <c r="A967" s="373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  <c r="AE967" s="141"/>
      <c r="AF967" s="141"/>
      <c r="AG967" s="141"/>
      <c r="AH967" s="141"/>
      <c r="AI967" s="141"/>
      <c r="AJ967" s="141"/>
      <c r="AK967" s="141"/>
      <c r="AL967" s="141"/>
      <c r="AM967" s="141"/>
      <c r="AN967" s="141"/>
    </row>
    <row r="968" spans="1:40" ht="14.5" x14ac:dyDescent="0.35">
      <c r="A968" s="373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  <c r="AE968" s="141"/>
      <c r="AF968" s="141"/>
      <c r="AG968" s="141"/>
      <c r="AH968" s="141"/>
      <c r="AI968" s="141"/>
      <c r="AJ968" s="141"/>
      <c r="AK968" s="141"/>
      <c r="AL968" s="141"/>
      <c r="AM968" s="141"/>
      <c r="AN968" s="141"/>
    </row>
    <row r="969" spans="1:40" ht="14.5" x14ac:dyDescent="0.35">
      <c r="A969" s="373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  <c r="AE969" s="141"/>
      <c r="AF969" s="141"/>
      <c r="AG969" s="141"/>
      <c r="AH969" s="141"/>
      <c r="AI969" s="141"/>
      <c r="AJ969" s="141"/>
      <c r="AK969" s="141"/>
      <c r="AL969" s="141"/>
      <c r="AM969" s="141"/>
      <c r="AN969" s="141"/>
    </row>
    <row r="970" spans="1:40" ht="14.5" x14ac:dyDescent="0.35">
      <c r="A970" s="373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  <c r="AE970" s="141"/>
      <c r="AF970" s="141"/>
      <c r="AG970" s="141"/>
      <c r="AH970" s="141"/>
      <c r="AI970" s="141"/>
      <c r="AJ970" s="141"/>
      <c r="AK970" s="141"/>
      <c r="AL970" s="141"/>
      <c r="AM970" s="141"/>
      <c r="AN970" s="141"/>
    </row>
    <row r="971" spans="1:40" ht="14.5" x14ac:dyDescent="0.35">
      <c r="A971" s="373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  <c r="AE971" s="141"/>
      <c r="AF971" s="141"/>
      <c r="AG971" s="141"/>
      <c r="AH971" s="141"/>
      <c r="AI971" s="141"/>
      <c r="AJ971" s="141"/>
      <c r="AK971" s="141"/>
      <c r="AL971" s="141"/>
      <c r="AM971" s="141"/>
      <c r="AN971" s="141"/>
    </row>
    <row r="972" spans="1:40" ht="14.5" x14ac:dyDescent="0.35">
      <c r="A972" s="373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  <c r="AE972" s="141"/>
      <c r="AF972" s="141"/>
      <c r="AG972" s="141"/>
      <c r="AH972" s="141"/>
      <c r="AI972" s="141"/>
      <c r="AJ972" s="141"/>
      <c r="AK972" s="141"/>
      <c r="AL972" s="141"/>
      <c r="AM972" s="141"/>
      <c r="AN972" s="141"/>
    </row>
    <row r="973" spans="1:40" ht="14.5" x14ac:dyDescent="0.35">
      <c r="A973" s="373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  <c r="AE973" s="141"/>
      <c r="AF973" s="141"/>
      <c r="AG973" s="141"/>
      <c r="AH973" s="141"/>
      <c r="AI973" s="141"/>
      <c r="AJ973" s="141"/>
      <c r="AK973" s="141"/>
      <c r="AL973" s="141"/>
      <c r="AM973" s="141"/>
      <c r="AN973" s="141"/>
    </row>
    <row r="974" spans="1:40" ht="14.5" x14ac:dyDescent="0.35">
      <c r="A974" s="373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  <c r="AE974" s="141"/>
      <c r="AF974" s="141"/>
      <c r="AG974" s="141"/>
      <c r="AH974" s="141"/>
      <c r="AI974" s="141"/>
      <c r="AJ974" s="141"/>
      <c r="AK974" s="141"/>
      <c r="AL974" s="141"/>
      <c r="AM974" s="141"/>
      <c r="AN974" s="141"/>
    </row>
    <row r="975" spans="1:40" ht="14.5" x14ac:dyDescent="0.35">
      <c r="A975" s="373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  <c r="AE975" s="141"/>
      <c r="AF975" s="141"/>
      <c r="AG975" s="141"/>
      <c r="AH975" s="141"/>
      <c r="AI975" s="141"/>
      <c r="AJ975" s="141"/>
      <c r="AK975" s="141"/>
      <c r="AL975" s="141"/>
      <c r="AM975" s="141"/>
      <c r="AN975" s="141"/>
    </row>
    <row r="976" spans="1:40" ht="14.5" x14ac:dyDescent="0.35">
      <c r="A976" s="373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  <c r="AE976" s="141"/>
      <c r="AF976" s="141"/>
      <c r="AG976" s="141"/>
      <c r="AH976" s="141"/>
      <c r="AI976" s="141"/>
      <c r="AJ976" s="141"/>
      <c r="AK976" s="141"/>
      <c r="AL976" s="141"/>
      <c r="AM976" s="141"/>
      <c r="AN976" s="141"/>
    </row>
    <row r="977" spans="1:40" ht="14.5" x14ac:dyDescent="0.35">
      <c r="A977" s="373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  <c r="AE977" s="141"/>
      <c r="AF977" s="141"/>
      <c r="AG977" s="141"/>
      <c r="AH977" s="141"/>
      <c r="AI977" s="141"/>
      <c r="AJ977" s="141"/>
      <c r="AK977" s="141"/>
      <c r="AL977" s="141"/>
      <c r="AM977" s="141"/>
      <c r="AN977" s="141"/>
    </row>
    <row r="978" spans="1:40" ht="14.5" x14ac:dyDescent="0.35">
      <c r="A978" s="373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  <c r="AE978" s="141"/>
      <c r="AF978" s="141"/>
      <c r="AG978" s="141"/>
      <c r="AH978" s="141"/>
      <c r="AI978" s="141"/>
      <c r="AJ978" s="141"/>
      <c r="AK978" s="141"/>
      <c r="AL978" s="141"/>
      <c r="AM978" s="141"/>
      <c r="AN978" s="141"/>
    </row>
    <row r="979" spans="1:40" ht="14.5" x14ac:dyDescent="0.35">
      <c r="A979" s="373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  <c r="AE979" s="141"/>
      <c r="AF979" s="141"/>
      <c r="AG979" s="141"/>
      <c r="AH979" s="141"/>
      <c r="AI979" s="141"/>
      <c r="AJ979" s="141"/>
      <c r="AK979" s="141"/>
      <c r="AL979" s="141"/>
      <c r="AM979" s="141"/>
      <c r="AN979" s="141"/>
    </row>
    <row r="980" spans="1:40" ht="14.5" x14ac:dyDescent="0.35">
      <c r="A980" s="373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  <c r="AE980" s="141"/>
      <c r="AF980" s="141"/>
      <c r="AG980" s="141"/>
      <c r="AH980" s="141"/>
      <c r="AI980" s="141"/>
      <c r="AJ980" s="141"/>
      <c r="AK980" s="141"/>
      <c r="AL980" s="141"/>
      <c r="AM980" s="141"/>
      <c r="AN980" s="141"/>
    </row>
    <row r="981" spans="1:40" ht="14.5" x14ac:dyDescent="0.35">
      <c r="A981" s="373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  <c r="AE981" s="141"/>
      <c r="AF981" s="141"/>
      <c r="AG981" s="141"/>
      <c r="AH981" s="141"/>
      <c r="AI981" s="141"/>
      <c r="AJ981" s="141"/>
      <c r="AK981" s="141"/>
      <c r="AL981" s="141"/>
      <c r="AM981" s="141"/>
      <c r="AN981" s="141"/>
    </row>
    <row r="982" spans="1:40" ht="14.5" x14ac:dyDescent="0.35">
      <c r="A982" s="373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  <c r="AE982" s="141"/>
      <c r="AF982" s="141"/>
      <c r="AG982" s="141"/>
      <c r="AH982" s="141"/>
      <c r="AI982" s="141"/>
      <c r="AJ982" s="141"/>
      <c r="AK982" s="141"/>
      <c r="AL982" s="141"/>
      <c r="AM982" s="141"/>
      <c r="AN982" s="141"/>
    </row>
    <row r="983" spans="1:40" ht="14.5" x14ac:dyDescent="0.35">
      <c r="A983" s="373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  <c r="AE983" s="141"/>
      <c r="AF983" s="141"/>
      <c r="AG983" s="141"/>
      <c r="AH983" s="141"/>
      <c r="AI983" s="141"/>
      <c r="AJ983" s="141"/>
      <c r="AK983" s="141"/>
      <c r="AL983" s="141"/>
      <c r="AM983" s="141"/>
      <c r="AN983" s="141"/>
    </row>
    <row r="984" spans="1:40" ht="14.5" x14ac:dyDescent="0.35">
      <c r="A984" s="373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  <c r="AE984" s="141"/>
      <c r="AF984" s="141"/>
      <c r="AG984" s="141"/>
      <c r="AH984" s="141"/>
      <c r="AI984" s="141"/>
      <c r="AJ984" s="141"/>
      <c r="AK984" s="141"/>
      <c r="AL984" s="141"/>
      <c r="AM984" s="141"/>
      <c r="AN984" s="141"/>
    </row>
    <row r="985" spans="1:40" ht="14.5" x14ac:dyDescent="0.35">
      <c r="A985" s="373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  <c r="AE985" s="141"/>
      <c r="AF985" s="141"/>
      <c r="AG985" s="141"/>
      <c r="AH985" s="141"/>
      <c r="AI985" s="141"/>
      <c r="AJ985" s="141"/>
      <c r="AK985" s="141"/>
      <c r="AL985" s="141"/>
      <c r="AM985" s="141"/>
      <c r="AN985" s="141"/>
    </row>
    <row r="986" spans="1:40" ht="14.5" x14ac:dyDescent="0.35">
      <c r="A986" s="373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  <c r="AE986" s="141"/>
      <c r="AF986" s="141"/>
      <c r="AG986" s="141"/>
      <c r="AH986" s="141"/>
      <c r="AI986" s="141"/>
      <c r="AJ986" s="141"/>
      <c r="AK986" s="141"/>
      <c r="AL986" s="141"/>
      <c r="AM986" s="141"/>
      <c r="AN986" s="141"/>
    </row>
    <row r="987" spans="1:40" ht="14.5" x14ac:dyDescent="0.35">
      <c r="A987" s="373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  <c r="AE987" s="141"/>
      <c r="AF987" s="141"/>
      <c r="AG987" s="141"/>
      <c r="AH987" s="141"/>
      <c r="AI987" s="141"/>
      <c r="AJ987" s="141"/>
      <c r="AK987" s="141"/>
      <c r="AL987" s="141"/>
      <c r="AM987" s="141"/>
      <c r="AN987" s="141"/>
    </row>
    <row r="988" spans="1:40" ht="14.5" x14ac:dyDescent="0.35">
      <c r="A988" s="373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  <c r="AE988" s="141"/>
      <c r="AF988" s="141"/>
      <c r="AG988" s="141"/>
      <c r="AH988" s="141"/>
      <c r="AI988" s="141"/>
      <c r="AJ988" s="141"/>
      <c r="AK988" s="141"/>
      <c r="AL988" s="141"/>
      <c r="AM988" s="141"/>
      <c r="AN988" s="141"/>
    </row>
    <row r="989" spans="1:40" ht="14.5" x14ac:dyDescent="0.35">
      <c r="A989" s="373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  <c r="AE989" s="141"/>
      <c r="AF989" s="141"/>
      <c r="AG989" s="141"/>
      <c r="AH989" s="141"/>
      <c r="AI989" s="141"/>
      <c r="AJ989" s="141"/>
      <c r="AK989" s="141"/>
      <c r="AL989" s="141"/>
      <c r="AM989" s="141"/>
      <c r="AN989" s="141"/>
    </row>
    <row r="990" spans="1:40" ht="14.5" x14ac:dyDescent="0.35">
      <c r="A990" s="373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  <c r="AE990" s="141"/>
      <c r="AF990" s="141"/>
      <c r="AG990" s="141"/>
      <c r="AH990" s="141"/>
      <c r="AI990" s="141"/>
      <c r="AJ990" s="141"/>
      <c r="AK990" s="141"/>
      <c r="AL990" s="141"/>
      <c r="AM990" s="141"/>
      <c r="AN990" s="141"/>
    </row>
    <row r="991" spans="1:40" ht="14.5" x14ac:dyDescent="0.35">
      <c r="A991" s="373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  <c r="AE991" s="141"/>
      <c r="AF991" s="141"/>
      <c r="AG991" s="141"/>
      <c r="AH991" s="141"/>
      <c r="AI991" s="141"/>
      <c r="AJ991" s="141"/>
      <c r="AK991" s="141"/>
      <c r="AL991" s="141"/>
      <c r="AM991" s="141"/>
      <c r="AN991" s="141"/>
    </row>
    <row r="992" spans="1:40" ht="14.5" x14ac:dyDescent="0.35">
      <c r="A992" s="373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  <c r="AE992" s="141"/>
      <c r="AF992" s="141"/>
      <c r="AG992" s="141"/>
      <c r="AH992" s="141"/>
      <c r="AI992" s="141"/>
      <c r="AJ992" s="141"/>
      <c r="AK992" s="141"/>
      <c r="AL992" s="141"/>
      <c r="AM992" s="141"/>
      <c r="AN992" s="14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"/>
  <sheetViews>
    <sheetView workbookViewId="0"/>
  </sheetViews>
  <sheetFormatPr defaultColWidth="14.453125" defaultRowHeight="15" customHeight="1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Sheet4</vt:lpstr>
      <vt:lpstr>JAN</vt:lpstr>
      <vt:lpstr>FEB</vt:lpstr>
      <vt:lpstr>mar</vt:lpstr>
      <vt:lpstr>april</vt:lpstr>
      <vt:lpstr>JULY </vt:lpstr>
      <vt:lpstr>BABY ANN</vt:lpstr>
      <vt:lpstr>CHRISTIAN</vt:lpstr>
      <vt:lpstr>RENOR</vt:lpstr>
      <vt:lpstr>JUMAR</vt:lpstr>
      <vt:lpstr>Sheet10</vt:lpstr>
      <vt:lpstr>ANUAL CONSO</vt:lpstr>
      <vt:lpstr>COMPARISON</vt:lpstr>
      <vt:lpstr>OCT. 2025 - CONSO</vt:lpstr>
      <vt:lpstr>NOV. 2025 - CONSO</vt:lpstr>
      <vt:lpstr>JAN 2026-CONSO</vt:lpstr>
      <vt:lpstr>DEC. 2026-CONSO</vt:lpstr>
      <vt:lpstr>FEB 2026-CONSO</vt:lpstr>
      <vt:lpstr>MAR 2026-CONSO</vt:lpstr>
      <vt:lpstr>APRIL 2026-CONSO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Shinji Nuevo</dc:creator>
  <cp:lastModifiedBy>User</cp:lastModifiedBy>
  <dcterms:created xsi:type="dcterms:W3CDTF">2024-02-02T03:47:00Z</dcterms:created>
  <dcterms:modified xsi:type="dcterms:W3CDTF">2026-08-22T03:07:51Z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2B44F5DC43B54D34B4CDC511742A8A05_12</vt:lpwstr>
  </property>
  <property fmtid="{D5CDD505-2E9C-101B-9397-08002B2CF9AE}" pid="3" name="KSOProductBuildVer">
    <vt:lpwstr>1033-12.2.0.23196</vt:lpwstr>
  </property>
</Properties>
</file>