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xr:revisionPtr revIDLastSave="515" documentId="11_019F544064532C407BBD4EAB6382DDCAE5ADC6B0" xr6:coauthVersionLast="47" xr6:coauthVersionMax="47" xr10:uidLastSave="{33140875-03E6-4B6A-BF79-7BFD9EE6AF0B}"/>
  <bookViews>
    <workbookView xWindow="0" yWindow="0" windowWidth="0" windowHeight="0" firstSheet="13" activeTab="13" xr2:uid="{00000000-000D-0000-FFFF-FFFF00000000}"/>
  </bookViews>
  <sheets>
    <sheet name="WINDOWS 11 PRO" sheetId="1" r:id="rId1"/>
    <sheet name="INTERNET" sheetId="2" r:id="rId2"/>
    <sheet name="COTIZACION HOSTING" sheetId="4" r:id="rId3"/>
    <sheet name="VISUAL STUDIO" sheetId="5" r:id="rId4"/>
    <sheet name="PHOTOSHOP" sheetId="6" r:id="rId5"/>
    <sheet name="WINDOWS SERVER" sheetId="7" r:id="rId6"/>
    <sheet name="ANTIVIRUS" sheetId="8" r:id="rId7"/>
    <sheet name="OFFICE 365" sheetId="9" r:id="rId8"/>
    <sheet name="MOUSE" sheetId="10" r:id="rId9"/>
    <sheet name="TECLADO" sheetId="11" r:id="rId10"/>
    <sheet name="computador diseñador" sheetId="17" r:id="rId11"/>
    <sheet name="computador administrador" sheetId="12" r:id="rId12"/>
    <sheet name="COMPUTADOR DESARROLLADOR" sheetId="13" r:id="rId13"/>
    <sheet name="GESTOR DE BASE DE DATOS" sheetId="16" r:id="rId14"/>
    <sheet name="MEMORIA RAM" sheetId="15" r:id="rId15"/>
    <sheet name="MONITOR " sheetId="1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IBepbvADbxHJsi/CF0MjozFnlMr29zZM/6z2T1U6GPU="/>
    </ext>
  </extLst>
</workbook>
</file>

<file path=xl/calcChain.xml><?xml version="1.0" encoding="utf-8"?>
<calcChain xmlns="http://schemas.openxmlformats.org/spreadsheetml/2006/main">
  <c r="E9" i="16" l="1"/>
  <c r="F9" i="16"/>
  <c r="G9" i="16" s="1"/>
  <c r="H9" i="16" s="1"/>
  <c r="H10" i="2"/>
  <c r="H8" i="2"/>
  <c r="E9" i="2"/>
  <c r="F10" i="2"/>
  <c r="E9" i="4"/>
  <c r="H10" i="4"/>
  <c r="H8" i="4"/>
  <c r="E8" i="2"/>
  <c r="E10" i="2"/>
  <c r="H8" i="16"/>
  <c r="E8" i="1"/>
  <c r="G10" i="8"/>
  <c r="G10" i="5"/>
  <c r="H10" i="15"/>
  <c r="G10" i="15"/>
  <c r="F10" i="15"/>
  <c r="E10" i="15"/>
  <c r="H10" i="13"/>
  <c r="G10" i="13"/>
  <c r="F10" i="13"/>
  <c r="E10" i="13"/>
  <c r="H10" i="12"/>
  <c r="F8" i="12"/>
  <c r="E8" i="12"/>
  <c r="H10" i="17"/>
  <c r="F10" i="17"/>
  <c r="E10" i="17"/>
  <c r="E9" i="17"/>
  <c r="E8" i="17"/>
  <c r="G10" i="17"/>
  <c r="F10" i="9"/>
  <c r="E10" i="9"/>
  <c r="H9" i="9"/>
  <c r="E9" i="9"/>
  <c r="G8" i="16"/>
  <c r="E10" i="14"/>
  <c r="E9" i="14"/>
  <c r="H8" i="14"/>
  <c r="G8" i="14"/>
  <c r="F8" i="14"/>
  <c r="E8" i="14"/>
  <c r="F10" i="11"/>
  <c r="H9" i="12"/>
  <c r="G9" i="12"/>
  <c r="F9" i="12"/>
  <c r="E9" i="12"/>
  <c r="E9" i="13"/>
  <c r="E8" i="13"/>
  <c r="E10" i="11"/>
  <c r="E9" i="11"/>
  <c r="E8" i="11"/>
  <c r="E10" i="10"/>
  <c r="E9" i="10"/>
  <c r="E8" i="10"/>
  <c r="G10" i="9"/>
  <c r="H10" i="9" s="1"/>
  <c r="G8" i="9"/>
  <c r="H8" i="9" s="1"/>
  <c r="E10" i="8"/>
  <c r="E9" i="8"/>
  <c r="E8" i="8"/>
  <c r="E10" i="7"/>
  <c r="E9" i="7"/>
  <c r="G8" i="7"/>
  <c r="H8" i="7" s="1"/>
  <c r="E10" i="6"/>
  <c r="E9" i="6"/>
  <c r="E8" i="6"/>
  <c r="E10" i="5"/>
  <c r="E9" i="5"/>
  <c r="E8" i="5"/>
  <c r="G10" i="4"/>
  <c r="F9" i="4"/>
  <c r="G9" i="4" s="1"/>
  <c r="H9" i="4" s="1"/>
  <c r="G8" i="4"/>
  <c r="E10" i="1"/>
  <c r="E9" i="1"/>
  <c r="F8" i="17" l="1"/>
  <c r="G8" i="17" s="1"/>
  <c r="H8" i="17" s="1"/>
  <c r="F9" i="17"/>
  <c r="G9" i="17" s="1"/>
  <c r="H9" i="17" s="1"/>
  <c r="G10" i="16"/>
  <c r="H10" i="16" s="1"/>
  <c r="G8" i="15"/>
  <c r="H8" i="15" s="1"/>
  <c r="F9" i="15"/>
  <c r="G9" i="15" s="1"/>
  <c r="H9" i="15" s="1"/>
  <c r="F8" i="1"/>
  <c r="G8" i="1" s="1"/>
  <c r="H8" i="1" s="1"/>
  <c r="F9" i="1"/>
  <c r="G9" i="1" s="1"/>
  <c r="H9" i="1" s="1"/>
  <c r="F10" i="1"/>
  <c r="G10" i="1" s="1"/>
  <c r="H10" i="1" s="1"/>
  <c r="F8" i="2"/>
  <c r="G8" i="2" s="1"/>
  <c r="F9" i="2"/>
  <c r="G9" i="2" s="1"/>
  <c r="H9" i="2" s="1"/>
  <c r="G10" i="2"/>
  <c r="F8" i="5"/>
  <c r="G8" i="5" s="1"/>
  <c r="H8" i="5" s="1"/>
  <c r="F9" i="5"/>
  <c r="G9" i="5" s="1"/>
  <c r="H9" i="5" s="1"/>
  <c r="F10" i="5"/>
  <c r="H10" i="5" s="1"/>
  <c r="F8" i="6"/>
  <c r="G8" i="6" s="1"/>
  <c r="H8" i="6" s="1"/>
  <c r="F9" i="6"/>
  <c r="G9" i="6" s="1"/>
  <c r="H9" i="6" s="1"/>
  <c r="F10" i="6"/>
  <c r="G10" i="6" s="1"/>
  <c r="H10" i="6" s="1"/>
  <c r="F9" i="7"/>
  <c r="G9" i="7" s="1"/>
  <c r="H9" i="7" s="1"/>
  <c r="F10" i="7"/>
  <c r="G10" i="7" s="1"/>
  <c r="H10" i="7" s="1"/>
  <c r="F8" i="8"/>
  <c r="G8" i="8" s="1"/>
  <c r="H8" i="8" s="1"/>
  <c r="F9" i="8"/>
  <c r="G9" i="8" s="1"/>
  <c r="H9" i="8" s="1"/>
  <c r="F10" i="8"/>
  <c r="H10" i="8" s="1"/>
  <c r="G9" i="9"/>
  <c r="F8" i="10"/>
  <c r="G8" i="10" s="1"/>
  <c r="H8" i="10" s="1"/>
  <c r="F9" i="10"/>
  <c r="G9" i="10" s="1"/>
  <c r="H9" i="10" s="1"/>
  <c r="F10" i="10"/>
  <c r="G10" i="10" s="1"/>
  <c r="H10" i="10" s="1"/>
  <c r="F8" i="11"/>
  <c r="G8" i="11" s="1"/>
  <c r="H8" i="11" s="1"/>
  <c r="F9" i="11"/>
  <c r="G9" i="11" s="1"/>
  <c r="H9" i="11" s="1"/>
  <c r="G10" i="11"/>
  <c r="H10" i="11" s="1"/>
  <c r="G8" i="12"/>
  <c r="H8" i="12" s="1"/>
  <c r="G10" i="12"/>
  <c r="F8" i="13"/>
  <c r="G8" i="13" s="1"/>
  <c r="H8" i="13" s="1"/>
  <c r="F9" i="13"/>
  <c r="G9" i="13" s="1"/>
  <c r="H9" i="13" s="1"/>
  <c r="F9" i="14"/>
  <c r="G9" i="14" s="1"/>
  <c r="H9" i="14" s="1"/>
  <c r="F10" i="14"/>
  <c r="G10" i="14" s="1"/>
  <c r="H10" i="14" s="1"/>
</calcChain>
</file>

<file path=xl/sharedStrings.xml><?xml version="1.0" encoding="utf-8"?>
<sst xmlns="http://schemas.openxmlformats.org/spreadsheetml/2006/main" count="514" uniqueCount="159">
  <si>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</si>
  <si>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</si>
  <si>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</si>
  <si>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</si>
  <si>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</si>
  <si>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</si>
  <si>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</si>
  <si>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</si>
  <si>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</si>
  <si>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</si>
  <si>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</si>
  <si>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</si>
  <si>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</si>
  <si>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Microsoft</t>
  </si>
  <si>
    <t>Comprar Windows 11 Pro: Microsoft Store Colombia</t>
  </si>
  <si>
    <t>windows 11 pro</t>
  </si>
  <si>
    <t>cuenta de ahorros</t>
  </si>
  <si>
    <t>cifrado de bitlocker    actualizaciones de windows para empresas directivas de gupo local conexion a dominio enla red hyper v</t>
  </si>
  <si>
    <t xml:space="preserve">Nº2 </t>
  </si>
  <si>
    <t>tecnoshopping</t>
  </si>
  <si>
    <t>LICENCIA WINDOWS 11 PROFESSIONAL – Tecno Shopping</t>
  </si>
  <si>
    <t>Nº 3</t>
  </si>
  <si>
    <t>tauretcomputadores</t>
  </si>
  <si>
    <t>Licencia Windows 11 Profesional</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</si>
  <si>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</si>
  <si>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</si>
  <si>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rgb="FF000000"/>
        <rFont val="Trebuchet MS"/>
      </rPr>
      <t xml:space="preserve">Empresa
</t>
    </r>
    <r>
      <rPr>
        <i/>
        <sz val="8"/>
        <color rgb="FF000000"/>
        <rFont val="Trebuchet MS"/>
      </rPr>
      <t>(Nombre fiscal de la empresa)</t>
    </r>
  </si>
  <si>
    <t>Movistar</t>
  </si>
  <si>
    <t>https://ofertas.movistarempresas.com/co-planes-multiproducto-home?utm_source=GOOGLE-SEM&amp;utm_medium=SEM_SEM_CPA&amp;utm_campaign=CO_MARCA_COL-PUREBRAND-1KW-B2B_23-07-03_SEM_LDS-WEB_AON_ABT_BRAND&amp;utm_term=MOVISTAR-EMPRESAS&amp;utm_content=ABT_LDS-WEB&amp;gad_source=1&amp;gclid=Cj0KCQjww5u2BhDeARIsALBuLnP5ciZX0R_UdO6wcJmnUtzbOK0T4bBctbmlZPqEej4fAPt3JUtcZm4aAjS1EALw_wcB</t>
  </si>
  <si>
    <t>Internet Fijo 500MB</t>
  </si>
  <si>
    <t>Internet 500 mbps</t>
  </si>
  <si>
    <t>Tigo</t>
  </si>
  <si>
    <t>https://www.tigo.com.co/empresas/promo/fijo?parametro1=search&amp;parametro2=sem&amp;parametro3=co-b2b-mkt_search_performance_b2b_btwfijokitbta_sem_cpl_bta_category&amp;gad_source=1&amp;gclid=Cj0KCQjww5u2BhDeARIsALBuLnPSMbpxpoSHc4di4JAG3nKTjgbEHFj2_o-8zvOU4I3-sglyV34tEw8aAnK8EALw_wcB&amp;gclsrc=aw.ds</t>
  </si>
  <si>
    <t>Internet  500 mbps</t>
  </si>
  <si>
    <t>ETB</t>
  </si>
  <si>
    <t>https://ofertasetb.com.co/index.php?tsource_url=005_g+m_negocios_etb_fr%20CPA%20OBJETIVO_empresas%20(CON%20PRECAUCION)_6017940423_&amp;zona=bogota&amp;gad_source=1&amp;gclid=Cj0KCQjww5u2BhDeARIsALBuLnPk179bqwLQeA-t2KImZPkLRVtfYJfCYCeCygaZl6tD7vEphAcbtgIaApGoEALw_wcB</t>
  </si>
  <si>
    <t>Siteground</t>
  </si>
  <si>
    <t>https://es.siteground.com/hosting-web.htm?recommend=GrowBig#view-growbig</t>
  </si>
  <si>
    <t>hosting</t>
  </si>
  <si>
    <t xml:space="preserve">40 GB de almacenamiento
Dominio gratis </t>
  </si>
  <si>
    <t>hostgator</t>
  </si>
  <si>
    <t>https://www.hostgator.co/web-hosting-quiero-mi-web?gad_source=1&amp;gclid=Cj0KCQjww5u2BhDeARIsALBuLnNG03VkETgMkuBLmjgdcNw8AUNM8fW8Bj5LM-x4I7mApep4g-RHPnUaAoBkEALw_wcB</t>
  </si>
  <si>
    <t>50 gb de almacenamiento dominio gratis por una año</t>
  </si>
  <si>
    <t>bluehost</t>
  </si>
  <si>
    <t>https://www.bluehost.com/?utm_campaign=bh_brand_exact_PPC&amp;utm_source=googleads&amp;utm_medium=brandsearch&amp;channelid=P99C100S570N0B5578A2D4499E0000V121&amp;ds_k=bluehost&amp;gad_source=1&amp;gclid=Cj0KCQjww5u2BhDeARIsALBuLnO1iPlAiAqFOhIiAO0yBFQBm8uEkXoizSnuBHkQzOqvS50A2ydMlQQaAmc8EALw_wcB&amp;gclsrc=aw.ds</t>
  </si>
  <si>
    <t>aaaa</t>
  </si>
  <si>
    <t>https://www.microsoft.com/es-co/d/visual-studio-professional-2022/dg7gmgf0d3sj</t>
  </si>
  <si>
    <t>Visual Studio Professional 2022</t>
  </si>
  <si>
    <t>Visual Studio Professional 2022
 es la última edición del entorno de desarrollo integrado (IDE) de Microsoft, diseñado para profesionales del desarrollo de software que buscan una herramienta poderosa y versátil para crear aplicaciones modernas. Este software ofrece soporte completo para programar en varios lenguajes, incluidos C#, Visual Basic, C++, Python, JavaScript y más, permitiendo a los desarrolladores construir soluciones para Windows, Android, iOS y la web.
Visual Studio Professional 2022 introduce mejoras significativas en velocidad y rendimiento, incluyendo tiempos de carga más rápidos y una experiencia de usuario optimizada que facilita la navegación y gestión del código fuente. Además, esta versión está equipada con herramientas avanzadas de diagnóstico y depuración que ayudan a identificar y resolver problemas rápidamente, mejorando la eficiencia del desarrollo.
Una característica destacada de este IDE es su integración mejorada con Git, proporcionando una gestión de versiones más fluida y un soporte ampliado para colaboraciones en equipo, incluso en proyectos grandes. El software también ofrece personalización a través de una extensa galería de extensiones que se pueden adaptar a las necesidades específicas de cada proyecto.
Elige este entorno para llevar tu desarrollo de software al siguiente nivel, aprovechando sus capacidades avanzadas y su soporte integral para desarrollar aplicaciones de alta calidad en una plataforma robusta y confiable.</t>
  </si>
  <si>
    <t>BlitzHandel</t>
  </si>
  <si>
    <t>https://blitzhandel24.com/co/microsoft-visual-studio-2022-professional?sPartner=g_s_CO&amp;number=241821873</t>
  </si>
  <si>
    <t>Garcia Comunicaciones</t>
  </si>
  <si>
    <t>https://www.garciacomunicaciones.com/producto/visual-studio-professional-2019-con-msdn/</t>
  </si>
  <si>
    <t>Adobe</t>
  </si>
  <si>
    <t>https://commerce.adobe.com/store/email?items[0][id]=BE54FE5A3A924EF79C17EE1B9995CAB4&amp;co=CO&amp;lang=es&amp;cli=creative&amp;promoid=PYPVPZQK&amp;mv=other</t>
  </si>
  <si>
    <t>Creative Cloud todas las aplicaciones.</t>
  </si>
  <si>
    <t>Más de 20 aplicaciones, incluidas Photoshop con Relleno Generativo, Acrobat Pro y muchas más (las aplicaciones de Substance 3D no están incluidas). Con cancelación gratis en un plazo de 14 días</t>
  </si>
  <si>
    <t>G2A</t>
  </si>
  <si>
    <t>https://www.g2a.com/es/adobe-creative-cloud-pc-1-month-adobe-key-global-i10000195108002</t>
  </si>
  <si>
    <t>Adobe Creative cloud (PC) 1 month</t>
  </si>
  <si>
    <t>Falabella</t>
  </si>
  <si>
    <t>https://www.falabella.com.co/falabella-co/product/132849394/Adobe-Creative-Cloud-1-Mes/132849395</t>
  </si>
  <si>
    <t>Adobe Creative cloud 1 mes</t>
  </si>
  <si>
    <t>https://www.microsoft.com/en-us/d/windows-server-2022-standard-cal/dg7gmgf0d6m5?activetab=pivot:overviewtab</t>
  </si>
  <si>
    <t>Windows Server 2022 Standard CAL 16 Core License Pack + 10 CALS</t>
  </si>
  <si>
    <t>Cuenta de ahorros</t>
  </si>
  <si>
    <t>Windows Server 2022 se basa en la sólida base de Windows Server 2019 y ofrece muchas innovaciones en tres temas importantes: Seguridad, integración híbrida y gestión en Azure, y la plataforma de aplicaciones.
Las licencias complementarias de 2, 4 o 16 núcleos sirven para completar las necesidades de licencia más allá de los 16 o 24 núcleos de la licencia base de Windows Server Standard 2022.
(Windows Server Standard 2022 se licencia por núcleo)
Sistema operativo
Microsoft Windows Server 2022 Standard
Tipo de producto
Licencia</t>
  </si>
  <si>
    <t>https://blitzhandel24.com/co/microsoft-windows-server-2022-standard-core-addon?sPartner=g_s_CO&amp;number=241822038.2&amp;gad_source=1</t>
  </si>
  <si>
    <t xml:space="preserve">Microsoft Windows Server 2022 Standard Core AddOn
</t>
  </si>
  <si>
    <t>Garcia Comuniaciones</t>
  </si>
  <si>
    <t>https://www.garciacomunicaciones.com/producto/cloud-computing-windows-server-2022-standard-16-core/</t>
  </si>
  <si>
    <t>Windows Server 2022 Standard - 16 Core</t>
  </si>
  <si>
    <t>Mcafee Total Protection</t>
  </si>
  <si>
    <t>https://www.mcafee.com/es-co/ipz/feyncart/2web/payment.html?ddown=false&amp;csrc=google&amp;csrcl2=pla-shopping&amp;cctype=desktop-brand&amp;ccstype=&amp;ccoe=direct&amp;ccoel2=sem&amp;pkg_id=537&amp;affid=1490&amp;utm_source=bing&amp;utm_medium=paidsearch&amp;utm_campaign=PMax%3A+es-co%3AShopping%3ASmart&amp;utm_content=&amp;utm_term=&amp;gad_source=1&amp;gclsrc=ds&amp;moguid=d8abd1b7-4fc0-4acd-96ee-84f2ffe69014&amp;culture=es-co&amp;pkgCode=535&amp;pt=1yp&amp;fp=174000.0&amp;curCode=COP&amp;btnSec=hero&amp;cseg=default&amp;cexp=&amp;ccta=535%3A1yp%3A174000.0%3Acop%3Ahero&amp;ccpubn=es-co%3Alp%3Adirect%3Asem%3Ashopping%40%3Adefault%40535%3A1yp%3A174000.0%3Acop%3Ahero&amp;ccpun=es-co%3Alp%3Adirect%3Asem%3Ashopping%40%3Adefault&amp;ccpn=es-co%3Alp%3Adirect%3Asem%3Ashopping&amp;cls=0&amp;cupf=0&amp;cafcat=&amp;ak_culture=&amp;ipst=&amp;ipcon=&amp;tm_local_lp_ab_test_variant=</t>
  </si>
  <si>
    <t>Antivirus McAfee</t>
  </si>
  <si>
    <t>Licencia para activar McAfee Total Protection
Válida para 5 PCs por un año
Funciona en Windows, Mac y Celulares.
Puede activar en celulares y PC simultáneamente
Apta para todos los Windows desde Windows 8.1
Descarga el producto desde la página oficial</t>
  </si>
  <si>
    <t>PanaMericana</t>
  </si>
  <si>
    <t>https://www.panamericana.com.co/mcafee-total-protection-5-dispositivos-por-un-ano-631702/p?idsku=631702</t>
  </si>
  <si>
    <t>3 Clics</t>
  </si>
  <si>
    <t>https://3clics.co/index.php/es/computacion-y-software-2/mcafee-total-protection-5-dispositivos-por-1-a%C3%B1o-965-detail</t>
  </si>
  <si>
    <t>Antivirus Mcafee</t>
  </si>
  <si>
    <t>https://www.microsoft.com/es-co/microsoft-365/enterprise/office365-plans-and-pricing?ef_id=_k_CjwKCAjw5Ky1BhAgEiwA5jGujixo99JYIeugN6dqQsrphGavF28qUYMVVL_VsrxHn5qEesPzSI4f1hoCPgMQAvD_BwE_k_&amp;OCID=AIDcmmpw76nrjm_SEM__k_CjwKCAjw5Ky1BhAgEiwA5jGujixo99JYIeugN6dqQsrphGavF28qUYMVVL_VsrxHn5qEesPzSI4f1hoCPgMQAvD_BwE_k_&amp;gad_source=1&amp;gclid=CjwKCAjw5Ky1BhAgEiwA5jGujixo99JYIeugN6dqQsrphGavF28qUYMVVL_VsrxHn5qEesPzSI4f1hoCPgMQAvD_BwE</t>
  </si>
  <si>
    <t>office 365</t>
  </si>
  <si>
    <t xml:space="preserve">
Microsoft 365 en la Web con permisos de creación y edición para las versiones online de las Aplicaciones de Microsoft 365 principales
Instala aplicaciones hasta en cinco PC, cinco tabletas y cinco dispositivos móviles17
1 TB de almacenamiento en la nube de OneDrive
Soporte ininterrumpido por teléfono y a través de la Web
Copilot para Microsoft 365 está disponible como complemento3</t>
  </si>
  <si>
    <t>Gestion system</t>
  </si>
  <si>
    <t>https://gestionsystem.com.co/planes-business-microsoft-365/</t>
  </si>
  <si>
    <t>Licencias y equipos</t>
  </si>
  <si>
    <t>https://www.licenciasyequipos.com/es/susc-mensual-ms-365-con-soporte-partner/26-ms-365-business-standard-mensualusuario-con-soporte-partner.html</t>
  </si>
  <si>
    <t>Exito</t>
  </si>
  <si>
    <t>https://www.exito.com/mouse-usb-genius-dx120-negro-100032191-mp/p?idsku=100032191&amp;srsltid=AfmBOoqy-h-ZcO3kv97QETW_Y_0PWBO4ogxHSheU2QLurtOV44344mfNdMU</t>
  </si>
  <si>
    <t>mouse genius dx120</t>
  </si>
  <si>
    <t>Color BLACK
Interface USB
Sensor Óptico,1000 dpi sensor optico</t>
  </si>
  <si>
    <t>https://www.falabella.com.co/falabella-co/product/129249176/Mouse-Genius-DX-120-USB-Alambrico-BLANCO/129249177</t>
  </si>
  <si>
    <t>Color blanco
Interface USB
Sensor Óptico,1000 dpi sensor optico</t>
  </si>
  <si>
    <t>HELITEB</t>
  </si>
  <si>
    <t>https://heliteb.com/products/mouse-genius-dx120?variant=41180415131853&amp;currency=COP&amp;utm_medium=product_sync&amp;utm_source=google&amp;utm_content=sag_organic&amp;utm_campaign=sag_organic&amp;srsltid=AfmBOoqcqKNZzFds7e7tgrEbCkAc24zNf0x7cRO3B06nhLBaBgf9jbINyJs</t>
  </si>
  <si>
    <t>Tecnonacho</t>
  </si>
  <si>
    <t>https://tecnonacho.com/producto/teclado-usb-genius-slimstar-126/?srsltid=AfmBOorN5mrMgj831owHY4lk1RHywz-i6Sf7hc889XobEmFdx-LGP0lRYxo</t>
  </si>
  <si>
    <t>Teclado USB Genius Slimstar 126</t>
  </si>
  <si>
    <t>Modelo Slimstar 126.
Teclado en español (Ñ) tipo membrana
Color blanco.
Interface USB.
Teclado alámbrico, compatible con Windows 7/8/10.
12 Teclas de multimedia + FN
4 Teclas multimedia independientes.
1 Tecla programable</t>
  </si>
  <si>
    <t>falabella</t>
  </si>
  <si>
    <t>https://www.falabella.com.co/falabella-co/product/124335266/TECLADO-GENIUS-SLIMSTAR-126-QWERTY-ESPANOL-COLOR-NEGRO/124335268</t>
  </si>
  <si>
    <t>Modelo Slimstar 126.
Teclado en español (Ñ) tipo membrana
Color Negro.
Interface USB.
Teclado alámbrico, compatible con Windows 7/8/10.
12 Teclas de multimedia + FN
4 Teclas multimedia independientes.
1 Tecla programable</t>
  </si>
  <si>
    <t>Imaginate</t>
  </si>
  <si>
    <t>https://www.imaginate.com.co/productos/teclado-genius-slimstar-126-qw31310017401genius?srsltid=AfmBOooSjPE_7nFIKyNham5klEqPOayVTWprdQEOwtFjCX2wa8t6AvE9cM4</t>
  </si>
  <si>
    <r>
      <rPr>
        <b/>
        <u/>
        <sz val="10"/>
        <color theme="1"/>
        <rFont val="Trebuchet MS"/>
      </rPr>
      <t xml:space="preserve">Importe Total
 IVA incluido
</t>
    </r>
    <r>
      <rPr>
        <i/>
        <u/>
        <sz val="8"/>
        <color theme="1"/>
        <rFont val="Trebuchet MS"/>
      </rPr>
      <t>(moneda nacional)</t>
    </r>
  </si>
  <si>
    <t>https://www.falabella.com.co/falabella-co/product/133726423/HP-VICTUS-16-D0522LA-CORE-I7-11600H-16GB-DDR4-512GB-SSD-PANT-16,1-FHD-RTX-3050-4GB-WIN-11-AZUL/133726424</t>
  </si>
  <si>
    <t>hp victus</t>
  </si>
  <si>
    <t>16 GB de ram  tarjeta grafica rx3050 nvme 512 6 NUCLEOS / 12 HILOS</t>
  </si>
  <si>
    <t>Olimpica</t>
  </si>
  <si>
    <t>https://www.olimpica.com/portatil-hp-victus-16-d0522la-intel-core-i7-11600h-16gb-ddr4-512gb-ssd-pant-161-fhd---geforce-rtx-3050-4gb-win-11---azul-1002351122/p?idsku=1100125777</t>
  </si>
  <si>
    <t>mercado libre</t>
  </si>
  <si>
    <t>https://www.mercadolibre.com.co/portatil-hp-16-d0522la-i7-11600h-16gb-512gb-ssd-w11/p/MCO36500271?matt_tool=19390127&amp;utm_source=google_shopping&amp;utm_medium=organic&amp;item_id=MCO2586138290&amp;from=gshop</t>
  </si>
  <si>
    <t>&lt;&lt;</t>
  </si>
  <si>
    <t>mymsystech</t>
  </si>
  <si>
    <t>https://mymsystech.com.co/workstation/4423-dell-workstation-precision-5820-tower-intel-xeon-processor-w-2245.html?srsltid=AfmBOoqSFoWck0FyYvc5wz52flAO5VLDSxesk5AO8y3IJrT8l7T0MTrw</t>
  </si>
  <si>
    <t xml:space="preserve">Dell precision Intel Xeon W-2245 </t>
  </si>
  <si>
    <t xml:space="preserve">Dell Workstation Precision 5820 Tower
16GB 2x8GB DDR4 2933MHz/ Nvidia RTX A2000 12GB, 12GB, 4 mDP / M.2 1TB PCIe NVMe Class 40 / processor.
Intel® Xeon® W-2223 (8,25 MB de caché, 4 núcleos, 8 subprocesos, de 3,60 GHz a 3,90 GHz, Turbo, 120 W) 
Windows 11 Pro for Workstations (hasta 4 núcleos), inglés, francés, italiano, portugués y español
Videocard: NVIDIA T400 4 GB, 4 GB, adaptador de 3 mDP a DP (Precision 7920R, 7920T, 7820, 5820, 3930)
Memory: 8 GB: 1 x 8 GB, DDR4, 2933 MT/s, RDIMM, ECC </t>
  </si>
  <si>
    <t>systorecolombia</t>
  </si>
  <si>
    <t>https://systorecolombia.com/workstation/824-dell-precision-5820-intel-xeon-w-2245-16gb-1tb-ssd-tvideo-12gb-w11p-3aanos-.html</t>
  </si>
  <si>
    <t>Dell precision Intel Xeon W-2246</t>
  </si>
  <si>
    <t xml:space="preserve">Intel Xeon W-2245 3.9GHz Base, Sube hasta 4.7 GHz 16.5 MB cache, 8 coresM.2 2280 Nvme PCI-Express 3.0 x4 </t>
  </si>
  <si>
    <t>microcell</t>
  </si>
  <si>
    <t>https://microcell.co/computadores-dell-y-workstation/26114-cpu-workstation-dell-precision-5820-xeon-w-2245-16gb-1tb-ssd-video-12gb-w11p-torre.html</t>
  </si>
  <si>
    <t>Dell precision Intel Xeon W-2247</t>
  </si>
  <si>
    <t>Intel® Xeon® W-2245 (16.5 MB cache, 8 cores, 16 threads, 3.90 GHz to 4.70 GHz Turbo, 155 C4W)/ 16 GB: 2 x 8 GB, DDR4, 2933 MT/s, RDIMM, ECC/  1 TB, M.2</t>
  </si>
  <si>
    <t>Cloneysperifericos</t>
  </si>
  <si>
    <t>https://clonesyperifericos.com/comprar/acer-nitro-5-an515-i5-12450h-rtx-3050-16gb-ddr4-ssd-512gb-nvme/</t>
  </si>
  <si>
    <t xml:space="preserve">Acer Nitro 5 </t>
  </si>
  <si>
    <t>Cuenta de Ahorros</t>
  </si>
  <si>
    <t>(Acer Nitro 5 AN515 i5 12450H, RTX 3050, 16GB DDR4, SSD 512GB NVME) es un portátil diseñado para ofrecer un rendimiento potente y versátil, ideal tanto para juegos como para tareas de productividad. Equipado con un procesador Intel Core i5-12450H y 16GB de RAM DDR4, este portátil garantiza un rendimiento fluido y eficiente. La tarjeta gráfica NVIDIA GeForce RTX 3050 proporciona excelentes visuales y es capaz de manejar juegos modernos con configuraciones altas. Además, cuenta con un SSD NVMe de 512GB, que asegura tiempos de arranque rápidos y acceso veloz a tus archivos y aplicaciones. La pantalla de 15.6 pulgadas Full HD (1920 x 1080) ofrece imágenes claras y vibrantes, mejorando la experiencia visual en juegos y otras actividades.</t>
  </si>
  <si>
    <t>.</t>
  </si>
  <si>
    <t>Mercado libre</t>
  </si>
  <si>
    <t>https://articulo.mercadolibre.com.co/MCO-2431417390-portatil-acer-core-i5-12450h-ram-16gb-ssd-512-rtx-3050-156-_JM?matt_tool=19390127&amp;utm_source=google_shopping&amp;utm_medium=organic</t>
  </si>
  <si>
    <t>(Portatil Acer Core I5 12450h Ram 16gb Ssd 512 Rtx 3050 15.6) es un portátil potente y versátil, ideal tanto para juegos como para tareas de productividad. Está equipado con un procesador Intel Core i5-12450H y 16GB de RAM, lo que garantiza un rendimiento fluido y eficiente. Su tarjeta gráfica NVIDIA GeForce RTX 3050 ofrece excelentes visuales y soporta juegos modernos con buenos ajustes. Además, cuenta con un SSD de 512GB que proporciona tiempos de arranque rápidos y acceso veloz a tus archivos y aplicaciones. La pantalla Full HD de 15.6 pulgadas ofrece imágenes claras y vibrantes, mejorando la experiencia visual en juegos y otras actividades.</t>
  </si>
  <si>
    <t>Compucentro</t>
  </si>
  <si>
    <t>https://compucentro.co/portatil-acer-nitro-an515-intel-ci5-12450h-rtx-3050-ram-16gb-512gb-ssd-15-6-pulgadas/</t>
  </si>
  <si>
    <t>Mongo</t>
  </si>
  <si>
    <t>https://www.mongodb.com/es/pricing</t>
  </si>
  <si>
    <t>gestor de bd</t>
  </si>
  <si>
    <t>Licencia anual, Clúster M0, M2 o M5 Almacenamiento y recursos escalables Copia de seguridad automatizada Alta disponibilidad Seguridad integrada monitoreo y analisis</t>
  </si>
  <si>
    <t>https://donweb.com/es-co/cloud-mongodb-hosting</t>
  </si>
  <si>
    <t>2 vCPUs
2 GB RAM
10 GB SSD
1 TB Transf.</t>
  </si>
  <si>
    <t>IBM</t>
  </si>
  <si>
    <t>https://scalegrid.io/mongodb/?kw=&amp;cpn=21422260304&amp;utm_term=&amp;utm_campaign=MySQL+-+MAX+USCA&amp;utm_source=adwords&amp;utm_medium=ppc&amp;hsa_mt=&amp;hsa_ad=&amp;hsa_net=adwords&amp;hsa_src=x&amp;hsa_kw=&amp;hsa_tgt=&amp;hsa_cam=21422260304&amp;hsa_acc=2428435206&amp;hsa_ver=3&amp;hsa_grp=&amp;gad_source=1&amp;gclid=Cj0KCQjwiuC2BhDSARIsALOVfBIlXEh8Xk7VHQN5ztw_FsBrTzXSb5_wmEa3oUZC-lBwhm41cKPjf10aAh9cEALw_wcB</t>
  </si>
  <si>
    <t>2 gb ram ,30 gb de disco</t>
  </si>
  <si>
    <t>EBAY</t>
  </si>
  <si>
    <t>https://www.ebay.com/itm/226190700493?chn=ps&amp;mkevt=1&amp;mkcid=28</t>
  </si>
  <si>
    <t>MEMORIA  RAM 8 GB 2933 MHZ</t>
  </si>
  <si>
    <t>frecuencia 2933mhz 1 modulo clase ddr4 factor de forma DIMM</t>
  </si>
  <si>
    <t>LASUS</t>
  </si>
  <si>
    <t>https://lasus.com.co/es/memoria-ram-8gb-ddr4-2933-para-mejorar-el-rendimiento-de-tu-computadora</t>
  </si>
  <si>
    <t>GMT_VARITEC</t>
  </si>
  <si>
    <t>https://gmt-varitec-de-colombia.mercadoshops.com.co/MCO-2194394800-memoria-ram-sk-hynix-8gb-gb-1rx8-pc4-2933y-rd1-hma82gr7jjr8n-_JM</t>
  </si>
  <si>
    <t>https://www.mercadolibre.com.co/monitor-gamer-lg-ultragear-24gq50f-24-fhd-165hz-freesync-color-negro/p/MCO20508055#searchVariation%3DMCO20508055%26position%3D1%26search_layout%3Dstack%26type%3Dproduct%26tracking_id%3D8f5c10a4-67f3-4267-bdc5-ac55d985d5da</t>
  </si>
  <si>
    <t>Monitor Gamer Msi G244f Led 24 Full Hd, Freesync, 170hz Color Negro</t>
  </si>
  <si>
    <t>Tamaño de la pantalla: 24 "
Pantalla UHD de 24".
Tiene una resolución de 1920px-1080px.
Relación de aspecto de 16:9.
Panel VA.
Su brillo es de 250cd/m².
Tipos de conexión: VGA/D-Sub, HDMI 1.4.</t>
  </si>
  <si>
    <t>https://www.falabella.com.co/falabella-co/product/132277709/Monitor-Gamer-24GQ50F-B-24-FHD-LG-UltraGear/132277710</t>
  </si>
  <si>
    <t>https://www.exito.com/monitor-lg-gamer-ultragear-fhd-24-165-hz-24gq50f-b-102836530/p?idsku=102836530&amp;srsltid=AfmBOoqYs5Ydj69S27TJID9YG3AIhernu4ueFHwOVohyS064CcGQhzinYr0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</si>
</sst>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 $]#,##0"/>
    <numFmt numFmtId="165" formatCode="[$$]#,##0.00"/>
    <numFmt numFmtId="166" formatCode="_-[$$-240A]\ * #,##0.00_-;\-[$$-240A]\ * #,##0.00_-;_-[$$-240A]\ * &quot;-&quot;??_-;_-@_-"/>
    <numFmt numFmtId="167" formatCode="[$$-409]#,##0.00"/>
    <numFmt numFmtId="168" formatCode="[$$-240A]\ #,##0.0"/>
    <numFmt numFmtId="169" formatCode="_-[$$-409]* #,##0.00_ ;_-[$$-409]* \-#,##0.00\ ;_-[$$-409]* &quot;-&quot;??_ ;_-@_ "/>
    <numFmt numFmtId="170" formatCode="[$ $]#,##0.00"/>
    <numFmt numFmtId="172" formatCode="[$$-240A]\ #,##0.00"/>
    <numFmt numFmtId="173" formatCode="[$$-240A]\ #,##0"/>
    <numFmt numFmtId="177" formatCode="_-[$$-240A]\ * #,##0_-;\-[$$-240A]\ * #,##0_-;_-[$$-240A]\ * &quot;-&quot;_-;_-@_-"/>
  </numFmts>
  <fonts count="23">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rgb="FF0000FF"/>
      <name val="Trebuchet MS"/>
    </font>
    <font>
      <u/>
      <sz val="10"/>
      <color rgb="FF0000FF"/>
      <name val="Arial"/>
    </font>
    <font>
      <sz val="10"/>
      <color theme="1"/>
      <name val="Arial"/>
    </font>
    <font>
      <sz val="10"/>
      <color theme="1"/>
      <name val="Arial Narrow"/>
    </font>
    <font>
      <sz val="10"/>
      <color rgb="FF000000"/>
      <name val="&quot;Trebuchet MS&quot;"/>
    </font>
    <font>
      <sz val="10"/>
      <color rgb="FF000000"/>
      <name val="Trebuchet MS"/>
    </font>
    <font>
      <sz val="10"/>
      <color rgb="FF08085E"/>
      <name val="Arial"/>
    </font>
    <font>
      <sz val="10"/>
      <color theme="1"/>
      <name val="Arial"/>
      <scheme val="minor"/>
    </font>
    <font>
      <i/>
      <sz val="8"/>
      <color theme="1"/>
      <name val="Trebuchet MS"/>
    </font>
    <font>
      <i/>
      <sz val="10"/>
      <color theme="1"/>
      <name val="Trebuchet MS"/>
    </font>
    <font>
      <i/>
      <u/>
      <sz val="8"/>
      <color theme="1"/>
      <name val="Trebuchet MS"/>
    </font>
    <font>
      <i/>
      <sz val="8"/>
      <color theme="1"/>
      <name val="Arial"/>
    </font>
    <font>
      <u/>
      <sz val="10"/>
      <color theme="10"/>
      <name val="Arial"/>
      <scheme val="minor"/>
    </font>
    <font>
      <b/>
      <sz val="10"/>
      <color rgb="FF000000"/>
      <name val="Trebuchet MS"/>
    </font>
    <font>
      <i/>
      <sz val="8"/>
      <color rgb="FF000000"/>
      <name val="Trebuchet MS"/>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FFFFF"/>
        <bgColor indexed="64"/>
      </patternFill>
    </fill>
  </fills>
  <borders count="8">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xf numFmtId="0" fontId="3"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6" fillId="0" borderId="0" xfId="0" applyFont="1" applyAlignment="1">
      <alignment horizontal="center" vertical="center"/>
    </xf>
    <xf numFmtId="0" fontId="3" fillId="3" borderId="3" xfId="0" applyFont="1" applyFill="1" applyBorder="1" applyAlignment="1">
      <alignment horizontal="center" vertical="center"/>
    </xf>
    <xf numFmtId="0" fontId="7" fillId="0" borderId="3" xfId="0" applyFont="1" applyBorder="1" applyAlignment="1">
      <alignment horizontal="center" vertical="top" wrapText="1"/>
    </xf>
    <xf numFmtId="0" fontId="8" fillId="0" borderId="3" xfId="0" applyFont="1" applyBorder="1" applyAlignment="1">
      <alignment horizontal="left" vertical="top" wrapText="1"/>
    </xf>
    <xf numFmtId="164" fontId="7" fillId="0" borderId="3" xfId="0" applyNumberFormat="1" applyFont="1" applyBorder="1" applyAlignment="1">
      <alignment horizontal="center" vertical="top" wrapText="1"/>
    </xf>
    <xf numFmtId="49" fontId="7" fillId="0" borderId="3" xfId="0" applyNumberFormat="1" applyFont="1" applyBorder="1" applyAlignment="1">
      <alignment horizontal="left" vertical="top" wrapText="1"/>
    </xf>
    <xf numFmtId="0" fontId="9" fillId="0" borderId="3" xfId="0" applyFont="1" applyBorder="1" applyAlignment="1">
      <alignment horizontal="left" vertical="top" wrapText="1"/>
    </xf>
    <xf numFmtId="0" fontId="10" fillId="0" borderId="3" xfId="0" applyFont="1" applyBorder="1"/>
    <xf numFmtId="0" fontId="7" fillId="0" borderId="3" xfId="0" applyFont="1" applyBorder="1" applyAlignment="1">
      <alignment horizontal="left" vertical="top" wrapText="1"/>
    </xf>
    <xf numFmtId="0" fontId="11" fillId="0" borderId="0" xfId="0" applyFont="1" applyAlignment="1">
      <alignment horizontal="center" vertical="center" wrapText="1"/>
    </xf>
    <xf numFmtId="0" fontId="10" fillId="0" borderId="0" xfId="0" applyFont="1"/>
    <xf numFmtId="49" fontId="12" fillId="6" borderId="3" xfId="0" applyNumberFormat="1" applyFont="1" applyFill="1" applyBorder="1" applyAlignment="1">
      <alignment horizontal="left"/>
    </xf>
    <xf numFmtId="0" fontId="12" fillId="6" borderId="3" xfId="0" applyFont="1" applyFill="1" applyBorder="1" applyAlignment="1">
      <alignment horizontal="center"/>
    </xf>
    <xf numFmtId="0" fontId="12" fillId="6" borderId="3" xfId="0" applyFont="1" applyFill="1" applyBorder="1" applyAlignment="1">
      <alignment horizontal="center" wrapText="1"/>
    </xf>
    <xf numFmtId="165" fontId="7" fillId="0" borderId="3" xfId="0" applyNumberFormat="1" applyFont="1" applyBorder="1" applyAlignment="1">
      <alignment horizontal="center" vertical="top" wrapText="1"/>
    </xf>
    <xf numFmtId="164" fontId="13" fillId="6" borderId="5" xfId="0" applyNumberFormat="1" applyFont="1" applyFill="1" applyBorder="1" applyAlignment="1">
      <alignment horizontal="center"/>
    </xf>
    <xf numFmtId="49" fontId="7" fillId="0" borderId="3" xfId="0" applyNumberFormat="1" applyFont="1" applyBorder="1" applyAlignment="1">
      <alignment horizontal="center" vertical="top" wrapText="1"/>
    </xf>
    <xf numFmtId="165" fontId="14" fillId="6" borderId="0" xfId="0" applyNumberFormat="1" applyFont="1" applyFill="1" applyAlignment="1">
      <alignment horizontal="center"/>
    </xf>
    <xf numFmtId="0" fontId="15" fillId="0" borderId="0" xfId="0" applyFont="1"/>
    <xf numFmtId="0" fontId="8" fillId="0" borderId="3" xfId="0" applyFont="1" applyBorder="1" applyAlignment="1">
      <alignment horizontal="center" vertical="top" wrapText="1"/>
    </xf>
    <xf numFmtId="0" fontId="13" fillId="7" borderId="3" xfId="0" applyFont="1" applyFill="1" applyBorder="1" applyAlignment="1">
      <alignment wrapText="1"/>
    </xf>
    <xf numFmtId="0" fontId="20" fillId="0" borderId="4" xfId="1" applyBorder="1" applyAlignment="1">
      <alignment horizontal="left" vertical="top" wrapText="1"/>
    </xf>
    <xf numFmtId="0" fontId="4" fillId="0" borderId="6" xfId="0" applyFont="1" applyBorder="1" applyAlignment="1">
      <alignment horizontal="center" vertical="center" wrapText="1"/>
    </xf>
    <xf numFmtId="0" fontId="13" fillId="7" borderId="6" xfId="0" applyFont="1" applyFill="1" applyBorder="1" applyAlignment="1">
      <alignment wrapText="1"/>
    </xf>
    <xf numFmtId="0" fontId="7" fillId="0" borderId="7" xfId="0" applyFont="1" applyBorder="1" applyAlignment="1">
      <alignment horizontal="left" vertical="top" wrapText="1"/>
    </xf>
    <xf numFmtId="166" fontId="14" fillId="6" borderId="5" xfId="0" applyNumberFormat="1" applyFont="1" applyFill="1" applyBorder="1" applyAlignment="1">
      <alignment horizontal="center"/>
    </xf>
    <xf numFmtId="167" fontId="7" fillId="0" borderId="2" xfId="0" applyNumberFormat="1" applyFont="1" applyBorder="1" applyAlignment="1">
      <alignment horizontal="center" vertical="top" wrapText="1"/>
    </xf>
    <xf numFmtId="168" fontId="7" fillId="0" borderId="3" xfId="0" applyNumberFormat="1" applyFont="1" applyBorder="1" applyAlignment="1">
      <alignment horizontal="center" vertical="top" wrapText="1"/>
    </xf>
    <xf numFmtId="0" fontId="20" fillId="0" borderId="3" xfId="1" applyBorder="1" applyAlignment="1">
      <alignment horizontal="center" vertical="top" wrapText="1"/>
    </xf>
    <xf numFmtId="169" fontId="7" fillId="0" borderId="3" xfId="0" applyNumberFormat="1" applyFont="1" applyBorder="1" applyAlignment="1">
      <alignment horizontal="center" vertical="top" wrapText="1"/>
    </xf>
    <xf numFmtId="170" fontId="7" fillId="0" borderId="3" xfId="0" applyNumberFormat="1" applyFont="1" applyBorder="1" applyAlignment="1">
      <alignment horizontal="center" vertical="top" wrapText="1"/>
    </xf>
    <xf numFmtId="166" fontId="7" fillId="0" borderId="3" xfId="0" applyNumberFormat="1" applyFont="1" applyBorder="1" applyAlignment="1">
      <alignment horizontal="center" vertical="top" wrapText="1"/>
    </xf>
    <xf numFmtId="0" fontId="20" fillId="0" borderId="3" xfId="1" applyBorder="1" applyAlignment="1">
      <alignment horizontal="left" vertical="top" wrapText="1"/>
    </xf>
    <xf numFmtId="172" fontId="7" fillId="0" borderId="3" xfId="0" applyNumberFormat="1" applyFont="1" applyBorder="1" applyAlignment="1">
      <alignment horizontal="center" vertical="top" wrapText="1"/>
    </xf>
    <xf numFmtId="0" fontId="13" fillId="7" borderId="7" xfId="0" applyFont="1" applyFill="1" applyBorder="1" applyAlignment="1">
      <alignment wrapText="1"/>
    </xf>
    <xf numFmtId="166" fontId="14" fillId="6" borderId="0" xfId="0" applyNumberFormat="1" applyFont="1" applyFill="1" applyAlignment="1">
      <alignment horizontal="center"/>
    </xf>
    <xf numFmtId="0" fontId="21" fillId="0" borderId="3" xfId="0" applyFont="1" applyBorder="1" applyAlignment="1">
      <alignment horizontal="center" vertical="center" wrapText="1"/>
    </xf>
    <xf numFmtId="173" fontId="7" fillId="0" borderId="3" xfId="0" applyNumberFormat="1" applyFont="1" applyBorder="1" applyAlignment="1">
      <alignment horizontal="center" vertical="top" wrapText="1"/>
    </xf>
    <xf numFmtId="0" fontId="1" fillId="0" borderId="0" xfId="0" applyFont="1" applyAlignment="1">
      <alignment horizontal="center" vertical="center"/>
    </xf>
    <xf numFmtId="0" fontId="1" fillId="2" borderId="4" xfId="0" applyFont="1" applyFill="1" applyBorder="1" applyAlignment="1">
      <alignment horizontal="center" vertical="center" wrapText="1"/>
    </xf>
    <xf numFmtId="0" fontId="3" fillId="0" borderId="4" xfId="0" applyFont="1" applyBorder="1" applyAlignment="1">
      <alignment horizontal="left" vertical="center" wrapText="1"/>
    </xf>
    <xf numFmtId="177" fontId="7" fillId="0" borderId="3" xfId="0" applyNumberFormat="1" applyFont="1" applyBorder="1" applyAlignment="1">
      <alignment horizontal="center" vertical="top" wrapText="1"/>
    </xf>
    <xf numFmtId="0" fontId="0" fillId="0" borderId="0" xfId="0" applyAlignment="1"/>
    <xf numFmtId="0" fontId="2" fillId="0" borderId="1" xfId="0" applyFont="1" applyBorder="1" applyAlignment="1"/>
    <xf numFmtId="0" fontId="2" fillId="0" borderId="2"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auretcomputadores.com/product/licencia-windows-11-profesional" TargetMode="External"/><Relationship Id="rId2" Type="http://schemas.openxmlformats.org/officeDocument/2006/relationships/hyperlink" Target="https://tecnoshopping.com.co/producto/licencia-windows-11-professional/" TargetMode="External"/><Relationship Id="rId1" Type="http://schemas.openxmlformats.org/officeDocument/2006/relationships/hyperlink" Target="https://www.microsoft.com/es-co/d/windows-11-pro/dg7gmgf0d8h4"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imaginate.com.co/productos/teclado-genius-slimstar-126-qw31310017401genius?srsltid=AfmBOooSjPE_7nFIKyNham5klEqPOayVTWprdQEOwtFjCX2wa8t6AvE9cM4" TargetMode="External"/><Relationship Id="rId2" Type="http://schemas.openxmlformats.org/officeDocument/2006/relationships/hyperlink" Target="https://www.falabella.com.co/falabella-co/product/124335266/TECLADO-GENIUS-SLIMSTAR-126-QWERTY-ESPANOL-COLOR-NEGRO/124335268" TargetMode="External"/><Relationship Id="rId1" Type="http://schemas.openxmlformats.org/officeDocument/2006/relationships/hyperlink" Target="https://tecnonacho.com/producto/teclado-usb-genius-slimstar-126/?srsltid=AfmBOorN5mrMgj831owHY4lk1RHywz-i6Sf7hc889XobEmFdx-LGP0lRYxo"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ercadolibre.com.co/portatil-hp-16-d0522la-i7-11600h-16gb-512gb-ssd-w11/p/MCO36500271?matt_tool=19390127&amp;utm_source=google_shopping&amp;utm_medium=organic&amp;item_id=MCO2586138290&amp;from=gshop" TargetMode="External"/><Relationship Id="rId2" Type="http://schemas.openxmlformats.org/officeDocument/2006/relationships/hyperlink" Target="https://www.olimpica.com/portatil-hp-victus-16-d0522la-intel-core-i7-11600h-16gb-ddr4-512gb-ssd-pant-161-fhd---geforce-rtx-3050-4gb-win-11---azul-1002351122/p?idsku=1100125777" TargetMode="External"/><Relationship Id="rId1" Type="http://schemas.openxmlformats.org/officeDocument/2006/relationships/hyperlink" Target="https://www.falabella.com.co/falabella-co/product/133726423/HP-VICTUS-16-D0522LA-CORE-I7-11600H-16GB-DDR4-512GB-SSD-PANT-16,1-FHD-RTX-3050-4GB-WIN-11-AZUL/13372642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icrocell.co/computadores-dell-y-workstation/26114-cpu-workstation-dell-precision-5820-xeon-w-2245-16gb-1tb-ssd-video-12gb-w11p-torre.html" TargetMode="External"/><Relationship Id="rId2" Type="http://schemas.openxmlformats.org/officeDocument/2006/relationships/hyperlink" Target="https://systorecolombia.com/workstation/824-dell-precision-5820-intel-xeon-w-2245-16gb-1tb-ssd-tvideo-12gb-w11p-3aanos-.html" TargetMode="External"/><Relationship Id="rId1" Type="http://schemas.openxmlformats.org/officeDocument/2006/relationships/hyperlink" Target="https://mymsystech.com.co/workstation/4423-dell-workstation-precision-5820-tower-intel-xeon-processor-w-2245.html?srsltid=AfmBOoqSFoWck0FyYvc5wz52flAO5VLDSxesk5AO8y3IJrT8l7T0MTrw"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compucentro.co/portatil-acer-nitro-an515-intel-ci5-12450h-rtx-3050-ram-16gb-512gb-ssd-15-6-pulgadas/" TargetMode="External"/><Relationship Id="rId2" Type="http://schemas.openxmlformats.org/officeDocument/2006/relationships/hyperlink" Target="https://articulo.mercadolibre.com.co/MCO-2431417390-portatil-acer-core-i5-12450h-ram-16gb-ssd-512-rtx-3050-156-_JM?matt_tool=19390127&amp;utm_source=google_shopping&amp;utm_medium=organic" TargetMode="External"/><Relationship Id="rId1" Type="http://schemas.openxmlformats.org/officeDocument/2006/relationships/hyperlink" Target="https://clonesyperifericos.com/comprar/acer-nitro-5-an515-i5-12450h-rtx-3050-16gb-ddr4-ssd-512gb-nvm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donweb.com/es-co/cloud-mongodb-hosting" TargetMode="External"/><Relationship Id="rId2" Type="http://schemas.openxmlformats.org/officeDocument/2006/relationships/hyperlink" Target="https://www.mongodb.com/es/pricing" TargetMode="External"/><Relationship Id="rId1" Type="http://schemas.openxmlformats.org/officeDocument/2006/relationships/hyperlink" Target="https://scalegrid.io/mongodb/?kw=&amp;cpn=21422260304&amp;utm_term=&amp;utm_campaign=MySQL+-+MAX+USCA&amp;utm_source=adwords&amp;utm_medium=ppc&amp;hsa_mt=&amp;hsa_ad=&amp;hsa_net=adwords&amp;hsa_src=x&amp;hsa_kw=&amp;hsa_tgt=&amp;hsa_cam=21422260304&amp;hsa_acc=2428435206&amp;hsa_ver=3&amp;hsa_grp=&amp;gad_source=1&amp;gclid=Cj0KCQjwiuC2BhDSARIsALOVfBIlXEh8Xk7VHQN5ztw_FsBrTzXSb5_wmEa3oUZC-lBwhm41cKPjf10aAh9cEALw_wcB"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mt-varitec-de-colombia.mercadoshops.com.co/MCO-2194394800-memoria-ram-sk-hynix-8gb-gb-1rx8-pc4-2933y-rd1-hma82gr7jjr8n-_JM" TargetMode="External"/><Relationship Id="rId2" Type="http://schemas.openxmlformats.org/officeDocument/2006/relationships/hyperlink" Target="https://lasus.com.co/es/memoria-ram-8gb-ddr4-2933-para-mejorar-el-rendimiento-de-tu-computadora" TargetMode="External"/><Relationship Id="rId1" Type="http://schemas.openxmlformats.org/officeDocument/2006/relationships/hyperlink" Target="https://www.ebay.com/itm/226190700493?chn=ps&amp;mkevt=1&amp;mkcid=28"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exito.com/monitor-lg-gamer-ultragear-fhd-24-165-hz-24gq50f-b-102836530/p?idsku=102836530&amp;srsltid=AfmBOoqYs5Ydj69S27TJID9YG3AIhernu4ueFHwOVohyS064CcGQhzinYr0" TargetMode="External"/><Relationship Id="rId2" Type="http://schemas.openxmlformats.org/officeDocument/2006/relationships/hyperlink" Target="https://www.falabella.com.co/falabella-co/product/132277709/Monitor-Gamer-24GQ50F-B-24-FHD-LG-UltraGear/132277710" TargetMode="External"/><Relationship Id="rId1" Type="http://schemas.openxmlformats.org/officeDocument/2006/relationships/hyperlink" Target="https://www.mercadolibre.com.co/monitor-gamer-lg-ultragear-24gq50f-24-fhd-165hz-freesync-color-negro/p/MCO205080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fertasetb.com.co/index.php?tsource_url=005_g+m_negocios_etb_fr%20CPA%20OBJETIVO_empresas%20(CON%20PRECAUCION)_6017940423_&amp;zona=bogota&amp;gad_source=1&amp;gclid=Cj0KCQjww5u2BhDeARIsALBuLnPk179bqwLQeA-t2KImZPkLRVtfYJfCYCeCygaZl6tD7vEphAcbtgIaApGoEALw_wcB" TargetMode="External"/><Relationship Id="rId2" Type="http://schemas.openxmlformats.org/officeDocument/2006/relationships/hyperlink" Target="https://www.tigo.com.co/empresas/promo/fijo?parametro1=search&amp;parametro2=sem&amp;parametro3=co-b2b-mkt_search_performance_b2b_btwfijokitbta_sem_cpl_bta_category&amp;gad_source=1&amp;gclid=Cj0KCQjww5u2BhDeARIsALBuLnPSMbpxpoSHc4di4JAG3nKTjgbEHFj2_o-8zvOU4I3-sglyV34tEw8aAnK8EALw_wcB&amp;gclsrc=aw.ds" TargetMode="External"/><Relationship Id="rId1" Type="http://schemas.openxmlformats.org/officeDocument/2006/relationships/hyperlink" Target="https://ofertas.movistarempresas.com/co-planes-multiproducto-home?utm_source=GOOGLE-SEM&amp;utm_medium=SEM_SEM_CPA&amp;utm_campaign=CO_MARCA_COL-PUREBRAND-1KW-B2B_23-07-03_SEM_LDS-WEB_AON_ABT_BRAND&amp;utm_term=MOVISTAR-EMPRESAS&amp;utm_content=ABT_LDS-WEB&amp;gad_source=1&amp;gclid=Cj0KCQjww5u2BhDeARIsALBuLnP5ciZX0R_UdO6wcJmnUtzbOK0T4bBctbmlZPqEej4fAPt3JUtcZm4aAjS1EALw_wc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siteground.com/hosting-web.htm?recommend=GrowBig" TargetMode="External"/><Relationship Id="rId2" Type="http://schemas.openxmlformats.org/officeDocument/2006/relationships/hyperlink" Target="https://www.bluehost.com/?utm_campaign=bh_brand_exact_PPC&amp;utm_source=googleads&amp;utm_medium=brandsearch&amp;channelid=P99C100S570N0B5578A2D4499E0000V121&amp;ds_k=bluehost&amp;gad_source=1&amp;gclid=Cj0KCQjww5u2BhDeARIsALBuLnO1iPlAiAqFOhIiAO0yBFQBm8uEkXoizSnuBHkQzOqvS50A2ydMlQQaAmc8EALw_wcB&amp;gclsrc=aw.ds" TargetMode="External"/><Relationship Id="rId1" Type="http://schemas.openxmlformats.org/officeDocument/2006/relationships/hyperlink" Target="https://www.hostgator.co/web-hosting-quiero-mi-web?gad_source=1&amp;gclid=Cj0KCQjww5u2BhDeARIsALBuLnNG03VkETgMkuBLmjgdcNw8AUNM8fW8Bj5LM-x4I7mApep4g-RHPnUaAoBkEALw_wc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arciacomunicaciones.com/producto/visual-studio-professional-2019-con-msdn/" TargetMode="External"/><Relationship Id="rId2" Type="http://schemas.openxmlformats.org/officeDocument/2006/relationships/hyperlink" Target="https://blitzhandel24.com/co/microsoft-visual-studio-2022-professional?sPartner=g_s_CO&amp;number=241821873" TargetMode="External"/><Relationship Id="rId1" Type="http://schemas.openxmlformats.org/officeDocument/2006/relationships/hyperlink" Target="https://www.microsoft.com/es-co/d/visual-studio-professional-2022/dg7gmgf0d3sj"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alabella.com.co/falabella-co/product/132849394/Adobe-Creative-Cloud-1-Mes/132849395" TargetMode="External"/><Relationship Id="rId2" Type="http://schemas.openxmlformats.org/officeDocument/2006/relationships/hyperlink" Target="https://www.g2a.com/es/adobe-creative-cloud-pc-1-month-adobe-key-global-i10000195108002" TargetMode="External"/><Relationship Id="rId1" Type="http://schemas.openxmlformats.org/officeDocument/2006/relationships/hyperlink" Target="https://commerce.adobe.com/store/email?items%5B0%5D%5Bid%5D=BE54FE5A3A924EF79C17EE1B9995CAB4&amp;co=CO&amp;lang=es&amp;cli=creative&amp;promoid=PYPVPZQK&amp;mv=other"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arciacomunicaciones.com/producto/cloud-computing-windows-server-2022-standard-16-core/" TargetMode="External"/><Relationship Id="rId2" Type="http://schemas.openxmlformats.org/officeDocument/2006/relationships/hyperlink" Target="https://blitzhandel24.com/co/microsoft-windows-server-2022-standard-core-addon?sPartner=g_s_CO&amp;number=241822038.2&amp;gad_source=1" TargetMode="External"/><Relationship Id="rId1" Type="http://schemas.openxmlformats.org/officeDocument/2006/relationships/hyperlink" Target="https://www.microsoft.com/en-us/d/windows-server-2022-standard-cal/dg7gmgf0d6m5?activetab=pivot:overviewta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3clics.co/index.php/es/computacion-y-software-2/mcafee-total-protection-5-dispositivos-por-1-a%C3%B1o-965-detail" TargetMode="External"/><Relationship Id="rId2" Type="http://schemas.openxmlformats.org/officeDocument/2006/relationships/hyperlink" Target="https://www.panamericana.com.co/mcafee-total-protection-5-dispositivos-por-un-ano-631702/p?idsku=631702" TargetMode="External"/><Relationship Id="rId1" Type="http://schemas.openxmlformats.org/officeDocument/2006/relationships/hyperlink" Target="https://www.mcafee.com/es-co/ipz/feyncart/2web/payment.html?ddown=false&amp;csrc=google&amp;csrcl2=pla-shopping&amp;cctype=desktop-brand&amp;ccstype=&amp;ccoe=direct&amp;ccoel2=sem&amp;pkg_id=537&amp;affid=1490&amp;utm_source=bing&amp;utm_medium=paidsearch&amp;utm_campaign=PMax%3A+es-co%3AShopping%3ASmart&amp;utm_content=&amp;utm_term=&amp;gad_source=1&amp;gclsrc=ds&amp;moguid=d8abd1b7-4fc0-4acd-96ee-84f2ffe69014&amp;culture=es-co&amp;pkgCode=535&amp;pt=1yp&amp;fp=174000.0&amp;curCode=COP&amp;btnSec=hero&amp;cseg=default&amp;cexp=&amp;ccta=535%3A1yp%3A174000.0%3Acop%3Ahero&amp;ccpubn=es-co%3Alp%3Adirect%3Asem%3Ashopping%40%3Adefault%40535%3A1yp%3A174000.0%3Acop%3Ahero&amp;ccpun=es-co%3Alp%3Adirect%3Asem%3Ashopping%40%3Adefault&amp;ccpn=es-co%3Alp%3Adirect%3Asem%3Ashopping&amp;cls=0&amp;cupf=0&amp;cafcat=&amp;ak_culture=&amp;ipst=&amp;ipcon=&amp;tm_local_lp_ab_test_varia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licenciasyequipos.com/es/susc-mensual-ms-365-con-soporte-partner/26-ms-365-business-standard-mensualusuario-con-soporte-partner.html" TargetMode="External"/><Relationship Id="rId2" Type="http://schemas.openxmlformats.org/officeDocument/2006/relationships/hyperlink" Target="https://gestionsystem.com.co/planes-business-microsoft-365/" TargetMode="External"/><Relationship Id="rId1" Type="http://schemas.openxmlformats.org/officeDocument/2006/relationships/hyperlink" Target="https://www.microsoft.com/es-co/microsoft-365/enterprise/office365-plans-and-pricing?ef_id=_k_CjwKCAjw5Ky1BhAgEiwA5jGujixo99JYIeugN6dqQsrphGavF28qUYMVVL_VsrxHn5qEesPzSI4f1hoCPgMQAvD_BwE_k_&amp;OCID=AIDcmmpw76nrjm_SEM__k_CjwKCAjw5Ky1BhAgEiwA5jGujixo99JYIeugN6dqQsrphGavF28qUYMVVL_VsrxHn5qEesPzSI4f1hoCPgMQAvD_BwE_k_&amp;gad_source=1&amp;gclid=CjwKCAjw5Ky1BhAgEiwA5jGujixo99JYIeugN6dqQsrphGavF28qUYMVVL_VsrxHn5qEesPzSI4f1hoCPgMQAvD_Bw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heliteb.com/products/mouse-genius-dx120?variant=41180415131853&amp;currency=COP&amp;utm_medium=product_sync&amp;utm_source=google&amp;utm_content=sag_organic&amp;utm_campaign=sag_organic&amp;srsltid=AfmBOoqcqKNZzFds7e7tgrEbCkAc24zNf0x7cRO3B06nhLBaBgf9jbINyJs" TargetMode="External"/><Relationship Id="rId2" Type="http://schemas.openxmlformats.org/officeDocument/2006/relationships/hyperlink" Target="https://www.falabella.com.co/falabella-co/product/129249176/Mouse-Genius-DX-120-USB-Alambrico-BLANCO/129249177" TargetMode="External"/><Relationship Id="rId1" Type="http://schemas.openxmlformats.org/officeDocument/2006/relationships/hyperlink" Target="https://www.exito.com/mouse-usb-genius-dx120-negro-100032191-mp/p?idsku=100032191&amp;srsltid=AfmBOoqy-h-ZcO3kv97QETW_Y_0PWBO4ogxHSheU2QLurtOV44344mfNdM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H8" sqref="H8"/>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v>
      </c>
      <c r="C8" s="9" t="s">
        <v>14</v>
      </c>
      <c r="D8" s="8" t="s">
        <v>15</v>
      </c>
      <c r="E8" s="10">
        <f>1099999/1.19</f>
        <v>924368.90756302525</v>
      </c>
      <c r="F8" s="10">
        <f t="shared" ref="F8:F10" si="0">E8*19%</f>
        <v>175630.09243697481</v>
      </c>
      <c r="G8" s="10">
        <f t="shared" ref="G8:G10" si="1">E8+F8</f>
        <v>1099999</v>
      </c>
      <c r="H8" s="10">
        <f t="shared" ref="H8:H10" si="2">G8</f>
        <v>1099999</v>
      </c>
      <c r="I8" s="8" t="s">
        <v>16</v>
      </c>
      <c r="J8" s="11" t="s">
        <v>17</v>
      </c>
    </row>
    <row r="9" spans="1:26" ht="50.25" customHeight="1">
      <c r="A9" s="7" t="s">
        <v>18</v>
      </c>
      <c r="B9" s="8" t="s">
        <v>19</v>
      </c>
      <c r="C9" s="12" t="s">
        <v>20</v>
      </c>
      <c r="D9" s="8" t="s">
        <v>15</v>
      </c>
      <c r="E9" s="10">
        <f>900000/ 1.19</f>
        <v>756302.52100840339</v>
      </c>
      <c r="F9" s="10">
        <f t="shared" si="0"/>
        <v>143697.47899159664</v>
      </c>
      <c r="G9" s="10">
        <f t="shared" si="1"/>
        <v>900000</v>
      </c>
      <c r="H9" s="10">
        <f t="shared" si="2"/>
        <v>900000</v>
      </c>
      <c r="I9" s="8" t="s">
        <v>16</v>
      </c>
      <c r="J9" s="11" t="s">
        <v>17</v>
      </c>
    </row>
    <row r="10" spans="1:26" ht="50.25" customHeight="1">
      <c r="A10" s="7" t="s">
        <v>21</v>
      </c>
      <c r="B10" s="8" t="s">
        <v>22</v>
      </c>
      <c r="C10" s="9" t="s">
        <v>23</v>
      </c>
      <c r="D10" s="8" t="s">
        <v>15</v>
      </c>
      <c r="E10" s="10">
        <f>730000/1.19</f>
        <v>613445.37815126055</v>
      </c>
      <c r="F10" s="10">
        <f t="shared" si="0"/>
        <v>116554.62184873951</v>
      </c>
      <c r="G10" s="10">
        <f t="shared" si="1"/>
        <v>730000</v>
      </c>
      <c r="H10" s="10">
        <f t="shared" si="2"/>
        <v>730000</v>
      </c>
      <c r="I10" s="8" t="s">
        <v>16</v>
      </c>
      <c r="J10" s="11" t="s">
        <v>17</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000-000000000000}"/>
    <hyperlink ref="C9" r:id="rId2" xr:uid="{00000000-0004-0000-0000-000001000000}"/>
    <hyperlink ref="C10" r:id="rId3" xr:uid="{00000000-0004-0000-00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5" workbookViewId="0">
      <selection activeCell="E10" sqref="E1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96</v>
      </c>
      <c r="C8" s="25" t="s">
        <v>97</v>
      </c>
      <c r="D8" s="8" t="s">
        <v>98</v>
      </c>
      <c r="E8" s="20">
        <f>50000/1.19</f>
        <v>42016.806722689078</v>
      </c>
      <c r="F8" s="10">
        <f t="shared" ref="F8:F10" si="0">E8*19%</f>
        <v>7983.1932773109247</v>
      </c>
      <c r="G8" s="10">
        <f t="shared" ref="G8:G10" si="1">E8+F8</f>
        <v>50000</v>
      </c>
      <c r="H8" s="10">
        <f t="shared" ref="H8:H10" si="2">G8</f>
        <v>50000</v>
      </c>
      <c r="I8" s="8" t="s">
        <v>16</v>
      </c>
      <c r="J8" s="22" t="s">
        <v>99</v>
      </c>
    </row>
    <row r="9" spans="1:26" ht="50.25" customHeight="1">
      <c r="A9" s="7" t="s">
        <v>18</v>
      </c>
      <c r="B9" s="8" t="s">
        <v>100</v>
      </c>
      <c r="C9" s="12" t="s">
        <v>101</v>
      </c>
      <c r="D9" s="8" t="s">
        <v>98</v>
      </c>
      <c r="E9" s="10">
        <f>62990/1.19</f>
        <v>52932.773109243702</v>
      </c>
      <c r="F9" s="10">
        <f t="shared" si="0"/>
        <v>10057.226890756303</v>
      </c>
      <c r="G9" s="10">
        <f t="shared" si="1"/>
        <v>62990.000000000007</v>
      </c>
      <c r="H9" s="10">
        <f t="shared" si="2"/>
        <v>62990.000000000007</v>
      </c>
      <c r="I9" s="8" t="s">
        <v>16</v>
      </c>
      <c r="J9" s="22" t="s">
        <v>102</v>
      </c>
    </row>
    <row r="10" spans="1:26" ht="50.25" customHeight="1">
      <c r="A10" s="7" t="s">
        <v>21</v>
      </c>
      <c r="B10" s="8" t="s">
        <v>103</v>
      </c>
      <c r="C10" s="9" t="s">
        <v>104</v>
      </c>
      <c r="D10" s="8" t="s">
        <v>98</v>
      </c>
      <c r="E10" s="20">
        <f>51400/1.19</f>
        <v>43193.277310924372</v>
      </c>
      <c r="F10" s="10">
        <f t="shared" si="0"/>
        <v>8206.7226890756301</v>
      </c>
      <c r="G10" s="10">
        <f t="shared" si="1"/>
        <v>51400</v>
      </c>
      <c r="H10" s="10">
        <f t="shared" si="2"/>
        <v>51400</v>
      </c>
      <c r="I10" s="8" t="s">
        <v>16</v>
      </c>
      <c r="J10" s="22" t="s">
        <v>102</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1A27-7E13-4B3F-A4B7-C8FA300F0070}">
  <dimension ref="A1:Z1000"/>
  <sheetViews>
    <sheetView workbookViewId="0">
      <selection activeCell="I12" sqref="I12"/>
    </sheetView>
  </sheetViews>
  <sheetFormatPr defaultColWidth="12.5703125" defaultRowHeight="15" customHeight="1"/>
  <cols>
    <col min="1" max="3" width="19.140625" customWidth="1"/>
    <col min="4" max="4" width="24" customWidth="1"/>
    <col min="5" max="6" width="17" customWidth="1"/>
    <col min="7" max="7" width="18" customWidth="1"/>
    <col min="8" max="8" width="21.7109375"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8" t="s">
        <v>5</v>
      </c>
      <c r="E7" s="2" t="s">
        <v>6</v>
      </c>
      <c r="F7" s="3" t="s">
        <v>105</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60</v>
      </c>
      <c r="C8" s="27" t="s">
        <v>106</v>
      </c>
      <c r="D8" s="26" t="s">
        <v>107</v>
      </c>
      <c r="E8" s="31">
        <f>3149900/1.19</f>
        <v>2646974.7899159663</v>
      </c>
      <c r="F8" s="20">
        <f>E8*19%</f>
        <v>502925.21008403361</v>
      </c>
      <c r="G8" s="20">
        <f>SUM(E8:F8)</f>
        <v>3149900</v>
      </c>
      <c r="H8" s="20">
        <f>SUM(G8)</f>
        <v>3149900</v>
      </c>
      <c r="I8" s="14" t="s">
        <v>65</v>
      </c>
      <c r="J8" s="14" t="s">
        <v>108</v>
      </c>
    </row>
    <row r="9" spans="1:26" ht="50.25" customHeight="1">
      <c r="A9" s="7" t="s">
        <v>18</v>
      </c>
      <c r="B9" s="8" t="s">
        <v>109</v>
      </c>
      <c r="C9" s="27" t="s">
        <v>110</v>
      </c>
      <c r="D9" s="26" t="s">
        <v>107</v>
      </c>
      <c r="E9" s="41">
        <f>3244999/1.19</f>
        <v>2726889.9159663869</v>
      </c>
      <c r="F9" s="20">
        <f>E9*19%</f>
        <v>518109.0840336135</v>
      </c>
      <c r="G9" s="20">
        <f>E9+F9</f>
        <v>3244999.0000000005</v>
      </c>
      <c r="H9" s="20">
        <f t="shared" ref="H9:H10" si="0">SUM(G9)</f>
        <v>3244999.0000000005</v>
      </c>
      <c r="I9" s="14" t="s">
        <v>65</v>
      </c>
      <c r="J9" s="14" t="s">
        <v>108</v>
      </c>
    </row>
    <row r="10" spans="1:26" ht="50.25" customHeight="1">
      <c r="A10" s="7" t="s">
        <v>21</v>
      </c>
      <c r="B10" s="8" t="s">
        <v>111</v>
      </c>
      <c r="C10" s="27" t="s">
        <v>112</v>
      </c>
      <c r="D10" s="40" t="s">
        <v>107</v>
      </c>
      <c r="E10" s="32">
        <f>3099900/1.19</f>
        <v>2604957.9831932774</v>
      </c>
      <c r="F10" s="20">
        <f>E10*19%</f>
        <v>494942.01680672274</v>
      </c>
      <c r="G10" s="20">
        <f>SUM(E10:F10)</f>
        <v>3099900</v>
      </c>
      <c r="H10" s="33">
        <f>G10</f>
        <v>3099900</v>
      </c>
      <c r="I10" s="14" t="s">
        <v>65</v>
      </c>
      <c r="J10" s="14" t="s">
        <v>108</v>
      </c>
    </row>
    <row r="11" spans="1:26" ht="15" hidden="1" customHeight="1">
      <c r="A11" s="13"/>
      <c r="B11" s="14"/>
      <c r="C11" s="14"/>
      <c r="D11" s="30"/>
      <c r="E11" s="14"/>
      <c r="F11" s="14"/>
      <c r="G11" s="14"/>
      <c r="H11" s="14"/>
      <c r="I11" s="14"/>
      <c r="J11" s="14"/>
    </row>
    <row r="12" spans="1:26" ht="12.75" customHeight="1"/>
    <row r="13" spans="1:26" ht="138.75" customHeight="1">
      <c r="A13" s="46" t="s">
        <v>113</v>
      </c>
      <c r="B13" s="49"/>
      <c r="C13" s="49"/>
      <c r="D13" s="49"/>
      <c r="E13" s="49"/>
      <c r="F13" s="49"/>
      <c r="G13" s="49"/>
      <c r="H13" s="49"/>
      <c r="I13" s="49"/>
      <c r="J13" s="50"/>
      <c r="M13" s="24"/>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5695BA6-93DD-4221-9CC4-C6FD84B18342}"/>
    <hyperlink ref="C9" r:id="rId2" xr:uid="{4A822640-BF3F-4DA5-BD3B-4FCEC4E94E2A}"/>
    <hyperlink ref="C10" r:id="rId3" xr:uid="{6CF319A5-1454-4715-8406-E273C79592FE}"/>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13" sqref="A13"/>
    </sheetView>
  </sheetViews>
  <sheetFormatPr defaultColWidth="12.5703125" defaultRowHeight="15" customHeight="1"/>
  <cols>
    <col min="1" max="3" width="19.140625" customWidth="1"/>
    <col min="4" max="4" width="24" customWidth="1"/>
    <col min="5" max="6" width="17" customWidth="1"/>
    <col min="7" max="7" width="18" customWidth="1"/>
    <col min="8" max="8" width="21.7109375"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8" t="s">
        <v>5</v>
      </c>
      <c r="E7" s="2" t="s">
        <v>6</v>
      </c>
      <c r="F7" s="3" t="s">
        <v>105</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114</v>
      </c>
      <c r="C8" s="27" t="s">
        <v>115</v>
      </c>
      <c r="D8" s="29" t="s">
        <v>116</v>
      </c>
      <c r="E8" s="31">
        <f>15269000/1.19</f>
        <v>12831092.43697479</v>
      </c>
      <c r="F8" s="20">
        <f>E8*19%</f>
        <v>2437907.5630252101</v>
      </c>
      <c r="G8" s="20">
        <f>SUM(E8:F8)</f>
        <v>15269000</v>
      </c>
      <c r="H8" s="20">
        <f>SUM(G8)</f>
        <v>15269000</v>
      </c>
      <c r="I8" s="14" t="s">
        <v>65</v>
      </c>
      <c r="J8" s="14" t="s">
        <v>117</v>
      </c>
    </row>
    <row r="9" spans="1:26" ht="50.25" customHeight="1">
      <c r="A9" s="7" t="s">
        <v>18</v>
      </c>
      <c r="B9" s="8" t="s">
        <v>118</v>
      </c>
      <c r="C9" s="27" t="s">
        <v>119</v>
      </c>
      <c r="D9" s="29" t="s">
        <v>120</v>
      </c>
      <c r="E9" s="23">
        <f>13450000/1.19</f>
        <v>11302521.008403363</v>
      </c>
      <c r="F9" s="20">
        <f>E9*19%</f>
        <v>2147478.9915966392</v>
      </c>
      <c r="G9" s="20">
        <f>E9+F9</f>
        <v>13450000.000000002</v>
      </c>
      <c r="H9" s="20">
        <f t="shared" ref="H9:H10" si="0">SUM(G9)</f>
        <v>13450000.000000002</v>
      </c>
      <c r="I9" s="14" t="s">
        <v>65</v>
      </c>
      <c r="J9" s="14" t="s">
        <v>121</v>
      </c>
    </row>
    <row r="10" spans="1:26" ht="50.25" customHeight="1">
      <c r="A10" s="7" t="s">
        <v>21</v>
      </c>
      <c r="B10" s="8" t="s">
        <v>122</v>
      </c>
      <c r="C10" s="27" t="s">
        <v>123</v>
      </c>
      <c r="D10" s="26" t="s">
        <v>124</v>
      </c>
      <c r="E10" s="32">
        <v>3830</v>
      </c>
      <c r="F10" s="20">
        <v>0</v>
      </c>
      <c r="G10" s="20">
        <f>SUM(E10:F10)</f>
        <v>3830</v>
      </c>
      <c r="H10" s="33">
        <f>SUM(G10)*4000</f>
        <v>15320000</v>
      </c>
      <c r="I10" s="14" t="s">
        <v>65</v>
      </c>
      <c r="J10" s="14" t="s">
        <v>125</v>
      </c>
    </row>
    <row r="11" spans="1:26" ht="15" hidden="1" customHeight="1">
      <c r="A11" s="13"/>
      <c r="B11" s="14"/>
      <c r="C11" s="14"/>
      <c r="D11" s="30"/>
      <c r="E11" s="14"/>
      <c r="F11" s="14"/>
      <c r="G11" s="14"/>
      <c r="H11" s="14"/>
      <c r="I11" s="14"/>
      <c r="J11" s="14"/>
    </row>
    <row r="12" spans="1:26" ht="12.75" customHeight="1"/>
    <row r="13" spans="1:26" ht="138.75" customHeight="1">
      <c r="A13" s="46" t="s">
        <v>113</v>
      </c>
      <c r="B13" s="49"/>
      <c r="C13" s="49"/>
      <c r="D13" s="49"/>
      <c r="E13" s="49"/>
      <c r="F13" s="49"/>
      <c r="G13" s="49"/>
      <c r="H13" s="49"/>
      <c r="I13" s="49"/>
      <c r="J13" s="50"/>
      <c r="M13" s="24"/>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5CCD1FE7-943A-4999-9B5D-07FFE9A0ED35}"/>
    <hyperlink ref="C9" r:id="rId2" xr:uid="{72BF999E-6C3D-423D-AB1C-344AE8A0F959}"/>
    <hyperlink ref="C10" r:id="rId3" xr:uid="{FE54A5DA-650E-4D16-88C9-E1CA2C56AB56}"/>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H10" sqref="H1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9" width="19.140625" customWidth="1"/>
    <col min="10" max="10" width="21.28515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L7" s="6"/>
      <c r="M7" s="6"/>
      <c r="N7" s="6"/>
      <c r="O7" s="6"/>
      <c r="P7" s="6"/>
      <c r="Q7" s="6"/>
      <c r="R7" s="6"/>
      <c r="S7" s="6"/>
      <c r="T7" s="6"/>
      <c r="U7" s="6"/>
      <c r="V7" s="6"/>
      <c r="W7" s="6"/>
      <c r="X7" s="6"/>
      <c r="Y7" s="6"/>
      <c r="Z7" s="6"/>
    </row>
    <row r="8" spans="1:26" ht="50.25" customHeight="1">
      <c r="A8" s="7" t="s">
        <v>12</v>
      </c>
      <c r="B8" s="8" t="s">
        <v>126</v>
      </c>
      <c r="C8" s="25" t="s">
        <v>127</v>
      </c>
      <c r="D8" s="8" t="s">
        <v>128</v>
      </c>
      <c r="E8" s="10">
        <f>3910000/1.19</f>
        <v>3285714.2857142859</v>
      </c>
      <c r="F8" s="10">
        <f t="shared" ref="F8:F10" si="0">PRODUCT(E8*19%)</f>
        <v>624285.71428571432</v>
      </c>
      <c r="G8" s="10">
        <f t="shared" ref="G8:G10" si="1">E8+F8</f>
        <v>3910000</v>
      </c>
      <c r="H8" s="10">
        <f t="shared" ref="H8:H10" si="2">G8</f>
        <v>3910000</v>
      </c>
      <c r="I8" s="8" t="s">
        <v>129</v>
      </c>
      <c r="J8" s="8" t="s">
        <v>130</v>
      </c>
      <c r="K8" s="24" t="s">
        <v>131</v>
      </c>
    </row>
    <row r="9" spans="1:26" ht="50.25" customHeight="1">
      <c r="A9" s="7" t="s">
        <v>18</v>
      </c>
      <c r="B9" s="8" t="s">
        <v>132</v>
      </c>
      <c r="C9" s="12" t="s">
        <v>133</v>
      </c>
      <c r="D9" s="8" t="s">
        <v>128</v>
      </c>
      <c r="E9" s="10">
        <f>4339900/1.19</f>
        <v>3646974.7899159663</v>
      </c>
      <c r="F9" s="10">
        <f t="shared" si="0"/>
        <v>692925.21008403366</v>
      </c>
      <c r="G9" s="10">
        <f t="shared" si="1"/>
        <v>4339900</v>
      </c>
      <c r="H9" s="10">
        <f t="shared" si="2"/>
        <v>4339900</v>
      </c>
      <c r="I9" s="8" t="s">
        <v>129</v>
      </c>
      <c r="J9" s="8" t="s">
        <v>134</v>
      </c>
    </row>
    <row r="10" spans="1:26" ht="50.25" customHeight="1">
      <c r="A10" s="7" t="s">
        <v>21</v>
      </c>
      <c r="B10" s="8" t="s">
        <v>135</v>
      </c>
      <c r="C10" s="9" t="s">
        <v>136</v>
      </c>
      <c r="D10" s="8" t="s">
        <v>128</v>
      </c>
      <c r="E10" s="10">
        <f>3799000/1.19</f>
        <v>3192436.9747899161</v>
      </c>
      <c r="F10" s="10">
        <f>PRODUCT(E10*19%)</f>
        <v>606563.02521008404</v>
      </c>
      <c r="G10" s="10">
        <f>E10+F10</f>
        <v>3799000</v>
      </c>
      <c r="H10" s="10">
        <f>G10</f>
        <v>3799000</v>
      </c>
      <c r="I10" s="8" t="s">
        <v>129</v>
      </c>
      <c r="J10" s="8" t="s">
        <v>134</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C00-000000000000}"/>
    <hyperlink ref="C9" r:id="rId2" xr:uid="{00000000-0004-0000-0C00-000001000000}"/>
    <hyperlink ref="C10" r:id="rId3" xr:uid="{00000000-0004-0000-0C00-000002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30F5-1ED4-4ACF-A970-67EBA3E29206}">
  <dimension ref="A1:Z1000"/>
  <sheetViews>
    <sheetView tabSelected="1" topLeftCell="A5" workbookViewId="0">
      <selection activeCell="J8" sqref="J8"/>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137</v>
      </c>
      <c r="C8" s="34" t="s">
        <v>138</v>
      </c>
      <c r="D8" s="8" t="s">
        <v>139</v>
      </c>
      <c r="E8" s="35">
        <v>658</v>
      </c>
      <c r="F8" s="10">
        <v>0</v>
      </c>
      <c r="G8" s="35">
        <f>E8+F8</f>
        <v>658</v>
      </c>
      <c r="H8" s="37">
        <f>G8*4000</f>
        <v>2632000</v>
      </c>
      <c r="I8" s="8" t="s">
        <v>16</v>
      </c>
      <c r="J8" s="8" t="s">
        <v>140</v>
      </c>
    </row>
    <row r="9" spans="1:26" ht="50.25" customHeight="1">
      <c r="A9" s="7" t="s">
        <v>18</v>
      </c>
      <c r="B9" s="8" t="s">
        <v>137</v>
      </c>
      <c r="C9" s="34" t="s">
        <v>141</v>
      </c>
      <c r="D9" s="8" t="s">
        <v>139</v>
      </c>
      <c r="E9" s="47">
        <f>265440/1.19</f>
        <v>223058.82352941178</v>
      </c>
      <c r="F9" s="10">
        <f>E9*19%</f>
        <v>42381.176470588238</v>
      </c>
      <c r="G9" s="37">
        <f>E9+F9</f>
        <v>265440</v>
      </c>
      <c r="H9" s="43">
        <f>G9</f>
        <v>265440</v>
      </c>
      <c r="I9" s="8" t="s">
        <v>16</v>
      </c>
      <c r="J9" s="8" t="s">
        <v>142</v>
      </c>
    </row>
    <row r="10" spans="1:26" ht="50.25" customHeight="1">
      <c r="A10" s="7" t="s">
        <v>21</v>
      </c>
      <c r="B10" s="8" t="s">
        <v>143</v>
      </c>
      <c r="C10" s="34" t="s">
        <v>144</v>
      </c>
      <c r="D10" s="8" t="s">
        <v>139</v>
      </c>
      <c r="E10" s="35">
        <v>528</v>
      </c>
      <c r="F10" s="10">
        <v>0</v>
      </c>
      <c r="G10" s="35">
        <f t="shared" ref="G9:G11" si="0">E10+F10</f>
        <v>528</v>
      </c>
      <c r="H10" s="10">
        <f>G10*4000</f>
        <v>2112000</v>
      </c>
      <c r="I10" s="8" t="s">
        <v>16</v>
      </c>
      <c r="J10" s="8" t="s">
        <v>145</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display="https://scalegrid.io/mongodb/?kw=&amp;cpn=21422260304&amp;utm_term=&amp;utm_campaign=MySQL+-+MAX+USCA&amp;utm_source=adwords&amp;utm_medium=ppc&amp;hsa_mt=&amp;hsa_ad=&amp;hsa_net=adwords&amp;hsa_src=x&amp;hsa_kw=&amp;hsa_tgt=&amp;hsa_cam=21422260304&amp;hsa_acc=2428435206&amp;hsa_ver=3&amp;hsa_grp=&amp;gad_source=1&amp;gclid=Cj0KCQjwiuC2BhDSARIsALOVfBIlXEh8Xk7VHQN5ztw_FsBrTzXSb5_wmEa3oUZC-lBwhm41cKPjf10aAh9cEALw_wcB" xr:uid="{83967D8D-BC0C-4CE8-B4AC-83091DF4708C}"/>
    <hyperlink ref="C8" r:id="rId2" xr:uid="{4D28B795-9D90-495F-8EB5-B8A1836F2A52}"/>
    <hyperlink ref="C9" r:id="rId3" xr:uid="{E5BCFE3A-288F-4D8D-8912-5E41E0C8E1E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36F9-68F5-44E6-97CD-1709CE8A8672}">
  <dimension ref="A1:Z1000"/>
  <sheetViews>
    <sheetView workbookViewId="0">
      <selection activeCell="H20" sqref="H2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146</v>
      </c>
      <c r="C8" s="34" t="s">
        <v>147</v>
      </c>
      <c r="D8" s="8" t="s">
        <v>148</v>
      </c>
      <c r="E8" s="35">
        <v>42.1</v>
      </c>
      <c r="F8" s="10">
        <v>0</v>
      </c>
      <c r="G8" s="36">
        <f>E8+F8</f>
        <v>42.1</v>
      </c>
      <c r="H8" s="10">
        <f>G8*4000</f>
        <v>168400</v>
      </c>
      <c r="I8" s="8" t="s">
        <v>16</v>
      </c>
      <c r="J8" s="8" t="s">
        <v>149</v>
      </c>
    </row>
    <row r="9" spans="1:26" ht="50.25" customHeight="1">
      <c r="A9" s="7" t="s">
        <v>18</v>
      </c>
      <c r="B9" s="8" t="s">
        <v>150</v>
      </c>
      <c r="C9" s="34" t="s">
        <v>151</v>
      </c>
      <c r="D9" s="8" t="s">
        <v>148</v>
      </c>
      <c r="E9" s="37">
        <v>528224</v>
      </c>
      <c r="F9" s="10">
        <f t="shared" ref="F9:F10" si="0">E9*19%</f>
        <v>100362.56</v>
      </c>
      <c r="G9" s="10">
        <f t="shared" ref="G9:G11" si="1">E9+F9</f>
        <v>628586.56000000006</v>
      </c>
      <c r="H9" s="10">
        <f t="shared" ref="H9:H11" si="2">G9</f>
        <v>628586.56000000006</v>
      </c>
      <c r="I9" s="8" t="s">
        <v>16</v>
      </c>
      <c r="J9" s="8" t="s">
        <v>149</v>
      </c>
    </row>
    <row r="10" spans="1:26" ht="50.25" customHeight="1">
      <c r="A10" s="7" t="s">
        <v>21</v>
      </c>
      <c r="B10" s="8" t="s">
        <v>152</v>
      </c>
      <c r="C10" s="34" t="s">
        <v>153</v>
      </c>
      <c r="D10" s="8" t="s">
        <v>148</v>
      </c>
      <c r="E10" s="37">
        <f>160000/1.19</f>
        <v>134453.78151260506</v>
      </c>
      <c r="F10" s="10">
        <f>E10*19%</f>
        <v>25546.218487394959</v>
      </c>
      <c r="G10" s="10">
        <f>E10+F10</f>
        <v>160000</v>
      </c>
      <c r="H10" s="10">
        <f>G10</f>
        <v>160000</v>
      </c>
      <c r="I10" s="8" t="s">
        <v>16</v>
      </c>
      <c r="J10" s="8" t="s">
        <v>149</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FB1B9E5B-6B06-403D-B17C-D75013E96E7B}"/>
    <hyperlink ref="C9" r:id="rId2" xr:uid="{D0ADF459-AD43-4B05-985C-22D8ACE0E2EA}"/>
    <hyperlink ref="C10" r:id="rId3" xr:uid="{1A34BEE2-A760-4399-924A-689720237057}"/>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L13" sqref="L13"/>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132</v>
      </c>
      <c r="C8" s="34" t="s">
        <v>154</v>
      </c>
      <c r="D8" s="8" t="s">
        <v>155</v>
      </c>
      <c r="E8" s="10">
        <f>572900/1.19</f>
        <v>481428.57142857148</v>
      </c>
      <c r="F8" s="10">
        <f>E8*19%</f>
        <v>91471.42857142858</v>
      </c>
      <c r="G8" s="10">
        <f>E8+F8</f>
        <v>572900</v>
      </c>
      <c r="H8" s="10">
        <f>G8</f>
        <v>572900</v>
      </c>
      <c r="I8" s="8" t="s">
        <v>16</v>
      </c>
      <c r="J8" s="8" t="s">
        <v>156</v>
      </c>
    </row>
    <row r="9" spans="1:26" ht="50.25" customHeight="1">
      <c r="A9" s="7" t="s">
        <v>18</v>
      </c>
      <c r="B9" s="8" t="s">
        <v>60</v>
      </c>
      <c r="C9" s="34" t="s">
        <v>157</v>
      </c>
      <c r="D9" s="8" t="s">
        <v>155</v>
      </c>
      <c r="E9" s="10">
        <f>599900/1.19</f>
        <v>504117.64705882355</v>
      </c>
      <c r="F9" s="10">
        <f t="shared" ref="F9:F10" si="0">E9*19%</f>
        <v>95782.352941176476</v>
      </c>
      <c r="G9" s="10">
        <f t="shared" ref="G8:G10" si="1">E9+F9</f>
        <v>599900</v>
      </c>
      <c r="H9" s="10">
        <f t="shared" ref="H8:H10" si="2">G9</f>
        <v>599900</v>
      </c>
      <c r="I9" s="8" t="s">
        <v>16</v>
      </c>
      <c r="J9" s="8" t="s">
        <v>156</v>
      </c>
    </row>
    <row r="10" spans="1:26" ht="50.25" customHeight="1">
      <c r="A10" s="7" t="s">
        <v>21</v>
      </c>
      <c r="B10" s="8" t="s">
        <v>88</v>
      </c>
      <c r="C10" s="34" t="s">
        <v>158</v>
      </c>
      <c r="D10" s="8" t="s">
        <v>155</v>
      </c>
      <c r="E10" s="10">
        <f>619845/1.19</f>
        <v>520878.15126050421</v>
      </c>
      <c r="F10" s="10">
        <f t="shared" si="0"/>
        <v>98966.848739495807</v>
      </c>
      <c r="G10" s="10">
        <f t="shared" si="1"/>
        <v>619845</v>
      </c>
      <c r="H10" s="10">
        <f t="shared" si="2"/>
        <v>619845</v>
      </c>
      <c r="I10" s="8" t="s">
        <v>16</v>
      </c>
      <c r="J10" s="8" t="s">
        <v>156</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3DMCO20508055%26position%3D1%26search_layout%3Dstack%26type%3Dproduct%26tracking_id%3D8f5c10a4-67f3-4267-bdc5-ac55d985d5da" xr:uid="{3D52A2DD-0087-45A8-B54C-59E60C1089AB}"/>
    <hyperlink ref="C9" r:id="rId2" xr:uid="{BE0812F6-E06A-49FC-B096-E9FA8CD2B4BF}"/>
    <hyperlink ref="C10" r:id="rId3" xr:uid="{202CB81A-3D50-40B8-A78F-CBD9D613700C}"/>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10" sqref="H1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42" t="s">
        <v>26</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27</v>
      </c>
      <c r="C8" s="38" t="s">
        <v>28</v>
      </c>
      <c r="D8" s="8" t="s">
        <v>29</v>
      </c>
      <c r="E8" s="10">
        <f>87192/1.19</f>
        <v>73270.588235294126</v>
      </c>
      <c r="F8" s="10">
        <f t="shared" ref="F8:F10" si="0">E8*19%</f>
        <v>13921.411764705885</v>
      </c>
      <c r="G8" s="10">
        <f t="shared" ref="G8:G10" si="1">E8+F8</f>
        <v>87192.000000000015</v>
      </c>
      <c r="H8" s="10">
        <f>G8</f>
        <v>87192.000000000015</v>
      </c>
      <c r="I8" s="8" t="s">
        <v>16</v>
      </c>
      <c r="J8" s="11" t="s">
        <v>30</v>
      </c>
    </row>
    <row r="9" spans="1:26" ht="50.25" customHeight="1">
      <c r="A9" s="7" t="s">
        <v>18</v>
      </c>
      <c r="B9" s="8" t="s">
        <v>31</v>
      </c>
      <c r="C9" s="38" t="s">
        <v>32</v>
      </c>
      <c r="D9" s="8" t="s">
        <v>29</v>
      </c>
      <c r="E9" s="10">
        <f>80900/ 1.19</f>
        <v>67983.193277310929</v>
      </c>
      <c r="F9" s="10">
        <f t="shared" si="0"/>
        <v>12916.806722689076</v>
      </c>
      <c r="G9" s="10">
        <f t="shared" si="1"/>
        <v>80900</v>
      </c>
      <c r="H9" s="10">
        <f t="shared" ref="H8:H10" si="2">G9</f>
        <v>80900</v>
      </c>
      <c r="I9" s="8" t="s">
        <v>16</v>
      </c>
      <c r="J9" s="17" t="s">
        <v>33</v>
      </c>
    </row>
    <row r="10" spans="1:26" ht="50.25" customHeight="1">
      <c r="A10" s="7" t="s">
        <v>21</v>
      </c>
      <c r="B10" s="8" t="s">
        <v>34</v>
      </c>
      <c r="C10" s="38" t="s">
        <v>35</v>
      </c>
      <c r="D10" s="18" t="s">
        <v>29</v>
      </c>
      <c r="E10" s="10">
        <f>87900/1.19</f>
        <v>73865.546218487405</v>
      </c>
      <c r="F10" s="10">
        <f>E10*19%</f>
        <v>14034.453781512608</v>
      </c>
      <c r="G10" s="10">
        <f t="shared" si="1"/>
        <v>87900.000000000015</v>
      </c>
      <c r="H10" s="10">
        <f>G10</f>
        <v>87900.000000000015</v>
      </c>
      <c r="I10" s="8" t="s">
        <v>16</v>
      </c>
      <c r="J10" s="17" t="s">
        <v>33</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ofertas.movistarempresas.com/co-planes-multiproducto-home?utm_source=GOOGLE-SEM&amp;utm_medium=SEM_SEM_CPA&amp;utm_campaign=CO_MARCA_COL-PUREBRAND-1KW-B2B_23-07-03_SEM_LDS-WEB_AON_ABT_BRAND&amp;utm_term=MOVISTAR-EMPRESAS&amp;utm_content=ABT_LDS-WEB&amp;gad_source=1&amp;gclid=Cj0KCQjww5u2BhDeARIsALBuLnP5ciZX0R_UdO6wcJmnUtzbOK0T4bBctbmlZPqEej4fAPt3JUtcZm4aAjS1EALw_wcB" xr:uid="{00000000-0004-0000-0100-000000000000}"/>
    <hyperlink ref="C9" r:id="rId2" display="https://www.tigo.com.co/empresas/promo/fijo?parametro1=search&amp;parametro2=sem&amp;parametro3=co-b2b-mkt_search_performance_b2b_btwfijokitbta_sem_cpl_bta_category&amp;gad_source=1&amp;gclid=Cj0KCQjww5u2BhDeARIsALBuLnPSMbpxpoSHc4di4JAG3nKTjgbEHFj2_o-8zvOU4I3-sglyV34tEw8aAnK8EALw_wcB&amp;gclsrc=aw.ds" xr:uid="{00000000-0004-0000-0100-000001000000}"/>
    <hyperlink ref="C10" r:id="rId3" xr:uid="{D358A182-D4FF-4F94-8BDF-D0723F7EB083}"/>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12" sqref="E12"/>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36</v>
      </c>
      <c r="C8" s="34" t="s">
        <v>37</v>
      </c>
      <c r="D8" s="8" t="s">
        <v>38</v>
      </c>
      <c r="E8" s="35">
        <v>7.99</v>
      </c>
      <c r="F8" s="10">
        <v>0</v>
      </c>
      <c r="G8" s="36">
        <f t="shared" ref="G8:G10" si="0">E8+F8</f>
        <v>7.99</v>
      </c>
      <c r="H8" s="37">
        <f>G8*4000</f>
        <v>31960</v>
      </c>
      <c r="I8" s="8" t="s">
        <v>16</v>
      </c>
      <c r="J8" s="14" t="s">
        <v>39</v>
      </c>
    </row>
    <row r="9" spans="1:26" ht="50.25" customHeight="1">
      <c r="A9" s="7" t="s">
        <v>18</v>
      </c>
      <c r="B9" s="8" t="s">
        <v>40</v>
      </c>
      <c r="C9" s="38" t="s">
        <v>41</v>
      </c>
      <c r="D9" s="8" t="s">
        <v>38</v>
      </c>
      <c r="E9" s="10">
        <f>11500/1.19</f>
        <v>9663.865546218487</v>
      </c>
      <c r="F9" s="10">
        <f t="shared" ref="F8:F10" si="1">E9*19%</f>
        <v>1836.1344537815125</v>
      </c>
      <c r="G9" s="10">
        <f t="shared" si="0"/>
        <v>11500</v>
      </c>
      <c r="H9" s="10">
        <f t="shared" ref="H8:H10" si="2">G9</f>
        <v>11500</v>
      </c>
      <c r="I9" s="8" t="s">
        <v>16</v>
      </c>
      <c r="J9" s="14" t="s">
        <v>42</v>
      </c>
    </row>
    <row r="10" spans="1:26" ht="50.25" customHeight="1">
      <c r="A10" s="7" t="s">
        <v>21</v>
      </c>
      <c r="B10" s="8" t="s">
        <v>43</v>
      </c>
      <c r="C10" s="38" t="s">
        <v>44</v>
      </c>
      <c r="D10" s="8" t="s">
        <v>38</v>
      </c>
      <c r="E10" s="35">
        <v>9.9499999999999993</v>
      </c>
      <c r="F10" s="10">
        <v>0</v>
      </c>
      <c r="G10" s="36">
        <f t="shared" si="0"/>
        <v>9.9499999999999993</v>
      </c>
      <c r="H10" s="43">
        <f>G10*4000</f>
        <v>39800</v>
      </c>
      <c r="I10" s="8" t="s">
        <v>16</v>
      </c>
      <c r="J10" s="14" t="s">
        <v>42</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c r="L13" t="s">
        <v>45</v>
      </c>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xr:uid="{00000000-0004-0000-0300-000001000000}"/>
    <hyperlink ref="C10" r:id="rId2" display="https://www.bluehost.com/?utm_campaign=bh_brand_exact_PPC&amp;utm_source=googleads&amp;utm_medium=brandsearch&amp;channelid=P99C100S570N0B5578A2D4499E0000V121&amp;ds_k=bluehost&amp;gad_source=1&amp;gclid=Cj0KCQjww5u2BhDeARIsALBuLnO1iPlAiAqFOhIiAO0yBFQBm8uEkXoizSnuBHkQzOqvS50A2ydMlQQaAmc8EALw_wcB&amp;gclsrc=aw.ds" xr:uid="{00000000-0004-0000-0300-000002000000}"/>
    <hyperlink ref="C8" r:id="rId3" location="view-growbig" xr:uid="{D8C9EC9B-0E99-450A-9ADB-FF196FC1DAE5}"/>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G10" sqref="G1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v>
      </c>
      <c r="C8" s="25" t="s">
        <v>46</v>
      </c>
      <c r="D8" s="8" t="s">
        <v>47</v>
      </c>
      <c r="E8" s="10">
        <f>2099099/1.19</f>
        <v>1763948.7394957985</v>
      </c>
      <c r="F8" s="10">
        <f t="shared" ref="F8:F10" si="0">E8*19%</f>
        <v>335150.26050420169</v>
      </c>
      <c r="G8" s="10">
        <f t="shared" ref="G8:G10" si="1">E8+F8</f>
        <v>2099099</v>
      </c>
      <c r="H8" s="10">
        <f t="shared" ref="H8:H10" si="2">G8</f>
        <v>2099099</v>
      </c>
      <c r="I8" s="8" t="s">
        <v>16</v>
      </c>
      <c r="J8" s="14" t="s">
        <v>48</v>
      </c>
    </row>
    <row r="9" spans="1:26" ht="50.25" customHeight="1">
      <c r="A9" s="7" t="s">
        <v>18</v>
      </c>
      <c r="B9" s="8" t="s">
        <v>49</v>
      </c>
      <c r="C9" s="12" t="s">
        <v>50</v>
      </c>
      <c r="D9" s="19" t="s">
        <v>47</v>
      </c>
      <c r="E9" s="10">
        <f>1589731.09/1.19</f>
        <v>1335908.4789915967</v>
      </c>
      <c r="F9" s="10">
        <f t="shared" si="0"/>
        <v>253822.61100840339</v>
      </c>
      <c r="G9" s="10">
        <f t="shared" si="1"/>
        <v>1589731.09</v>
      </c>
      <c r="H9" s="10">
        <f t="shared" si="2"/>
        <v>1589731.09</v>
      </c>
      <c r="I9" s="8" t="s">
        <v>16</v>
      </c>
      <c r="J9" s="14" t="s">
        <v>48</v>
      </c>
    </row>
    <row r="10" spans="1:26" ht="50.25" customHeight="1">
      <c r="A10" s="7" t="s">
        <v>21</v>
      </c>
      <c r="B10" s="8" t="s">
        <v>51</v>
      </c>
      <c r="C10" s="9" t="s">
        <v>52</v>
      </c>
      <c r="D10" s="8" t="s">
        <v>47</v>
      </c>
      <c r="E10" s="10">
        <f>2224600/1.19</f>
        <v>1869411.7647058824</v>
      </c>
      <c r="F10" s="10">
        <f t="shared" si="0"/>
        <v>355188.23529411765</v>
      </c>
      <c r="G10" s="10">
        <f>E10+F10</f>
        <v>2224600</v>
      </c>
      <c r="H10" s="10">
        <f t="shared" si="2"/>
        <v>2224600</v>
      </c>
      <c r="I10" s="8" t="s">
        <v>16</v>
      </c>
      <c r="J10" s="14" t="s">
        <v>48</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8" sqref="C8"/>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53</v>
      </c>
      <c r="C8" s="25" t="s">
        <v>54</v>
      </c>
      <c r="D8" s="8" t="s">
        <v>55</v>
      </c>
      <c r="E8" s="10">
        <f>113669/1.19</f>
        <v>95520.168067226899</v>
      </c>
      <c r="F8" s="10">
        <f t="shared" ref="F8:F10" si="0">E8*19%</f>
        <v>18148.831932773111</v>
      </c>
      <c r="G8" s="10">
        <f t="shared" ref="G8:G10" si="1">E8+F8</f>
        <v>113669.00000000001</v>
      </c>
      <c r="H8" s="10">
        <f t="shared" ref="H8:H10" si="2">G8</f>
        <v>113669.00000000001</v>
      </c>
      <c r="I8" s="8" t="s">
        <v>16</v>
      </c>
      <c r="J8" s="14" t="s">
        <v>56</v>
      </c>
    </row>
    <row r="9" spans="1:26" ht="50.25" customHeight="1">
      <c r="A9" s="7" t="s">
        <v>18</v>
      </c>
      <c r="B9" s="8" t="s">
        <v>57</v>
      </c>
      <c r="C9" s="12" t="s">
        <v>58</v>
      </c>
      <c r="D9" s="19" t="s">
        <v>59</v>
      </c>
      <c r="E9" s="10">
        <f>96129.1/1.19</f>
        <v>80780.756302521011</v>
      </c>
      <c r="F9" s="10">
        <f t="shared" si="0"/>
        <v>15348.343697478993</v>
      </c>
      <c r="G9" s="10">
        <f t="shared" si="1"/>
        <v>96129.1</v>
      </c>
      <c r="H9" s="10">
        <f t="shared" si="2"/>
        <v>96129.1</v>
      </c>
      <c r="I9" s="8" t="s">
        <v>16</v>
      </c>
      <c r="J9" s="14" t="s">
        <v>56</v>
      </c>
    </row>
    <row r="10" spans="1:26" ht="50.25" customHeight="1">
      <c r="A10" s="7" t="s">
        <v>21</v>
      </c>
      <c r="B10" s="8" t="s">
        <v>60</v>
      </c>
      <c r="C10" s="9" t="s">
        <v>61</v>
      </c>
      <c r="D10" s="8" t="s">
        <v>62</v>
      </c>
      <c r="E10" s="10">
        <f>95000/1.19</f>
        <v>79831.932773109249</v>
      </c>
      <c r="F10" s="10">
        <f t="shared" si="0"/>
        <v>15168.067226890758</v>
      </c>
      <c r="G10" s="10">
        <f t="shared" si="1"/>
        <v>95000</v>
      </c>
      <c r="H10" s="10">
        <f t="shared" si="2"/>
        <v>95000</v>
      </c>
      <c r="I10" s="8" t="s">
        <v>16</v>
      </c>
      <c r="J10" s="14" t="s">
        <v>56</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J8" sqref="J8"/>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v>
      </c>
      <c r="C8" s="25" t="s">
        <v>63</v>
      </c>
      <c r="D8" s="8" t="s">
        <v>64</v>
      </c>
      <c r="E8" s="20">
        <v>1680</v>
      </c>
      <c r="F8" s="10">
        <v>0</v>
      </c>
      <c r="G8" s="10">
        <f t="shared" ref="G8:G10" si="0">E8+F8</f>
        <v>1680</v>
      </c>
      <c r="H8" s="10">
        <f>G8*4139.5</f>
        <v>6954360</v>
      </c>
      <c r="I8" s="8" t="s">
        <v>65</v>
      </c>
      <c r="J8" s="14" t="s">
        <v>66</v>
      </c>
    </row>
    <row r="9" spans="1:26" ht="50.25" customHeight="1">
      <c r="A9" s="7" t="s">
        <v>18</v>
      </c>
      <c r="B9" s="8" t="s">
        <v>49</v>
      </c>
      <c r="C9" s="12" t="s">
        <v>67</v>
      </c>
      <c r="D9" s="8" t="s">
        <v>68</v>
      </c>
      <c r="E9" s="10">
        <f>2440151.26/1.19</f>
        <v>2050547.2773109244</v>
      </c>
      <c r="F9" s="10">
        <f t="shared" ref="F9:F10" si="1">E9*19%</f>
        <v>389603.98268907564</v>
      </c>
      <c r="G9" s="10">
        <f t="shared" si="0"/>
        <v>2440151.2599999998</v>
      </c>
      <c r="H9" s="10">
        <f t="shared" ref="H9:H10" si="2">G9</f>
        <v>2440151.2599999998</v>
      </c>
      <c r="I9" s="8" t="s">
        <v>65</v>
      </c>
      <c r="J9" s="14" t="s">
        <v>66</v>
      </c>
    </row>
    <row r="10" spans="1:26" ht="50.25" customHeight="1">
      <c r="A10" s="7" t="s">
        <v>21</v>
      </c>
      <c r="B10" s="8" t="s">
        <v>69</v>
      </c>
      <c r="C10" s="9" t="s">
        <v>70</v>
      </c>
      <c r="D10" s="8" t="s">
        <v>71</v>
      </c>
      <c r="E10" s="10">
        <f>6149500/1.19</f>
        <v>5167647.0588235296</v>
      </c>
      <c r="F10" s="10">
        <f t="shared" si="1"/>
        <v>981852.9411764706</v>
      </c>
      <c r="G10" s="10">
        <f t="shared" si="0"/>
        <v>6149500</v>
      </c>
      <c r="H10" s="10">
        <f t="shared" si="2"/>
        <v>6149500</v>
      </c>
      <c r="I10" s="8" t="s">
        <v>65</v>
      </c>
      <c r="J10" s="14" t="s">
        <v>66</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E24" sqref="E24"/>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72</v>
      </c>
      <c r="C8" s="12" t="s">
        <v>73</v>
      </c>
      <c r="D8" s="8" t="s">
        <v>74</v>
      </c>
      <c r="E8" s="10">
        <f>174000/1.19</f>
        <v>146218.48739495798</v>
      </c>
      <c r="F8" s="10">
        <f t="shared" ref="F8:F10" si="0">E8*19%</f>
        <v>27781.512605042015</v>
      </c>
      <c r="G8" s="10">
        <f t="shared" ref="G8:G10" si="1">E8+F8</f>
        <v>174000</v>
      </c>
      <c r="H8" s="10">
        <f t="shared" ref="H8:H10" si="2">G8</f>
        <v>174000</v>
      </c>
      <c r="I8" s="8" t="s">
        <v>16</v>
      </c>
      <c r="J8" s="14" t="s">
        <v>75</v>
      </c>
    </row>
    <row r="9" spans="1:26" ht="50.25" customHeight="1">
      <c r="A9" s="7" t="s">
        <v>18</v>
      </c>
      <c r="B9" s="18" t="s">
        <v>76</v>
      </c>
      <c r="C9" s="12" t="s">
        <v>77</v>
      </c>
      <c r="D9" s="8" t="s">
        <v>74</v>
      </c>
      <c r="E9" s="10">
        <f>129900/1.19</f>
        <v>109159.66386554623</v>
      </c>
      <c r="F9" s="10">
        <f t="shared" si="0"/>
        <v>20740.336134453784</v>
      </c>
      <c r="G9" s="10">
        <f t="shared" si="1"/>
        <v>129900.00000000001</v>
      </c>
      <c r="H9" s="10">
        <f t="shared" si="2"/>
        <v>129900.00000000001</v>
      </c>
      <c r="I9" s="8" t="s">
        <v>16</v>
      </c>
      <c r="J9" s="14" t="s">
        <v>75</v>
      </c>
    </row>
    <row r="10" spans="1:26" ht="50.25" customHeight="1">
      <c r="A10" s="7" t="s">
        <v>21</v>
      </c>
      <c r="B10" s="18" t="s">
        <v>78</v>
      </c>
      <c r="C10" s="9" t="s">
        <v>79</v>
      </c>
      <c r="D10" s="8" t="s">
        <v>80</v>
      </c>
      <c r="E10" s="21">
        <f>142269/1.19</f>
        <v>119553.78151260504</v>
      </c>
      <c r="F10" s="10">
        <f t="shared" si="0"/>
        <v>22715.218487394959</v>
      </c>
      <c r="G10" s="10">
        <f>E10+F10</f>
        <v>142269</v>
      </c>
      <c r="H10" s="10">
        <f t="shared" si="2"/>
        <v>142269</v>
      </c>
      <c r="I10" s="8" t="s">
        <v>16</v>
      </c>
      <c r="J10" s="14" t="s">
        <v>75</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F9" sqref="F9"/>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v>
      </c>
      <c r="C8" s="34" t="s">
        <v>81</v>
      </c>
      <c r="D8" s="8" t="s">
        <v>82</v>
      </c>
      <c r="E8" s="20">
        <v>12</v>
      </c>
      <c r="F8" s="10">
        <v>0</v>
      </c>
      <c r="G8" s="10">
        <f t="shared" ref="G8:G10" si="0">E8+F8</f>
        <v>12</v>
      </c>
      <c r="H8" s="10">
        <f>G8*4000</f>
        <v>48000</v>
      </c>
      <c r="I8" s="8" t="s">
        <v>16</v>
      </c>
      <c r="J8" s="11" t="s">
        <v>83</v>
      </c>
    </row>
    <row r="9" spans="1:26" ht="50.25" customHeight="1">
      <c r="A9" s="7" t="s">
        <v>18</v>
      </c>
      <c r="B9" s="8" t="s">
        <v>84</v>
      </c>
      <c r="C9" s="38" t="s">
        <v>85</v>
      </c>
      <c r="D9" s="8" t="s">
        <v>82</v>
      </c>
      <c r="E9" s="35">
        <f>12.5</f>
        <v>12.5</v>
      </c>
      <c r="F9" s="10">
        <v>0</v>
      </c>
      <c r="G9" s="35">
        <f t="shared" si="0"/>
        <v>12.5</v>
      </c>
      <c r="H9" s="10">
        <f>G9*4000</f>
        <v>50000</v>
      </c>
      <c r="I9" s="8" t="s">
        <v>16</v>
      </c>
      <c r="J9" s="11" t="s">
        <v>83</v>
      </c>
    </row>
    <row r="10" spans="1:26" ht="50.25" customHeight="1">
      <c r="A10" s="7" t="s">
        <v>21</v>
      </c>
      <c r="B10" s="8" t="s">
        <v>86</v>
      </c>
      <c r="C10" s="38" t="s">
        <v>87</v>
      </c>
      <c r="D10" s="8" t="s">
        <v>82</v>
      </c>
      <c r="E10" s="39">
        <f>59800/1.19</f>
        <v>50252.100840336134</v>
      </c>
      <c r="F10" s="10">
        <f>E10*19%</f>
        <v>9547.8991596638662</v>
      </c>
      <c r="G10" s="20">
        <f t="shared" si="0"/>
        <v>59800</v>
      </c>
      <c r="H10" s="10">
        <f>G10</f>
        <v>59800</v>
      </c>
      <c r="I10" s="8" t="s">
        <v>16</v>
      </c>
      <c r="J10" s="11" t="s">
        <v>83</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microsoft.com/es-co/microsoft-365/enterprise/office365-plans-and-pricing?ef_id=_k_CjwKCAjw5Ky1BhAgEiwA5jGujixo99JYIeugN6dqQsrphGavF28qUYMVVL_VsrxHn5qEesPzSI4f1hoCPgMQAvD_BwE_k_&amp;OCID=AIDcmmpw76nrjm_SEM__k_CjwKCAjw5Ky1BhAgEiwA5jGujixo99JYIeugN6dqQsrphGavF28qUYMVVL_VsrxHn5qEesPzSI4f1hoCPgMQAvD_BwE_k_&amp;gad_source=1&amp;gclid=CjwKCAjw5Ky1BhAgEiwA5jGujixo99JYIeugN6dqQsrphGavF28qUYMVVL_VsrxHn5qEesPzSI4f1hoCPgMQAvD_BwE" xr:uid="{00000000-0004-0000-0800-000000000000}"/>
    <hyperlink ref="C9" r:id="rId2" xr:uid="{20C9A0DD-93AD-4908-B0E2-FD8C3936D658}"/>
    <hyperlink ref="C10" r:id="rId3" xr:uid="{558E03B7-2529-480A-A4D0-5FF851781343}"/>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E8" sqref="E8"/>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44" t="s">
        <v>0</v>
      </c>
      <c r="E2" s="48"/>
      <c r="F2" s="48"/>
      <c r="G2" s="48"/>
      <c r="H2" s="48"/>
    </row>
    <row r="3" spans="1:26" ht="12.75" customHeight="1"/>
    <row r="4" spans="1:26" ht="12.75" customHeight="1"/>
    <row r="5" spans="1:26" ht="43.5" customHeight="1">
      <c r="A5" s="45" t="s">
        <v>1</v>
      </c>
      <c r="B5" s="49"/>
      <c r="C5" s="49"/>
      <c r="D5" s="49"/>
      <c r="E5" s="49"/>
      <c r="F5" s="49"/>
      <c r="G5" s="49"/>
      <c r="H5" s="49"/>
      <c r="I5" s="49"/>
      <c r="J5" s="50"/>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88</v>
      </c>
      <c r="C8" s="25" t="s">
        <v>89</v>
      </c>
      <c r="D8" s="8" t="s">
        <v>90</v>
      </c>
      <c r="E8" s="10">
        <f>16700/1.19</f>
        <v>14033.613445378152</v>
      </c>
      <c r="F8" s="10">
        <f t="shared" ref="F8:F10" si="0">E8*19%</f>
        <v>2666.386554621849</v>
      </c>
      <c r="G8" s="10">
        <f t="shared" ref="G8:G10" si="1">E8+F8</f>
        <v>16700</v>
      </c>
      <c r="H8" s="10">
        <f t="shared" ref="H8:H10" si="2">G8</f>
        <v>16700</v>
      </c>
      <c r="I8" s="8" t="s">
        <v>16</v>
      </c>
      <c r="J8" s="11" t="s">
        <v>91</v>
      </c>
    </row>
    <row r="9" spans="1:26" ht="50.25" customHeight="1">
      <c r="A9" s="7" t="s">
        <v>18</v>
      </c>
      <c r="B9" s="8" t="s">
        <v>60</v>
      </c>
      <c r="C9" s="12" t="s">
        <v>92</v>
      </c>
      <c r="D9" s="8" t="s">
        <v>90</v>
      </c>
      <c r="E9" s="10">
        <f>19900/1.19</f>
        <v>16722.689075630253</v>
      </c>
      <c r="F9" s="10">
        <f t="shared" si="0"/>
        <v>3177.3109243697481</v>
      </c>
      <c r="G9" s="10">
        <f t="shared" si="1"/>
        <v>19900</v>
      </c>
      <c r="H9" s="10">
        <f t="shared" si="2"/>
        <v>19900</v>
      </c>
      <c r="I9" s="8" t="s">
        <v>16</v>
      </c>
      <c r="J9" s="11" t="s">
        <v>93</v>
      </c>
    </row>
    <row r="10" spans="1:26" ht="50.25" customHeight="1">
      <c r="A10" s="7" t="s">
        <v>21</v>
      </c>
      <c r="B10" s="8" t="s">
        <v>94</v>
      </c>
      <c r="C10" s="9" t="s">
        <v>95</v>
      </c>
      <c r="D10" s="8" t="s">
        <v>90</v>
      </c>
      <c r="E10" s="10">
        <f>22000/1.19</f>
        <v>18487.394957983193</v>
      </c>
      <c r="F10" s="10">
        <f t="shared" si="0"/>
        <v>3512.6050420168067</v>
      </c>
      <c r="G10" s="10">
        <f t="shared" si="1"/>
        <v>22000</v>
      </c>
      <c r="H10" s="10">
        <f t="shared" si="2"/>
        <v>22000</v>
      </c>
      <c r="I10" s="8" t="s">
        <v>16</v>
      </c>
      <c r="J10" s="11" t="s">
        <v>91</v>
      </c>
    </row>
    <row r="11" spans="1:26" ht="15" hidden="1" customHeight="1">
      <c r="A11" s="13"/>
      <c r="B11" s="14"/>
      <c r="C11" s="14"/>
      <c r="D11" s="14"/>
      <c r="E11" s="14"/>
      <c r="F11" s="14"/>
      <c r="G11" s="14"/>
      <c r="H11" s="14"/>
      <c r="I11" s="14"/>
      <c r="J11" s="14"/>
    </row>
    <row r="12" spans="1:26" ht="12.75" customHeight="1"/>
    <row r="13" spans="1:26" ht="138.75" customHeight="1">
      <c r="A13" s="46" t="s">
        <v>24</v>
      </c>
      <c r="B13" s="49"/>
      <c r="C13" s="49"/>
      <c r="D13" s="49"/>
      <c r="E13" s="49"/>
      <c r="F13" s="49"/>
      <c r="G13" s="49"/>
      <c r="H13" s="49"/>
      <c r="I13" s="49"/>
      <c r="J13" s="50"/>
    </row>
    <row r="14" spans="1:26" ht="12.75" customHeight="1"/>
    <row r="15" spans="1:26" ht="75" customHeight="1">
      <c r="A15" s="46" t="s">
        <v>25</v>
      </c>
      <c r="B15" s="49"/>
      <c r="C15" s="49"/>
      <c r="D15" s="49"/>
      <c r="E15" s="49"/>
      <c r="F15" s="49"/>
      <c r="G15" s="49"/>
      <c r="H15" s="49"/>
      <c r="I15" s="49"/>
      <c r="J15" s="5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5"/>
      <c r="E26" s="15"/>
      <c r="F26" s="16"/>
      <c r="G26" s="16"/>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900-000000000000}"/>
    <hyperlink ref="C9" r:id="rId2" xr:uid="{00000000-0004-0000-0900-000001000000}"/>
    <hyperlink ref="C10" r:id="rId3" xr:uid="{00000000-0004-0000-09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Jose David Daza Camacho</cp:lastModifiedBy>
  <cp:revision/>
  <dcterms:created xsi:type="dcterms:W3CDTF">2010-11-08T17:12:41Z</dcterms:created>
  <dcterms:modified xsi:type="dcterms:W3CDTF">2024-09-04T20:40:47Z</dcterms:modified>
  <cp:category/>
  <cp:contentStatus/>
</cp:coreProperties>
</file>