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hone Scenario\"/>
    </mc:Choice>
  </mc:AlternateContent>
  <bookViews>
    <workbookView xWindow="0" yWindow="0" windowWidth="19200" windowHeight="7155" firstSheet="5" activeTab="5"/>
  </bookViews>
  <sheets>
    <sheet name="Single Line- Phone Choice" sheetId="13" state="hidden" r:id="rId1"/>
    <sheet name="Sample Database" sheetId="28" state="hidden" r:id="rId2"/>
    <sheet name="Biz Requirements" sheetId="27" state="hidden" r:id="rId3"/>
    <sheet name="Plan Options" sheetId="2" state="hidden" r:id="rId4"/>
    <sheet name="Profiling Process" sheetId="33" r:id="rId5"/>
    <sheet name="Input-Output summary" sheetId="35" r:id="rId6"/>
    <sheet name="Calculator detail" sheetId="32" r:id="rId7"/>
    <sheet name="questions" sheetId="37" r:id="rId8"/>
    <sheet name="Phone Pricing" sheetId="12" r:id="rId9"/>
    <sheet name="Plan Database" sheetId="29" r:id="rId10"/>
    <sheet name="Phone Purchase Database" sheetId="30" r:id="rId11"/>
    <sheet name="T Mobile Pricing Matrix" sheetId="34" r:id="rId12"/>
    <sheet name="Phone, Plan and User Variables" sheetId="26" r:id="rId13"/>
    <sheet name="Sheet1" sheetId="36" r:id="rId14"/>
    <sheet name="Plan " sheetId="25" state="hidden" r:id="rId15"/>
  </sheets>
  <definedNames>
    <definedName name="_xlnm._FilterDatabase" localSheetId="3" hidden="1">'Plan Options'!$A$1:$A$155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5" l="1"/>
  <c r="W30" i="12" l="1"/>
  <c r="U30" i="12"/>
  <c r="R30" i="12"/>
  <c r="P30" i="12"/>
  <c r="O30" i="12"/>
  <c r="N30" i="12"/>
  <c r="M30" i="12"/>
  <c r="L30" i="12"/>
  <c r="K30" i="12"/>
  <c r="X21" i="12"/>
  <c r="W21" i="12"/>
  <c r="V21" i="12"/>
  <c r="U18" i="12"/>
  <c r="R21" i="12"/>
  <c r="Q21" i="12"/>
  <c r="N21" i="12"/>
  <c r="M21" i="12"/>
  <c r="L21" i="12"/>
  <c r="L3" i="30" l="1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2" i="30"/>
  <c r="B39" i="32" l="1"/>
  <c r="M45" i="32" s="1"/>
  <c r="B37" i="32"/>
  <c r="L45" i="32" s="1"/>
  <c r="B35" i="32"/>
  <c r="K45" i="32" s="1"/>
  <c r="B33" i="32"/>
  <c r="J45" i="32" s="1"/>
  <c r="A20" i="35" l="1"/>
  <c r="I7" i="35" s="1"/>
  <c r="A23" i="35"/>
  <c r="G7" i="35" s="1"/>
  <c r="A26" i="35"/>
  <c r="J7" i="35" s="1"/>
  <c r="A29" i="35"/>
  <c r="H7" i="35" s="1"/>
  <c r="N41" i="32"/>
  <c r="U40" i="32" s="1"/>
  <c r="AB41" i="32" s="1"/>
  <c r="M41" i="32"/>
  <c r="T40" i="32" s="1"/>
  <c r="AA41" i="32" s="1"/>
  <c r="L41" i="32"/>
  <c r="S40" i="32" s="1"/>
  <c r="Z41" i="32" s="1"/>
  <c r="K41" i="32"/>
  <c r="R40" i="32" s="1"/>
  <c r="Y41" i="32" s="1"/>
  <c r="J41" i="32"/>
  <c r="Q40" i="32" s="1"/>
  <c r="X41" i="32" s="1"/>
  <c r="J39" i="32"/>
  <c r="Q39" i="32" s="1"/>
  <c r="X39" i="32" s="1"/>
  <c r="N38" i="32"/>
  <c r="U37" i="32" s="1"/>
  <c r="AB38" i="32" s="1"/>
  <c r="M38" i="32"/>
  <c r="T37" i="32" s="1"/>
  <c r="AA38" i="32" s="1"/>
  <c r="L38" i="32"/>
  <c r="S37" i="32" s="1"/>
  <c r="Z38" i="32" s="1"/>
  <c r="K38" i="32"/>
  <c r="R37" i="32" s="1"/>
  <c r="Y38" i="32" s="1"/>
  <c r="J38" i="32"/>
  <c r="Q37" i="32" s="1"/>
  <c r="X38" i="32" s="1"/>
  <c r="J36" i="32"/>
  <c r="Q36" i="32" s="1"/>
  <c r="X36" i="32" s="1"/>
  <c r="N35" i="32"/>
  <c r="U34" i="32" s="1"/>
  <c r="AB35" i="32" s="1"/>
  <c r="M35" i="32"/>
  <c r="T34" i="32" s="1"/>
  <c r="AA35" i="32" s="1"/>
  <c r="L35" i="32"/>
  <c r="S34" i="32" s="1"/>
  <c r="Z35" i="32" s="1"/>
  <c r="K35" i="32"/>
  <c r="R34" i="32" s="1"/>
  <c r="Y35" i="32" s="1"/>
  <c r="J35" i="32"/>
  <c r="Q34" i="32" s="1"/>
  <c r="X35" i="32" s="1"/>
  <c r="J33" i="32"/>
  <c r="Q33" i="32" s="1"/>
  <c r="X33" i="32" s="1"/>
  <c r="N32" i="32"/>
  <c r="U31" i="32" s="1"/>
  <c r="AB32" i="32" s="1"/>
  <c r="M32" i="32"/>
  <c r="T31" i="32" s="1"/>
  <c r="AA32" i="32" s="1"/>
  <c r="L32" i="32"/>
  <c r="S31" i="32" s="1"/>
  <c r="Z32" i="32" s="1"/>
  <c r="K32" i="32"/>
  <c r="R31" i="32" s="1"/>
  <c r="Y32" i="32" s="1"/>
  <c r="J32" i="32"/>
  <c r="Q31" i="32" s="1"/>
  <c r="X32" i="32" s="1"/>
  <c r="J30" i="32"/>
  <c r="Q30" i="32" s="1"/>
  <c r="X30" i="32" s="1"/>
  <c r="C13" i="32" l="1"/>
  <c r="C12" i="32"/>
  <c r="C11" i="32"/>
  <c r="C10" i="32"/>
  <c r="C9" i="32"/>
  <c r="C7" i="32"/>
  <c r="M4" i="30" l="1"/>
  <c r="M7" i="30"/>
  <c r="M13" i="30"/>
  <c r="M14" i="30"/>
  <c r="M19" i="30"/>
  <c r="M20" i="30"/>
  <c r="M24" i="30"/>
  <c r="M25" i="30"/>
  <c r="M27" i="30"/>
  <c r="M29" i="30"/>
  <c r="M31" i="30"/>
  <c r="M37" i="30"/>
  <c r="M38" i="30"/>
  <c r="M41" i="30"/>
  <c r="M43" i="30"/>
  <c r="M44" i="30"/>
  <c r="M48" i="30"/>
  <c r="M49" i="30"/>
  <c r="M51" i="30"/>
  <c r="M53" i="30"/>
  <c r="M57" i="30"/>
  <c r="M59" i="30"/>
  <c r="M61" i="30"/>
  <c r="K61" i="30"/>
  <c r="K60" i="30"/>
  <c r="M60" i="30" s="1"/>
  <c r="K59" i="30"/>
  <c r="K58" i="30"/>
  <c r="M58" i="30" s="1"/>
  <c r="K57" i="30"/>
  <c r="K56" i="30"/>
  <c r="M56" i="30" s="1"/>
  <c r="K54" i="30"/>
  <c r="M54" i="30" s="1"/>
  <c r="K53" i="30"/>
  <c r="K52" i="30"/>
  <c r="M52" i="30" s="1"/>
  <c r="K51" i="30"/>
  <c r="K50" i="30"/>
  <c r="M50" i="30" s="1"/>
  <c r="K48" i="30"/>
  <c r="K47" i="30"/>
  <c r="M47" i="30" s="1"/>
  <c r="K45" i="30"/>
  <c r="M45" i="30" s="1"/>
  <c r="K42" i="30"/>
  <c r="M42" i="30" s="1"/>
  <c r="K41" i="30"/>
  <c r="K40" i="30"/>
  <c r="M40" i="30" s="1"/>
  <c r="K39" i="30"/>
  <c r="M39" i="30" s="1"/>
  <c r="K36" i="30"/>
  <c r="M36" i="30" s="1"/>
  <c r="K35" i="30"/>
  <c r="M35" i="30" s="1"/>
  <c r="K34" i="30"/>
  <c r="M34" i="30" s="1"/>
  <c r="K33" i="30"/>
  <c r="M33" i="30" s="1"/>
  <c r="K32" i="30"/>
  <c r="M32" i="30" s="1"/>
  <c r="K30" i="30"/>
  <c r="M30" i="30" s="1"/>
  <c r="K29" i="30"/>
  <c r="K28" i="30"/>
  <c r="M28" i="30" s="1"/>
  <c r="K27" i="30"/>
  <c r="K24" i="30"/>
  <c r="K23" i="30"/>
  <c r="M23" i="30" s="1"/>
  <c r="K22" i="30"/>
  <c r="M22" i="30" s="1"/>
  <c r="K21" i="30"/>
  <c r="M21" i="30" s="1"/>
  <c r="K18" i="30"/>
  <c r="M18" i="30" s="1"/>
  <c r="K17" i="30"/>
  <c r="M17" i="30" s="1"/>
  <c r="K16" i="30"/>
  <c r="M16" i="30" s="1"/>
  <c r="K15" i="30"/>
  <c r="M15" i="30" s="1"/>
  <c r="K12" i="30"/>
  <c r="M12" i="30" s="1"/>
  <c r="K11" i="30"/>
  <c r="M11" i="30" s="1"/>
  <c r="K10" i="30"/>
  <c r="M10" i="30" s="1"/>
  <c r="K9" i="30"/>
  <c r="M9" i="30" s="1"/>
  <c r="K8" i="30"/>
  <c r="M8" i="30" s="1"/>
  <c r="K6" i="30"/>
  <c r="M6" i="30" s="1"/>
  <c r="K5" i="30"/>
  <c r="M5" i="30" s="1"/>
  <c r="K4" i="30"/>
  <c r="K3" i="30"/>
  <c r="M3" i="30" s="1"/>
  <c r="K2" i="30"/>
  <c r="M2" i="30" s="1"/>
  <c r="H55" i="30" l="1"/>
  <c r="K55" i="30" s="1"/>
  <c r="M55" i="30" s="1"/>
  <c r="H46" i="30"/>
  <c r="K46" i="30" s="1"/>
  <c r="M46" i="30" s="1"/>
  <c r="N3" i="29" l="1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" i="29"/>
  <c r="C15" i="32" l="1"/>
  <c r="C14" i="32"/>
  <c r="C8" i="32"/>
  <c r="C6" i="32"/>
  <c r="C5" i="32"/>
  <c r="C4" i="32"/>
  <c r="C3" i="32"/>
  <c r="AJ22" i="32" l="1"/>
  <c r="AB22" i="32"/>
  <c r="T22" i="32"/>
  <c r="AF22" i="32"/>
  <c r="N22" i="32"/>
  <c r="G22" i="32"/>
  <c r="AC22" i="32"/>
  <c r="U22" i="32"/>
  <c r="AG22" i="32"/>
  <c r="Y22" i="32"/>
  <c r="M22" i="32"/>
  <c r="F22" i="32"/>
  <c r="V22" i="32"/>
  <c r="AH22" i="32"/>
  <c r="Z22" i="32"/>
  <c r="R22" i="32"/>
  <c r="L22" i="32"/>
  <c r="E22" i="32"/>
  <c r="AI22" i="32"/>
  <c r="AA22" i="32"/>
  <c r="S22" i="32"/>
  <c r="O22" i="32"/>
  <c r="K22" i="32"/>
  <c r="K26" i="30"/>
  <c r="M26" i="30" s="1"/>
  <c r="D22" i="32"/>
  <c r="C22" i="32"/>
  <c r="AJ26" i="32"/>
  <c r="AF26" i="32"/>
  <c r="U32" i="32" s="1"/>
  <c r="AG25" i="32"/>
  <c r="AI23" i="32"/>
  <c r="AH26" i="32"/>
  <c r="AI25" i="32"/>
  <c r="AJ24" i="32"/>
  <c r="AF24" i="32"/>
  <c r="AG23" i="32"/>
  <c r="AG26" i="32"/>
  <c r="U35" i="32" s="1"/>
  <c r="AH25" i="32"/>
  <c r="AJ23" i="32"/>
  <c r="AI26" i="32"/>
  <c r="U41" i="32" s="1"/>
  <c r="AJ25" i="32"/>
  <c r="AF25" i="32"/>
  <c r="AH23" i="32"/>
  <c r="AF23" i="32"/>
  <c r="AC26" i="32"/>
  <c r="Y26" i="32"/>
  <c r="T32" i="32" s="1"/>
  <c r="Z25" i="32"/>
  <c r="AC23" i="32"/>
  <c r="Y23" i="32"/>
  <c r="T25" i="32"/>
  <c r="R24" i="32"/>
  <c r="S23" i="32"/>
  <c r="AB26" i="32"/>
  <c r="T41" i="32" s="1"/>
  <c r="AC25" i="32"/>
  <c r="Y25" i="32"/>
  <c r="AB23" i="32"/>
  <c r="S25" i="32"/>
  <c r="V23" i="32"/>
  <c r="R23" i="32"/>
  <c r="AA26" i="32"/>
  <c r="AB25" i="32"/>
  <c r="AC24" i="32"/>
  <c r="AA23" i="32"/>
  <c r="V25" i="32"/>
  <c r="R25" i="32"/>
  <c r="U23" i="32"/>
  <c r="Z26" i="32"/>
  <c r="T35" i="32" s="1"/>
  <c r="AA25" i="32"/>
  <c r="Y24" i="32"/>
  <c r="Z23" i="32"/>
  <c r="U25" i="32"/>
  <c r="V24" i="32"/>
  <c r="T23" i="32"/>
  <c r="T26" i="32"/>
  <c r="S38" i="32" s="1"/>
  <c r="S26" i="32"/>
  <c r="S35" i="32" s="1"/>
  <c r="V26" i="32"/>
  <c r="R26" i="32"/>
  <c r="S32" i="32" s="1"/>
  <c r="U26" i="32"/>
  <c r="S41" i="32" s="1"/>
  <c r="O26" i="32"/>
  <c r="K26" i="32"/>
  <c r="R32" i="32" s="1"/>
  <c r="L25" i="32"/>
  <c r="N23" i="32"/>
  <c r="N26" i="32"/>
  <c r="R41" i="32" s="1"/>
  <c r="O25" i="32"/>
  <c r="K25" i="32"/>
  <c r="M23" i="32"/>
  <c r="M26" i="32"/>
  <c r="N25" i="32"/>
  <c r="O24" i="32"/>
  <c r="K24" i="32"/>
  <c r="L23" i="32"/>
  <c r="L26" i="32"/>
  <c r="M25" i="32"/>
  <c r="O23" i="32"/>
  <c r="K23" i="32"/>
  <c r="G26" i="32"/>
  <c r="C26" i="32"/>
  <c r="D25" i="32"/>
  <c r="E24" i="32"/>
  <c r="F23" i="32"/>
  <c r="F26" i="32"/>
  <c r="Q41" i="32" s="1"/>
  <c r="G25" i="32"/>
  <c r="C25" i="32"/>
  <c r="D24" i="32"/>
  <c r="E23" i="32"/>
  <c r="E26" i="32"/>
  <c r="F25" i="32"/>
  <c r="G24" i="32"/>
  <c r="C24" i="32"/>
  <c r="D23" i="32"/>
  <c r="D26" i="32"/>
  <c r="Q35" i="32" s="1"/>
  <c r="E25" i="32"/>
  <c r="F24" i="32"/>
  <c r="G23" i="32"/>
  <c r="C23" i="32"/>
  <c r="J187" i="29"/>
  <c r="I187" i="29" s="1"/>
  <c r="M187" i="29" s="1"/>
  <c r="J188" i="29"/>
  <c r="I188" i="29" s="1"/>
  <c r="M188" i="29" s="1"/>
  <c r="J189" i="29"/>
  <c r="I189" i="29" s="1"/>
  <c r="M189" i="29" s="1"/>
  <c r="J190" i="29"/>
  <c r="I190" i="29" s="1"/>
  <c r="M190" i="29" s="1"/>
  <c r="J191" i="29"/>
  <c r="I191" i="29" s="1"/>
  <c r="M191" i="29" s="1"/>
  <c r="J192" i="29"/>
  <c r="I192" i="29" s="1"/>
  <c r="M192" i="29" s="1"/>
  <c r="J193" i="29"/>
  <c r="I193" i="29" s="1"/>
  <c r="M193" i="29" s="1"/>
  <c r="J194" i="29"/>
  <c r="I194" i="29" s="1"/>
  <c r="M194" i="29" s="1"/>
  <c r="J195" i="29"/>
  <c r="I195" i="29" s="1"/>
  <c r="M195" i="29" s="1"/>
  <c r="J196" i="29"/>
  <c r="I196" i="29" s="1"/>
  <c r="M196" i="29" s="1"/>
  <c r="J197" i="29"/>
  <c r="I197" i="29" s="1"/>
  <c r="M197" i="29" s="1"/>
  <c r="J198" i="29"/>
  <c r="I198" i="29" s="1"/>
  <c r="M198" i="29" s="1"/>
  <c r="J199" i="29"/>
  <c r="I199" i="29" s="1"/>
  <c r="M199" i="29" s="1"/>
  <c r="J200" i="29"/>
  <c r="I200" i="29" s="1"/>
  <c r="M200" i="29" s="1"/>
  <c r="J201" i="29"/>
  <c r="I201" i="29" s="1"/>
  <c r="M201" i="29" s="1"/>
  <c r="J202" i="29"/>
  <c r="I202" i="29" s="1"/>
  <c r="M202" i="29" s="1"/>
  <c r="J203" i="29"/>
  <c r="I203" i="29" s="1"/>
  <c r="M203" i="29" s="1"/>
  <c r="J204" i="29"/>
  <c r="I204" i="29" s="1"/>
  <c r="M204" i="29" s="1"/>
  <c r="J205" i="29"/>
  <c r="I205" i="29" s="1"/>
  <c r="M205" i="29" s="1"/>
  <c r="J206" i="29"/>
  <c r="I206" i="29" s="1"/>
  <c r="M206" i="29" s="1"/>
  <c r="J207" i="29"/>
  <c r="I207" i="29" s="1"/>
  <c r="M207" i="29" s="1"/>
  <c r="J208" i="29"/>
  <c r="I208" i="29" s="1"/>
  <c r="M208" i="29" s="1"/>
  <c r="J209" i="29"/>
  <c r="I209" i="29" s="1"/>
  <c r="M209" i="29" s="1"/>
  <c r="J210" i="29"/>
  <c r="I210" i="29" s="1"/>
  <c r="M210" i="29" s="1"/>
  <c r="J211" i="29"/>
  <c r="I211" i="29" s="1"/>
  <c r="M211" i="29" s="1"/>
  <c r="J212" i="29"/>
  <c r="I212" i="29" s="1"/>
  <c r="M212" i="29" s="1"/>
  <c r="J213" i="29"/>
  <c r="I213" i="29" s="1"/>
  <c r="M213" i="29" s="1"/>
  <c r="J214" i="29"/>
  <c r="I214" i="29" s="1"/>
  <c r="M214" i="29" s="1"/>
  <c r="J215" i="29"/>
  <c r="I215" i="29" s="1"/>
  <c r="M215" i="29" s="1"/>
  <c r="J216" i="29"/>
  <c r="I216" i="29" s="1"/>
  <c r="M216" i="29" s="1"/>
  <c r="J217" i="29"/>
  <c r="I217" i="29" s="1"/>
  <c r="M217" i="29" s="1"/>
  <c r="J218" i="29"/>
  <c r="I218" i="29" s="1"/>
  <c r="M218" i="29" s="1"/>
  <c r="J219" i="29"/>
  <c r="I219" i="29" s="1"/>
  <c r="M219" i="29" s="1"/>
  <c r="J220" i="29"/>
  <c r="I220" i="29" s="1"/>
  <c r="M220" i="29" s="1"/>
  <c r="J221" i="29"/>
  <c r="I221" i="29" s="1"/>
  <c r="M221" i="29" s="1"/>
  <c r="J222" i="29"/>
  <c r="I222" i="29" s="1"/>
  <c r="M222" i="29" s="1"/>
  <c r="J223" i="29"/>
  <c r="I223" i="29" s="1"/>
  <c r="M223" i="29" s="1"/>
  <c r="J224" i="29"/>
  <c r="I224" i="29" s="1"/>
  <c r="M224" i="29" s="1"/>
  <c r="J225" i="29"/>
  <c r="I225" i="29" s="1"/>
  <c r="M225" i="29" s="1"/>
  <c r="J226" i="29"/>
  <c r="I226" i="29" s="1"/>
  <c r="M226" i="29" s="1"/>
  <c r="J227" i="29"/>
  <c r="I227" i="29" s="1"/>
  <c r="M227" i="29" s="1"/>
  <c r="J228" i="29"/>
  <c r="I228" i="29" s="1"/>
  <c r="M228" i="29" s="1"/>
  <c r="J229" i="29"/>
  <c r="I229" i="29" s="1"/>
  <c r="M229" i="29" s="1"/>
  <c r="J230" i="29"/>
  <c r="I230" i="29" s="1"/>
  <c r="M230" i="29" s="1"/>
  <c r="J231" i="29"/>
  <c r="I231" i="29" s="1"/>
  <c r="M231" i="29" s="1"/>
  <c r="J232" i="29"/>
  <c r="I232" i="29" s="1"/>
  <c r="M232" i="29" s="1"/>
  <c r="J233" i="29"/>
  <c r="I233" i="29" s="1"/>
  <c r="M233" i="29" s="1"/>
  <c r="J234" i="29"/>
  <c r="I234" i="29" s="1"/>
  <c r="M234" i="29" s="1"/>
  <c r="J235" i="29"/>
  <c r="I235" i="29" s="1"/>
  <c r="M235" i="29" s="1"/>
  <c r="J236" i="29"/>
  <c r="I236" i="29" s="1"/>
  <c r="M236" i="29" s="1"/>
  <c r="J237" i="29"/>
  <c r="I237" i="29" s="1"/>
  <c r="M237" i="29" s="1"/>
  <c r="J238" i="29"/>
  <c r="I238" i="29" s="1"/>
  <c r="M238" i="29" s="1"/>
  <c r="J239" i="29"/>
  <c r="I239" i="29" s="1"/>
  <c r="M239" i="29" s="1"/>
  <c r="J240" i="29"/>
  <c r="I240" i="29" s="1"/>
  <c r="M240" i="29" s="1"/>
  <c r="J241" i="29"/>
  <c r="I241" i="29" s="1"/>
  <c r="M241" i="29" s="1"/>
  <c r="J242" i="29"/>
  <c r="I242" i="29" s="1"/>
  <c r="M242" i="29" s="1"/>
  <c r="J243" i="29"/>
  <c r="I243" i="29" s="1"/>
  <c r="M243" i="29" s="1"/>
  <c r="J244" i="29"/>
  <c r="I244" i="29" s="1"/>
  <c r="M244" i="29" s="1"/>
  <c r="J245" i="29"/>
  <c r="I245" i="29" s="1"/>
  <c r="M245" i="29" s="1"/>
  <c r="J246" i="29"/>
  <c r="I246" i="29" s="1"/>
  <c r="M246" i="29" s="1"/>
  <c r="J247" i="29"/>
  <c r="I247" i="29" s="1"/>
  <c r="M247" i="29" s="1"/>
  <c r="J248" i="29"/>
  <c r="I248" i="29" s="1"/>
  <c r="M248" i="29" s="1"/>
  <c r="J249" i="29"/>
  <c r="I249" i="29" s="1"/>
  <c r="M249" i="29" s="1"/>
  <c r="J250" i="29"/>
  <c r="I250" i="29" s="1"/>
  <c r="M250" i="29" s="1"/>
  <c r="J251" i="29"/>
  <c r="I251" i="29" s="1"/>
  <c r="M251" i="29" s="1"/>
  <c r="J252" i="29"/>
  <c r="I252" i="29" s="1"/>
  <c r="M252" i="29" s="1"/>
  <c r="J253" i="29"/>
  <c r="I253" i="29" s="1"/>
  <c r="M253" i="29" s="1"/>
  <c r="J254" i="29"/>
  <c r="I254" i="29" s="1"/>
  <c r="M254" i="29" s="1"/>
  <c r="J255" i="29"/>
  <c r="I255" i="29" s="1"/>
  <c r="M255" i="29" s="1"/>
  <c r="J256" i="29"/>
  <c r="I256" i="29" s="1"/>
  <c r="M256" i="29" s="1"/>
  <c r="J257" i="29"/>
  <c r="I257" i="29" s="1"/>
  <c r="M257" i="29" s="1"/>
  <c r="J258" i="29"/>
  <c r="I258" i="29" s="1"/>
  <c r="M258" i="29" s="1"/>
  <c r="J259" i="29"/>
  <c r="I259" i="29" s="1"/>
  <c r="M259" i="29" s="1"/>
  <c r="J260" i="29"/>
  <c r="I260" i="29" s="1"/>
  <c r="M260" i="29" s="1"/>
  <c r="J261" i="29"/>
  <c r="I261" i="29" s="1"/>
  <c r="M261" i="29" s="1"/>
  <c r="J177" i="29"/>
  <c r="I177" i="29" s="1"/>
  <c r="M177" i="29" s="1"/>
  <c r="J178" i="29"/>
  <c r="I178" i="29" s="1"/>
  <c r="M178" i="29" s="1"/>
  <c r="J179" i="29"/>
  <c r="I179" i="29" s="1"/>
  <c r="M179" i="29" s="1"/>
  <c r="J180" i="29"/>
  <c r="I180" i="29" s="1"/>
  <c r="M180" i="29" s="1"/>
  <c r="J181" i="29"/>
  <c r="I181" i="29" s="1"/>
  <c r="M181" i="29" s="1"/>
  <c r="J182" i="29"/>
  <c r="I182" i="29" s="1"/>
  <c r="M182" i="29" s="1"/>
  <c r="J183" i="29"/>
  <c r="I183" i="29" s="1"/>
  <c r="M183" i="29" s="1"/>
  <c r="J184" i="29"/>
  <c r="I184" i="29" s="1"/>
  <c r="M184" i="29" s="1"/>
  <c r="J185" i="29"/>
  <c r="I185" i="29" s="1"/>
  <c r="M185" i="29" s="1"/>
  <c r="J186" i="29"/>
  <c r="I186" i="29" s="1"/>
  <c r="M186" i="29" s="1"/>
  <c r="J2" i="29"/>
  <c r="I2" i="29" s="1"/>
  <c r="M2" i="29" s="1"/>
  <c r="J3" i="29"/>
  <c r="I3" i="29" s="1"/>
  <c r="M3" i="29" s="1"/>
  <c r="J4" i="29"/>
  <c r="I4" i="29" s="1"/>
  <c r="M4" i="29" s="1"/>
  <c r="J5" i="29"/>
  <c r="I5" i="29" s="1"/>
  <c r="M5" i="29" s="1"/>
  <c r="J6" i="29"/>
  <c r="I6" i="29" s="1"/>
  <c r="M6" i="29" s="1"/>
  <c r="J7" i="29"/>
  <c r="I7" i="29" s="1"/>
  <c r="M7" i="29" s="1"/>
  <c r="J8" i="29"/>
  <c r="I8" i="29" s="1"/>
  <c r="M8" i="29" s="1"/>
  <c r="J9" i="29"/>
  <c r="I9" i="29" s="1"/>
  <c r="M9" i="29" s="1"/>
  <c r="J10" i="29"/>
  <c r="I10" i="29" s="1"/>
  <c r="M10" i="29" s="1"/>
  <c r="J11" i="29"/>
  <c r="I11" i="29" s="1"/>
  <c r="M11" i="29" s="1"/>
  <c r="J12" i="29"/>
  <c r="I12" i="29" s="1"/>
  <c r="M12" i="29" s="1"/>
  <c r="J13" i="29"/>
  <c r="I13" i="29" s="1"/>
  <c r="M13" i="29" s="1"/>
  <c r="J14" i="29"/>
  <c r="I14" i="29" s="1"/>
  <c r="M14" i="29" s="1"/>
  <c r="J15" i="29"/>
  <c r="I15" i="29" s="1"/>
  <c r="M15" i="29" s="1"/>
  <c r="J16" i="29"/>
  <c r="I16" i="29" s="1"/>
  <c r="M16" i="29" s="1"/>
  <c r="J17" i="29"/>
  <c r="I17" i="29" s="1"/>
  <c r="M17" i="29" s="1"/>
  <c r="J18" i="29"/>
  <c r="I18" i="29" s="1"/>
  <c r="M18" i="29" s="1"/>
  <c r="J19" i="29"/>
  <c r="I19" i="29" s="1"/>
  <c r="M19" i="29" s="1"/>
  <c r="J20" i="29"/>
  <c r="I20" i="29" s="1"/>
  <c r="M20" i="29" s="1"/>
  <c r="J21" i="29"/>
  <c r="I21" i="29" s="1"/>
  <c r="M21" i="29" s="1"/>
  <c r="J22" i="29"/>
  <c r="I22" i="29" s="1"/>
  <c r="M22" i="29" s="1"/>
  <c r="J23" i="29"/>
  <c r="I23" i="29" s="1"/>
  <c r="M23" i="29" s="1"/>
  <c r="J24" i="29"/>
  <c r="I24" i="29" s="1"/>
  <c r="M24" i="29" s="1"/>
  <c r="J25" i="29"/>
  <c r="I25" i="29" s="1"/>
  <c r="M25" i="29" s="1"/>
  <c r="J26" i="29"/>
  <c r="I26" i="29" s="1"/>
  <c r="M26" i="29" s="1"/>
  <c r="J27" i="29"/>
  <c r="I27" i="29" s="1"/>
  <c r="M27" i="29" s="1"/>
  <c r="J28" i="29"/>
  <c r="I28" i="29" s="1"/>
  <c r="M28" i="29" s="1"/>
  <c r="J29" i="29"/>
  <c r="I29" i="29" s="1"/>
  <c r="M29" i="29" s="1"/>
  <c r="J30" i="29"/>
  <c r="I30" i="29" s="1"/>
  <c r="M30" i="29" s="1"/>
  <c r="J31" i="29"/>
  <c r="I31" i="29" s="1"/>
  <c r="M31" i="29" s="1"/>
  <c r="J32" i="29"/>
  <c r="I32" i="29" s="1"/>
  <c r="M32" i="29" s="1"/>
  <c r="J33" i="29"/>
  <c r="I33" i="29" s="1"/>
  <c r="M33" i="29" s="1"/>
  <c r="J34" i="29"/>
  <c r="I34" i="29" s="1"/>
  <c r="M34" i="29" s="1"/>
  <c r="J35" i="29"/>
  <c r="I35" i="29" s="1"/>
  <c r="M35" i="29" s="1"/>
  <c r="J36" i="29"/>
  <c r="I36" i="29" s="1"/>
  <c r="M36" i="29" s="1"/>
  <c r="J37" i="29"/>
  <c r="I37" i="29" s="1"/>
  <c r="M37" i="29" s="1"/>
  <c r="J38" i="29"/>
  <c r="I38" i="29" s="1"/>
  <c r="M38" i="29" s="1"/>
  <c r="J39" i="29"/>
  <c r="I39" i="29" s="1"/>
  <c r="M39" i="29" s="1"/>
  <c r="J40" i="29"/>
  <c r="I40" i="29" s="1"/>
  <c r="M40" i="29" s="1"/>
  <c r="J41" i="29"/>
  <c r="I41" i="29" s="1"/>
  <c r="M41" i="29" s="1"/>
  <c r="J42" i="29"/>
  <c r="I42" i="29" s="1"/>
  <c r="M42" i="29" s="1"/>
  <c r="J43" i="29"/>
  <c r="I43" i="29" s="1"/>
  <c r="M43" i="29" s="1"/>
  <c r="J44" i="29"/>
  <c r="I44" i="29" s="1"/>
  <c r="M44" i="29" s="1"/>
  <c r="J45" i="29"/>
  <c r="I45" i="29" s="1"/>
  <c r="M45" i="29" s="1"/>
  <c r="J46" i="29"/>
  <c r="I46" i="29" s="1"/>
  <c r="M46" i="29" s="1"/>
  <c r="J47" i="29"/>
  <c r="I47" i="29" s="1"/>
  <c r="M47" i="29" s="1"/>
  <c r="J48" i="29"/>
  <c r="I48" i="29" s="1"/>
  <c r="M48" i="29" s="1"/>
  <c r="J49" i="29"/>
  <c r="I49" i="29" s="1"/>
  <c r="M49" i="29" s="1"/>
  <c r="J50" i="29"/>
  <c r="I50" i="29" s="1"/>
  <c r="M50" i="29" s="1"/>
  <c r="J51" i="29"/>
  <c r="I51" i="29" s="1"/>
  <c r="M51" i="29" s="1"/>
  <c r="J52" i="29"/>
  <c r="I52" i="29" s="1"/>
  <c r="M52" i="29" s="1"/>
  <c r="J53" i="29"/>
  <c r="I53" i="29" s="1"/>
  <c r="M53" i="29" s="1"/>
  <c r="J54" i="29"/>
  <c r="I54" i="29" s="1"/>
  <c r="M54" i="29" s="1"/>
  <c r="J55" i="29"/>
  <c r="I55" i="29" s="1"/>
  <c r="M55" i="29" s="1"/>
  <c r="J56" i="29"/>
  <c r="I56" i="29" s="1"/>
  <c r="M56" i="29" s="1"/>
  <c r="J57" i="29"/>
  <c r="I57" i="29" s="1"/>
  <c r="M57" i="29" s="1"/>
  <c r="J58" i="29"/>
  <c r="I58" i="29" s="1"/>
  <c r="M58" i="29" s="1"/>
  <c r="J59" i="29"/>
  <c r="I59" i="29" s="1"/>
  <c r="M59" i="29" s="1"/>
  <c r="J60" i="29"/>
  <c r="I60" i="29" s="1"/>
  <c r="M60" i="29" s="1"/>
  <c r="J61" i="29"/>
  <c r="I61" i="29" s="1"/>
  <c r="M61" i="29" s="1"/>
  <c r="J62" i="29"/>
  <c r="I62" i="29" s="1"/>
  <c r="M62" i="29" s="1"/>
  <c r="J63" i="29"/>
  <c r="I63" i="29" s="1"/>
  <c r="M63" i="29" s="1"/>
  <c r="J64" i="29"/>
  <c r="I64" i="29" s="1"/>
  <c r="M64" i="29" s="1"/>
  <c r="J65" i="29"/>
  <c r="I65" i="29" s="1"/>
  <c r="M65" i="29" s="1"/>
  <c r="J66" i="29"/>
  <c r="I66" i="29" s="1"/>
  <c r="M66" i="29" s="1"/>
  <c r="J67" i="29"/>
  <c r="I67" i="29" s="1"/>
  <c r="M67" i="29" s="1"/>
  <c r="J68" i="29"/>
  <c r="I68" i="29" s="1"/>
  <c r="M68" i="29" s="1"/>
  <c r="J69" i="29"/>
  <c r="I69" i="29" s="1"/>
  <c r="M69" i="29" s="1"/>
  <c r="J70" i="29"/>
  <c r="I70" i="29" s="1"/>
  <c r="M70" i="29" s="1"/>
  <c r="J71" i="29"/>
  <c r="I71" i="29" s="1"/>
  <c r="M71" i="29" s="1"/>
  <c r="J72" i="29"/>
  <c r="I72" i="29" s="1"/>
  <c r="M72" i="29" s="1"/>
  <c r="J73" i="29"/>
  <c r="I73" i="29" s="1"/>
  <c r="M73" i="29" s="1"/>
  <c r="J74" i="29"/>
  <c r="I74" i="29" s="1"/>
  <c r="M74" i="29" s="1"/>
  <c r="J75" i="29"/>
  <c r="I75" i="29" s="1"/>
  <c r="M75" i="29" s="1"/>
  <c r="J76" i="29"/>
  <c r="I76" i="29" s="1"/>
  <c r="M76" i="29" s="1"/>
  <c r="J77" i="29"/>
  <c r="I77" i="29" s="1"/>
  <c r="M77" i="29" s="1"/>
  <c r="J78" i="29"/>
  <c r="I78" i="29" s="1"/>
  <c r="M78" i="29" s="1"/>
  <c r="J79" i="29"/>
  <c r="I79" i="29" s="1"/>
  <c r="M79" i="29" s="1"/>
  <c r="J80" i="29"/>
  <c r="I80" i="29" s="1"/>
  <c r="M80" i="29" s="1"/>
  <c r="J81" i="29"/>
  <c r="I81" i="29" s="1"/>
  <c r="M81" i="29" s="1"/>
  <c r="J82" i="29"/>
  <c r="I82" i="29" s="1"/>
  <c r="M82" i="29" s="1"/>
  <c r="J83" i="29"/>
  <c r="I83" i="29" s="1"/>
  <c r="M83" i="29" s="1"/>
  <c r="J84" i="29"/>
  <c r="I84" i="29" s="1"/>
  <c r="M84" i="29" s="1"/>
  <c r="J85" i="29"/>
  <c r="I85" i="29" s="1"/>
  <c r="M85" i="29" s="1"/>
  <c r="J86" i="29"/>
  <c r="I86" i="29" s="1"/>
  <c r="M86" i="29" s="1"/>
  <c r="J87" i="29"/>
  <c r="I87" i="29" s="1"/>
  <c r="M87" i="29" s="1"/>
  <c r="J88" i="29"/>
  <c r="I88" i="29" s="1"/>
  <c r="M88" i="29" s="1"/>
  <c r="J89" i="29"/>
  <c r="I89" i="29" s="1"/>
  <c r="M89" i="29" s="1"/>
  <c r="J90" i="29"/>
  <c r="I90" i="29" s="1"/>
  <c r="M90" i="29" s="1"/>
  <c r="J91" i="29"/>
  <c r="I91" i="29" s="1"/>
  <c r="M91" i="29" s="1"/>
  <c r="J92" i="29"/>
  <c r="I92" i="29" s="1"/>
  <c r="M92" i="29" s="1"/>
  <c r="J93" i="29"/>
  <c r="I93" i="29" s="1"/>
  <c r="M93" i="29" s="1"/>
  <c r="J94" i="29"/>
  <c r="I94" i="29" s="1"/>
  <c r="M94" i="29" s="1"/>
  <c r="J95" i="29"/>
  <c r="I95" i="29" s="1"/>
  <c r="M95" i="29" s="1"/>
  <c r="J96" i="29"/>
  <c r="I96" i="29" s="1"/>
  <c r="M96" i="29" s="1"/>
  <c r="J97" i="29"/>
  <c r="I97" i="29" s="1"/>
  <c r="M97" i="29" s="1"/>
  <c r="J98" i="29"/>
  <c r="I98" i="29" s="1"/>
  <c r="M98" i="29" s="1"/>
  <c r="J99" i="29"/>
  <c r="I99" i="29" s="1"/>
  <c r="M99" i="29" s="1"/>
  <c r="J100" i="29"/>
  <c r="I100" i="29" s="1"/>
  <c r="M100" i="29" s="1"/>
  <c r="J101" i="29"/>
  <c r="I101" i="29" s="1"/>
  <c r="M101" i="29" s="1"/>
  <c r="J102" i="29"/>
  <c r="I102" i="29" s="1"/>
  <c r="M102" i="29" s="1"/>
  <c r="J103" i="29"/>
  <c r="I103" i="29" s="1"/>
  <c r="M103" i="29" s="1"/>
  <c r="J104" i="29"/>
  <c r="I104" i="29" s="1"/>
  <c r="M104" i="29" s="1"/>
  <c r="J105" i="29"/>
  <c r="I105" i="29" s="1"/>
  <c r="M105" i="29" s="1"/>
  <c r="J106" i="29"/>
  <c r="I106" i="29" s="1"/>
  <c r="M106" i="29" s="1"/>
  <c r="J107" i="29"/>
  <c r="I107" i="29" s="1"/>
  <c r="M107" i="29" s="1"/>
  <c r="J108" i="29"/>
  <c r="I108" i="29" s="1"/>
  <c r="M108" i="29" s="1"/>
  <c r="J109" i="29"/>
  <c r="I109" i="29" s="1"/>
  <c r="M109" i="29" s="1"/>
  <c r="J110" i="29"/>
  <c r="I110" i="29" s="1"/>
  <c r="M110" i="29" s="1"/>
  <c r="J111" i="29"/>
  <c r="I111" i="29" s="1"/>
  <c r="M111" i="29" s="1"/>
  <c r="J112" i="29"/>
  <c r="I112" i="29" s="1"/>
  <c r="M112" i="29" s="1"/>
  <c r="J113" i="29"/>
  <c r="I113" i="29" s="1"/>
  <c r="M113" i="29" s="1"/>
  <c r="J114" i="29"/>
  <c r="I114" i="29" s="1"/>
  <c r="M114" i="29" s="1"/>
  <c r="J115" i="29"/>
  <c r="I115" i="29" s="1"/>
  <c r="M115" i="29" s="1"/>
  <c r="J116" i="29"/>
  <c r="I116" i="29" s="1"/>
  <c r="M116" i="29" s="1"/>
  <c r="J117" i="29"/>
  <c r="I117" i="29" s="1"/>
  <c r="M117" i="29" s="1"/>
  <c r="J118" i="29"/>
  <c r="I118" i="29" s="1"/>
  <c r="M118" i="29" s="1"/>
  <c r="J119" i="29"/>
  <c r="I119" i="29" s="1"/>
  <c r="M119" i="29" s="1"/>
  <c r="J120" i="29"/>
  <c r="I120" i="29" s="1"/>
  <c r="M120" i="29" s="1"/>
  <c r="J121" i="29"/>
  <c r="I121" i="29" s="1"/>
  <c r="M121" i="29" s="1"/>
  <c r="J122" i="29"/>
  <c r="I122" i="29" s="1"/>
  <c r="M122" i="29" s="1"/>
  <c r="J123" i="29"/>
  <c r="I123" i="29" s="1"/>
  <c r="M123" i="29" s="1"/>
  <c r="J124" i="29"/>
  <c r="I124" i="29" s="1"/>
  <c r="M124" i="29" s="1"/>
  <c r="J125" i="29"/>
  <c r="I125" i="29" s="1"/>
  <c r="M125" i="29" s="1"/>
  <c r="J126" i="29"/>
  <c r="I126" i="29" s="1"/>
  <c r="M126" i="29" s="1"/>
  <c r="J127" i="29"/>
  <c r="I127" i="29" s="1"/>
  <c r="M127" i="29" s="1"/>
  <c r="J128" i="29"/>
  <c r="I128" i="29" s="1"/>
  <c r="M128" i="29" s="1"/>
  <c r="J129" i="29"/>
  <c r="I129" i="29" s="1"/>
  <c r="M129" i="29" s="1"/>
  <c r="J130" i="29"/>
  <c r="I130" i="29" s="1"/>
  <c r="M130" i="29" s="1"/>
  <c r="J131" i="29"/>
  <c r="I131" i="29" s="1"/>
  <c r="M131" i="29" s="1"/>
  <c r="J132" i="29"/>
  <c r="I132" i="29" s="1"/>
  <c r="M132" i="29" s="1"/>
  <c r="J133" i="29"/>
  <c r="I133" i="29" s="1"/>
  <c r="M133" i="29" s="1"/>
  <c r="J134" i="29"/>
  <c r="I134" i="29" s="1"/>
  <c r="M134" i="29" s="1"/>
  <c r="J135" i="29"/>
  <c r="I135" i="29" s="1"/>
  <c r="M135" i="29" s="1"/>
  <c r="J136" i="29"/>
  <c r="I136" i="29" s="1"/>
  <c r="M136" i="29" s="1"/>
  <c r="J137" i="29"/>
  <c r="I137" i="29" s="1"/>
  <c r="M137" i="29" s="1"/>
  <c r="J138" i="29"/>
  <c r="I138" i="29" s="1"/>
  <c r="M138" i="29" s="1"/>
  <c r="J139" i="29"/>
  <c r="I139" i="29" s="1"/>
  <c r="M139" i="29" s="1"/>
  <c r="J140" i="29"/>
  <c r="I140" i="29" s="1"/>
  <c r="M140" i="29" s="1"/>
  <c r="J141" i="29"/>
  <c r="I141" i="29" s="1"/>
  <c r="M141" i="29" s="1"/>
  <c r="J142" i="29"/>
  <c r="I142" i="29" s="1"/>
  <c r="M142" i="29" s="1"/>
  <c r="J143" i="29"/>
  <c r="I143" i="29" s="1"/>
  <c r="M143" i="29" s="1"/>
  <c r="J144" i="29"/>
  <c r="I144" i="29" s="1"/>
  <c r="M144" i="29" s="1"/>
  <c r="J145" i="29"/>
  <c r="I145" i="29" s="1"/>
  <c r="M145" i="29" s="1"/>
  <c r="J146" i="29"/>
  <c r="I146" i="29" s="1"/>
  <c r="M146" i="29" s="1"/>
  <c r="J147" i="29"/>
  <c r="I147" i="29" s="1"/>
  <c r="M147" i="29" s="1"/>
  <c r="J148" i="29"/>
  <c r="I148" i="29" s="1"/>
  <c r="M148" i="29" s="1"/>
  <c r="J149" i="29"/>
  <c r="I149" i="29" s="1"/>
  <c r="M149" i="29" s="1"/>
  <c r="J150" i="29"/>
  <c r="I150" i="29" s="1"/>
  <c r="M150" i="29" s="1"/>
  <c r="J151" i="29"/>
  <c r="I151" i="29" s="1"/>
  <c r="M151" i="29" s="1"/>
  <c r="J152" i="29"/>
  <c r="I152" i="29" s="1"/>
  <c r="M152" i="29" s="1"/>
  <c r="J153" i="29"/>
  <c r="I153" i="29" s="1"/>
  <c r="M153" i="29" s="1"/>
  <c r="J154" i="29"/>
  <c r="I154" i="29" s="1"/>
  <c r="M154" i="29" s="1"/>
  <c r="J155" i="29"/>
  <c r="I155" i="29" s="1"/>
  <c r="M155" i="29" s="1"/>
  <c r="J156" i="29"/>
  <c r="I156" i="29" s="1"/>
  <c r="M156" i="29" s="1"/>
  <c r="J157" i="29"/>
  <c r="I157" i="29" s="1"/>
  <c r="M157" i="29" s="1"/>
  <c r="J158" i="29"/>
  <c r="I158" i="29" s="1"/>
  <c r="M158" i="29" s="1"/>
  <c r="J159" i="29"/>
  <c r="I159" i="29" s="1"/>
  <c r="M159" i="29" s="1"/>
  <c r="J160" i="29"/>
  <c r="I160" i="29" s="1"/>
  <c r="M160" i="29" s="1"/>
  <c r="J161" i="29"/>
  <c r="I161" i="29" s="1"/>
  <c r="M161" i="29" s="1"/>
  <c r="J162" i="29"/>
  <c r="I162" i="29" s="1"/>
  <c r="M162" i="29" s="1"/>
  <c r="J163" i="29"/>
  <c r="I163" i="29" s="1"/>
  <c r="M163" i="29" s="1"/>
  <c r="J164" i="29"/>
  <c r="I164" i="29" s="1"/>
  <c r="M164" i="29" s="1"/>
  <c r="J165" i="29"/>
  <c r="I165" i="29" s="1"/>
  <c r="M165" i="29" s="1"/>
  <c r="J166" i="29"/>
  <c r="I166" i="29" s="1"/>
  <c r="M166" i="29" s="1"/>
  <c r="J167" i="29"/>
  <c r="I167" i="29" s="1"/>
  <c r="M167" i="29" s="1"/>
  <c r="J168" i="29"/>
  <c r="I168" i="29" s="1"/>
  <c r="M168" i="29" s="1"/>
  <c r="J169" i="29"/>
  <c r="I169" i="29" s="1"/>
  <c r="M169" i="29" s="1"/>
  <c r="J170" i="29"/>
  <c r="I170" i="29" s="1"/>
  <c r="M170" i="29" s="1"/>
  <c r="J171" i="29"/>
  <c r="I171" i="29" s="1"/>
  <c r="M171" i="29" s="1"/>
  <c r="J172" i="29"/>
  <c r="I172" i="29" s="1"/>
  <c r="M172" i="29" s="1"/>
  <c r="J173" i="29"/>
  <c r="I173" i="29" s="1"/>
  <c r="M173" i="29" s="1"/>
  <c r="J174" i="29"/>
  <c r="I174" i="29" s="1"/>
  <c r="M174" i="29" s="1"/>
  <c r="J175" i="29"/>
  <c r="I175" i="29" s="1"/>
  <c r="M175" i="29" s="1"/>
  <c r="J176" i="29"/>
  <c r="I176" i="29" s="1"/>
  <c r="M176" i="29" s="1"/>
  <c r="L240" i="29"/>
  <c r="L239" i="29"/>
  <c r="L238" i="29"/>
  <c r="L237" i="29"/>
  <c r="L236" i="29"/>
  <c r="L235" i="29"/>
  <c r="L234" i="29"/>
  <c r="L233" i="29"/>
  <c r="L232" i="29"/>
  <c r="L231" i="29"/>
  <c r="L230" i="29"/>
  <c r="L229" i="29"/>
  <c r="L228" i="29"/>
  <c r="L227" i="29"/>
  <c r="L226" i="29"/>
  <c r="L225" i="29"/>
  <c r="L224" i="29"/>
  <c r="L223" i="29"/>
  <c r="L222" i="29"/>
  <c r="L221" i="29"/>
  <c r="L220" i="29"/>
  <c r="L219" i="29"/>
  <c r="L218" i="29"/>
  <c r="L217" i="29"/>
  <c r="L216" i="29"/>
  <c r="L215" i="29"/>
  <c r="L214" i="29"/>
  <c r="L213" i="29"/>
  <c r="L212" i="29"/>
  <c r="L211" i="29"/>
  <c r="L210" i="29"/>
  <c r="L209" i="29"/>
  <c r="L208" i="29"/>
  <c r="L207" i="29"/>
  <c r="L206" i="29"/>
  <c r="L205" i="29"/>
  <c r="L195" i="29"/>
  <c r="L194" i="29"/>
  <c r="L193" i="29"/>
  <c r="L192" i="29"/>
  <c r="L191" i="29"/>
  <c r="L190" i="29"/>
  <c r="L189" i="29"/>
  <c r="L188" i="29"/>
  <c r="L187" i="29"/>
  <c r="L201" i="29"/>
  <c r="L202" i="29"/>
  <c r="L203" i="29"/>
  <c r="L204" i="29"/>
  <c r="L200" i="29"/>
  <c r="L197" i="29"/>
  <c r="L198" i="29"/>
  <c r="L199" i="29"/>
  <c r="L196" i="29"/>
  <c r="L177" i="29"/>
  <c r="L176" i="29"/>
  <c r="L175" i="29"/>
  <c r="L174" i="29"/>
  <c r="L173" i="29"/>
  <c r="L172" i="29"/>
  <c r="L171" i="29"/>
  <c r="L170" i="29"/>
  <c r="L169" i="29"/>
  <c r="L168" i="29"/>
  <c r="L167" i="29"/>
  <c r="L166" i="29"/>
  <c r="L165" i="29"/>
  <c r="L164" i="29"/>
  <c r="L163" i="29"/>
  <c r="L162" i="29"/>
  <c r="L161" i="29"/>
  <c r="L160" i="29"/>
  <c r="L159" i="29"/>
  <c r="L158" i="29"/>
  <c r="L157" i="29"/>
  <c r="L156" i="29"/>
  <c r="L155" i="29"/>
  <c r="L154" i="29"/>
  <c r="L153" i="29"/>
  <c r="L152" i="29"/>
  <c r="L151" i="29"/>
  <c r="L150" i="29"/>
  <c r="L149" i="29"/>
  <c r="L148" i="29"/>
  <c r="L147" i="29"/>
  <c r="L146" i="29"/>
  <c r="L145" i="29"/>
  <c r="L144" i="29"/>
  <c r="L143" i="29"/>
  <c r="L142" i="29"/>
  <c r="L141" i="29"/>
  <c r="L140" i="29"/>
  <c r="L139" i="29"/>
  <c r="L138" i="29"/>
  <c r="L137" i="29"/>
  <c r="L136" i="29"/>
  <c r="L135" i="29"/>
  <c r="L134" i="29"/>
  <c r="L133" i="29"/>
  <c r="L132" i="29"/>
  <c r="L131" i="29"/>
  <c r="L130" i="29"/>
  <c r="L129" i="29"/>
  <c r="L128" i="29"/>
  <c r="K180" i="29"/>
  <c r="N180" i="29" s="1"/>
  <c r="K181" i="29"/>
  <c r="N181" i="29" s="1"/>
  <c r="K182" i="29"/>
  <c r="N182" i="29" s="1"/>
  <c r="L123" i="29"/>
  <c r="L124" i="29"/>
  <c r="L125" i="29"/>
  <c r="L126" i="29"/>
  <c r="L127" i="29"/>
  <c r="L122" i="29"/>
  <c r="L119" i="29"/>
  <c r="L120" i="29"/>
  <c r="L121" i="29"/>
  <c r="L118" i="29"/>
  <c r="L117" i="29"/>
  <c r="L116" i="29"/>
  <c r="L115" i="29"/>
  <c r="L114" i="29"/>
  <c r="L113" i="29"/>
  <c r="L112" i="29"/>
  <c r="L111" i="29"/>
  <c r="L110" i="29"/>
  <c r="L109" i="29"/>
  <c r="L108" i="29"/>
  <c r="L107" i="29"/>
  <c r="L106" i="29"/>
  <c r="L105" i="29"/>
  <c r="L104" i="29"/>
  <c r="L103" i="29"/>
  <c r="L102" i="29"/>
  <c r="L101" i="29"/>
  <c r="L100" i="29"/>
  <c r="L99" i="29"/>
  <c r="L98" i="29"/>
  <c r="L97" i="29"/>
  <c r="L96" i="29"/>
  <c r="L95" i="29"/>
  <c r="L94" i="29"/>
  <c r="L93" i="29"/>
  <c r="L92" i="29"/>
  <c r="L91" i="29"/>
  <c r="L90" i="29"/>
  <c r="L89" i="29"/>
  <c r="L88" i="29"/>
  <c r="L87" i="29"/>
  <c r="L86" i="29"/>
  <c r="L85" i="29"/>
  <c r="L84" i="29"/>
  <c r="L83" i="29"/>
  <c r="L82" i="29"/>
  <c r="L81" i="29"/>
  <c r="L80" i="29"/>
  <c r="L79" i="29"/>
  <c r="L78" i="29"/>
  <c r="L77" i="29"/>
  <c r="L76" i="29"/>
  <c r="L75" i="29"/>
  <c r="L74" i="29"/>
  <c r="L73" i="29"/>
  <c r="L72" i="29"/>
  <c r="L71" i="29"/>
  <c r="L70" i="29"/>
  <c r="L69" i="29"/>
  <c r="L68" i="29"/>
  <c r="L67" i="29"/>
  <c r="L66" i="29"/>
  <c r="L65" i="29"/>
  <c r="L64" i="29"/>
  <c r="L63" i="29"/>
  <c r="L62" i="29"/>
  <c r="L61" i="29"/>
  <c r="L60" i="29"/>
  <c r="L59" i="29"/>
  <c r="L58" i="29"/>
  <c r="L57" i="29"/>
  <c r="L56" i="29"/>
  <c r="L55" i="29"/>
  <c r="L54" i="29"/>
  <c r="L53" i="29"/>
  <c r="L52" i="29"/>
  <c r="L51" i="29"/>
  <c r="L50" i="29"/>
  <c r="L49" i="29"/>
  <c r="L48" i="29"/>
  <c r="L47" i="29"/>
  <c r="L46" i="29"/>
  <c r="L45" i="29"/>
  <c r="L44" i="29"/>
  <c r="L43" i="29"/>
  <c r="L42" i="29"/>
  <c r="L9" i="29"/>
  <c r="L28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7" i="29"/>
  <c r="L26" i="29"/>
  <c r="L25" i="29"/>
  <c r="L24" i="29"/>
  <c r="L23" i="29"/>
  <c r="E31" i="34"/>
  <c r="D31" i="34"/>
  <c r="C31" i="34"/>
  <c r="B31" i="34"/>
  <c r="E30" i="34"/>
  <c r="D30" i="34"/>
  <c r="C30" i="34"/>
  <c r="B30" i="34"/>
  <c r="E29" i="34"/>
  <c r="D29" i="34"/>
  <c r="C29" i="34"/>
  <c r="B29" i="34"/>
  <c r="C16" i="34"/>
  <c r="C15" i="34"/>
  <c r="C14" i="34"/>
  <c r="C13" i="34"/>
  <c r="C12" i="34"/>
  <c r="C11" i="34"/>
  <c r="L11" i="29"/>
  <c r="L12" i="29"/>
  <c r="L13" i="29"/>
  <c r="L14" i="29"/>
  <c r="L15" i="29"/>
  <c r="L16" i="29"/>
  <c r="L17" i="29"/>
  <c r="L18" i="29"/>
  <c r="L19" i="29"/>
  <c r="L20" i="29"/>
  <c r="L21" i="29"/>
  <c r="L22" i="29"/>
  <c r="L10" i="29"/>
  <c r="L3" i="29"/>
  <c r="L4" i="29"/>
  <c r="L5" i="29"/>
  <c r="L6" i="29"/>
  <c r="L7" i="29"/>
  <c r="L8" i="29"/>
  <c r="L2" i="29"/>
  <c r="AA24" i="32" l="1"/>
  <c r="T21" i="32"/>
  <c r="R38" i="32"/>
  <c r="Q38" i="32"/>
  <c r="Q32" i="32"/>
  <c r="R35" i="32"/>
  <c r="AI24" i="32"/>
  <c r="L21" i="32"/>
  <c r="Y21" i="32"/>
  <c r="Y18" i="32" s="1"/>
  <c r="M31" i="32" s="1"/>
  <c r="C20" i="35" s="1"/>
  <c r="AJ21" i="32"/>
  <c r="AJ18" i="32" s="1"/>
  <c r="U21" i="32"/>
  <c r="S24" i="32"/>
  <c r="AH24" i="32"/>
  <c r="R21" i="32"/>
  <c r="R18" i="32" s="1"/>
  <c r="L31" i="32" s="1"/>
  <c r="AC21" i="32"/>
  <c r="AC18" i="32" s="1"/>
  <c r="C21" i="32"/>
  <c r="C18" i="32" s="1"/>
  <c r="AA21" i="32"/>
  <c r="AA18" i="32" s="1"/>
  <c r="M37" i="32" s="1"/>
  <c r="C26" i="35" s="1"/>
  <c r="M24" i="32"/>
  <c r="Z24" i="32"/>
  <c r="G21" i="32"/>
  <c r="G18" i="32" s="1"/>
  <c r="V21" i="32"/>
  <c r="V18" i="32" s="1"/>
  <c r="M21" i="32"/>
  <c r="AI21" i="32"/>
  <c r="AI18" i="32" s="1"/>
  <c r="N40" i="32" s="1"/>
  <c r="Z21" i="32"/>
  <c r="K21" i="32"/>
  <c r="K18" i="32" s="1"/>
  <c r="K31" i="32" s="1"/>
  <c r="AG21" i="32"/>
  <c r="L24" i="32"/>
  <c r="U24" i="32"/>
  <c r="T24" i="32"/>
  <c r="AG24" i="32"/>
  <c r="AH21" i="32"/>
  <c r="N21" i="32"/>
  <c r="E21" i="32"/>
  <c r="E18" i="32" s="1"/>
  <c r="D21" i="32"/>
  <c r="D18" i="32" s="1"/>
  <c r="AB21" i="32"/>
  <c r="S21" i="32"/>
  <c r="F21" i="32"/>
  <c r="F18" i="32" s="1"/>
  <c r="AF21" i="32"/>
  <c r="AF18" i="32" s="1"/>
  <c r="N31" i="32" s="1"/>
  <c r="O21" i="32"/>
  <c r="O18" i="32" s="1"/>
  <c r="N24" i="32"/>
  <c r="AB24" i="32"/>
  <c r="C17" i="34"/>
  <c r="E17" i="34" s="1"/>
  <c r="T18" i="32" l="1"/>
  <c r="L37" i="32" s="1"/>
  <c r="AB18" i="32"/>
  <c r="M40" i="32" s="1"/>
  <c r="C29" i="35" s="1"/>
  <c r="N18" i="32"/>
  <c r="K40" i="32" s="1"/>
  <c r="AH18" i="32"/>
  <c r="N37" i="32" s="1"/>
  <c r="U18" i="32"/>
  <c r="L40" i="32" s="1"/>
  <c r="Z18" i="32"/>
  <c r="M34" i="32" s="1"/>
  <c r="C23" i="35" s="1"/>
  <c r="L18" i="32"/>
  <c r="K34" i="32" s="1"/>
  <c r="J31" i="32"/>
  <c r="B34" i="32"/>
  <c r="J44" i="32" s="1"/>
  <c r="M18" i="32"/>
  <c r="B38" i="32" s="1"/>
  <c r="S18" i="32"/>
  <c r="L34" i="32" s="1"/>
  <c r="AG18" i="32"/>
  <c r="N34" i="32" s="1"/>
  <c r="J37" i="32"/>
  <c r="J40" i="32"/>
  <c r="J34" i="32"/>
  <c r="K244" i="29"/>
  <c r="N244" i="29" s="1"/>
  <c r="K245" i="29"/>
  <c r="N245" i="29" s="1"/>
  <c r="K243" i="29"/>
  <c r="N243" i="29" s="1"/>
  <c r="K242" i="29"/>
  <c r="N242" i="29" s="1"/>
  <c r="K241" i="29"/>
  <c r="N241" i="29" s="1"/>
  <c r="C23" i="12"/>
  <c r="B40" i="32" l="1"/>
  <c r="M44" i="32" s="1"/>
  <c r="L44" i="32"/>
  <c r="B36" i="32"/>
  <c r="C36" i="32" s="1" a="1"/>
  <c r="C36" i="32" s="1"/>
  <c r="E36" i="32" s="1"/>
  <c r="D23" i="35" s="1"/>
  <c r="K37" i="32"/>
  <c r="D38" i="32" s="1" a="1"/>
  <c r="D38" i="32" s="1"/>
  <c r="C34" i="32" a="1"/>
  <c r="C34" i="32" s="1"/>
  <c r="B20" i="35"/>
  <c r="D34" i="32" a="1"/>
  <c r="D34" i="32" s="1"/>
  <c r="C38" i="32" a="1"/>
  <c r="C38" i="32" s="1"/>
  <c r="B29" i="35"/>
  <c r="B26" i="35"/>
  <c r="R3" i="25"/>
  <c r="R4" i="25"/>
  <c r="R5" i="25"/>
  <c r="S3" i="25"/>
  <c r="S4" i="25"/>
  <c r="S5" i="25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6" i="25"/>
  <c r="G3" i="25"/>
  <c r="G17" i="25"/>
  <c r="G13" i="25"/>
  <c r="G11" i="25"/>
  <c r="G9" i="25"/>
  <c r="D18" i="25"/>
  <c r="D15" i="25"/>
  <c r="D16" i="25"/>
  <c r="D12" i="25"/>
  <c r="D13" i="25"/>
  <c r="D4" i="25"/>
  <c r="D5" i="25"/>
  <c r="D6" i="25"/>
  <c r="D7" i="25"/>
  <c r="D8" i="25"/>
  <c r="D9" i="25"/>
  <c r="G19" i="25"/>
  <c r="G18" i="25"/>
  <c r="G16" i="25"/>
  <c r="G15" i="25"/>
  <c r="G14" i="25"/>
  <c r="G12" i="25"/>
  <c r="G10" i="25"/>
  <c r="G8" i="25"/>
  <c r="G7" i="25"/>
  <c r="G6" i="25"/>
  <c r="G5" i="25"/>
  <c r="G4" i="25"/>
  <c r="D19" i="25"/>
  <c r="D17" i="25"/>
  <c r="D14" i="25"/>
  <c r="D11" i="25"/>
  <c r="D10" i="25"/>
  <c r="D3" i="25"/>
  <c r="F86" i="2"/>
  <c r="F82" i="2"/>
  <c r="M82" i="2" s="1"/>
  <c r="N82" i="2" s="1"/>
  <c r="F78" i="2"/>
  <c r="J76" i="2"/>
  <c r="I76" i="2"/>
  <c r="J75" i="2"/>
  <c r="I75" i="2"/>
  <c r="J74" i="2"/>
  <c r="I74" i="2"/>
  <c r="I70" i="2"/>
  <c r="M70" i="2" s="1"/>
  <c r="N70" i="2" s="1"/>
  <c r="J70" i="2"/>
  <c r="I71" i="2"/>
  <c r="J71" i="2"/>
  <c r="I72" i="2"/>
  <c r="J72" i="2"/>
  <c r="J68" i="2"/>
  <c r="I68" i="2"/>
  <c r="J67" i="2"/>
  <c r="I67" i="2"/>
  <c r="J66" i="2"/>
  <c r="I66" i="2"/>
  <c r="J77" i="2"/>
  <c r="M77" i="2" s="1"/>
  <c r="N77" i="2" s="1"/>
  <c r="I77" i="2"/>
  <c r="J73" i="2"/>
  <c r="I73" i="2"/>
  <c r="J69" i="2"/>
  <c r="M69" i="2" s="1"/>
  <c r="N69" i="2" s="1"/>
  <c r="I69" i="2"/>
  <c r="G27" i="13"/>
  <c r="G28" i="13"/>
  <c r="G29" i="13"/>
  <c r="G30" i="13"/>
  <c r="G31" i="13"/>
  <c r="D27" i="13"/>
  <c r="E27" i="13"/>
  <c r="F27" i="13"/>
  <c r="D28" i="13"/>
  <c r="E28" i="13"/>
  <c r="F28" i="13"/>
  <c r="D29" i="13"/>
  <c r="E29" i="13"/>
  <c r="F29" i="13"/>
  <c r="D30" i="13"/>
  <c r="E30" i="13"/>
  <c r="F30" i="13"/>
  <c r="D31" i="13"/>
  <c r="E31" i="13"/>
  <c r="F31" i="13"/>
  <c r="C31" i="13"/>
  <c r="C30" i="13"/>
  <c r="C29" i="13"/>
  <c r="C28" i="13"/>
  <c r="C27" i="13"/>
  <c r="D56" i="13"/>
  <c r="E56" i="13"/>
  <c r="F56" i="13"/>
  <c r="G56" i="13"/>
  <c r="D57" i="13"/>
  <c r="E57" i="13"/>
  <c r="F57" i="13"/>
  <c r="G57" i="13"/>
  <c r="D58" i="13"/>
  <c r="E58" i="13"/>
  <c r="F58" i="13"/>
  <c r="G58" i="13"/>
  <c r="D59" i="13"/>
  <c r="E59" i="13"/>
  <c r="F59" i="13"/>
  <c r="G59" i="13"/>
  <c r="D60" i="13"/>
  <c r="E60" i="13"/>
  <c r="F60" i="13"/>
  <c r="G60" i="13"/>
  <c r="D61" i="13"/>
  <c r="E61" i="13"/>
  <c r="F61" i="13"/>
  <c r="G61" i="13"/>
  <c r="D62" i="13"/>
  <c r="D63" i="13" s="1"/>
  <c r="E62" i="13"/>
  <c r="E63" i="13" s="1"/>
  <c r="G62" i="13"/>
  <c r="G63" i="13" s="1"/>
  <c r="C60" i="13"/>
  <c r="C59" i="13"/>
  <c r="C58" i="13"/>
  <c r="C57" i="13"/>
  <c r="C56" i="13"/>
  <c r="G53" i="13"/>
  <c r="G54" i="13" s="1"/>
  <c r="F53" i="13"/>
  <c r="E53" i="13"/>
  <c r="D53" i="13"/>
  <c r="C53" i="13"/>
  <c r="C54" i="13" s="1"/>
  <c r="G52" i="13"/>
  <c r="F52" i="13"/>
  <c r="F54" i="13" s="1"/>
  <c r="E52" i="13"/>
  <c r="E54" i="13" s="1"/>
  <c r="D52" i="13"/>
  <c r="D54" i="13" s="1"/>
  <c r="C52" i="13"/>
  <c r="D23" i="13"/>
  <c r="E23" i="13"/>
  <c r="F23" i="13"/>
  <c r="G23" i="13"/>
  <c r="D24" i="13"/>
  <c r="D25" i="13" s="1"/>
  <c r="E24" i="13"/>
  <c r="E25" i="13" s="1"/>
  <c r="F24" i="13"/>
  <c r="F25" i="13" s="1"/>
  <c r="G24" i="13"/>
  <c r="G25" i="13" s="1"/>
  <c r="C24" i="13"/>
  <c r="C23" i="13"/>
  <c r="D32" i="13"/>
  <c r="F4" i="2"/>
  <c r="M4" i="2" s="1"/>
  <c r="N4" i="2" s="1"/>
  <c r="F3" i="2"/>
  <c r="M3" i="2" s="1"/>
  <c r="N3" i="2" s="1"/>
  <c r="F2" i="2"/>
  <c r="M2" i="2" s="1"/>
  <c r="N2" i="2" s="1"/>
  <c r="F5" i="2"/>
  <c r="M5" i="2" s="1"/>
  <c r="N5" i="2" s="1"/>
  <c r="M115" i="2"/>
  <c r="N115" i="2" s="1"/>
  <c r="M116" i="2"/>
  <c r="N116" i="2" s="1"/>
  <c r="M118" i="2"/>
  <c r="N118" i="2" s="1"/>
  <c r="M119" i="2"/>
  <c r="N119" i="2" s="1"/>
  <c r="M121" i="2"/>
  <c r="N121" i="2" s="1"/>
  <c r="M122" i="2"/>
  <c r="N122" i="2"/>
  <c r="M124" i="2"/>
  <c r="N124" i="2" s="1"/>
  <c r="M125" i="2"/>
  <c r="N125" i="2" s="1"/>
  <c r="J63" i="2"/>
  <c r="J64" i="2"/>
  <c r="J65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7" i="2"/>
  <c r="J48" i="2"/>
  <c r="J49" i="2"/>
  <c r="J46" i="2"/>
  <c r="L48" i="2"/>
  <c r="L47" i="2"/>
  <c r="L46" i="2"/>
  <c r="L44" i="2"/>
  <c r="L43" i="2"/>
  <c r="L42" i="2"/>
  <c r="L39" i="2"/>
  <c r="L40" i="2"/>
  <c r="L38" i="2"/>
  <c r="L51" i="2"/>
  <c r="L52" i="2"/>
  <c r="L50" i="2"/>
  <c r="L55" i="2"/>
  <c r="L56" i="2"/>
  <c r="L54" i="2"/>
  <c r="L59" i="2"/>
  <c r="L60" i="2"/>
  <c r="L58" i="2"/>
  <c r="L63" i="2"/>
  <c r="L64" i="2"/>
  <c r="L62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50" i="2"/>
  <c r="J43" i="2"/>
  <c r="J44" i="2"/>
  <c r="J45" i="2"/>
  <c r="J42" i="2"/>
  <c r="J39" i="2"/>
  <c r="J40" i="2"/>
  <c r="J41" i="2"/>
  <c r="J38" i="2"/>
  <c r="I39" i="2"/>
  <c r="I40" i="2"/>
  <c r="I41" i="2"/>
  <c r="I42" i="2"/>
  <c r="I43" i="2"/>
  <c r="I44" i="2"/>
  <c r="I45" i="2"/>
  <c r="I46" i="2"/>
  <c r="I47" i="2"/>
  <c r="I48" i="2"/>
  <c r="I49" i="2"/>
  <c r="I38" i="2"/>
  <c r="L36" i="2"/>
  <c r="L35" i="2"/>
  <c r="L34" i="2"/>
  <c r="L32" i="2"/>
  <c r="L31" i="2"/>
  <c r="L30" i="2"/>
  <c r="L28" i="2"/>
  <c r="L27" i="2"/>
  <c r="L26" i="2"/>
  <c r="L23" i="2"/>
  <c r="L24" i="2"/>
  <c r="L22" i="2"/>
  <c r="I37" i="2"/>
  <c r="J37" i="2"/>
  <c r="J36" i="2"/>
  <c r="J35" i="2"/>
  <c r="J34" i="2"/>
  <c r="J33" i="2"/>
  <c r="J32" i="2"/>
  <c r="J31" i="2"/>
  <c r="J30" i="2"/>
  <c r="I27" i="2"/>
  <c r="I28" i="2"/>
  <c r="I29" i="2"/>
  <c r="I26" i="2"/>
  <c r="J29" i="2"/>
  <c r="J28" i="2"/>
  <c r="G28" i="2"/>
  <c r="J27" i="2"/>
  <c r="G27" i="2"/>
  <c r="J26" i="2"/>
  <c r="G26" i="2"/>
  <c r="J23" i="2"/>
  <c r="J24" i="2"/>
  <c r="J25" i="2"/>
  <c r="J22" i="2"/>
  <c r="I23" i="2"/>
  <c r="I24" i="2"/>
  <c r="I25" i="2"/>
  <c r="I30" i="2"/>
  <c r="I31" i="2"/>
  <c r="I32" i="2"/>
  <c r="I33" i="2"/>
  <c r="I34" i="2"/>
  <c r="I35" i="2"/>
  <c r="I36" i="2"/>
  <c r="I22" i="2"/>
  <c r="K9" i="2"/>
  <c r="K5" i="2"/>
  <c r="J19" i="2"/>
  <c r="J20" i="2"/>
  <c r="J21" i="2"/>
  <c r="J18" i="2"/>
  <c r="J15" i="2"/>
  <c r="J16" i="2"/>
  <c r="J17" i="2"/>
  <c r="J14" i="2"/>
  <c r="J11" i="2"/>
  <c r="J12" i="2"/>
  <c r="J13" i="2"/>
  <c r="J10" i="2"/>
  <c r="J7" i="2"/>
  <c r="J8" i="2"/>
  <c r="J6" i="2"/>
  <c r="J3" i="2"/>
  <c r="J4" i="2"/>
  <c r="J2" i="2"/>
  <c r="I3" i="2"/>
  <c r="I4" i="2"/>
  <c r="I6" i="2"/>
  <c r="I7" i="2"/>
  <c r="I8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G12" i="2"/>
  <c r="G11" i="2"/>
  <c r="G10" i="2"/>
  <c r="H145" i="2"/>
  <c r="M145" i="2" s="1"/>
  <c r="N145" i="2" s="1"/>
  <c r="H146" i="2"/>
  <c r="M146" i="2" s="1"/>
  <c r="N146" i="2" s="1"/>
  <c r="H147" i="2"/>
  <c r="M147" i="2"/>
  <c r="N147" i="2" s="1"/>
  <c r="H148" i="2"/>
  <c r="H149" i="2"/>
  <c r="H150" i="2"/>
  <c r="H151" i="2"/>
  <c r="H152" i="2"/>
  <c r="H153" i="2"/>
  <c r="M153" i="2" s="1"/>
  <c r="N153" i="2" s="1"/>
  <c r="H154" i="2"/>
  <c r="H155" i="2"/>
  <c r="H144" i="2"/>
  <c r="H136" i="2"/>
  <c r="H137" i="2"/>
  <c r="H138" i="2"/>
  <c r="H139" i="2"/>
  <c r="H140" i="2"/>
  <c r="H141" i="2"/>
  <c r="H142" i="2"/>
  <c r="H143" i="2"/>
  <c r="H135" i="2"/>
  <c r="M135" i="2" s="1"/>
  <c r="N135" i="2" s="1"/>
  <c r="H127" i="2"/>
  <c r="H128" i="2"/>
  <c r="H129" i="2"/>
  <c r="M129" i="2" s="1"/>
  <c r="N129" i="2" s="1"/>
  <c r="H130" i="2"/>
  <c r="H131" i="2"/>
  <c r="H132" i="2"/>
  <c r="H133" i="2"/>
  <c r="M133" i="2" s="1"/>
  <c r="N133" i="2" s="1"/>
  <c r="H134" i="2"/>
  <c r="M134" i="2" s="1"/>
  <c r="N134" i="2" s="1"/>
  <c r="H126" i="2"/>
  <c r="M126" i="2" s="1"/>
  <c r="N126" i="2" s="1"/>
  <c r="F155" i="2"/>
  <c r="M155" i="2"/>
  <c r="N155" i="2" s="1"/>
  <c r="F154" i="2"/>
  <c r="F152" i="2"/>
  <c r="F151" i="2"/>
  <c r="F149" i="2"/>
  <c r="F148" i="2"/>
  <c r="M148" i="2" s="1"/>
  <c r="N148" i="2" s="1"/>
  <c r="F146" i="2"/>
  <c r="F145" i="2"/>
  <c r="F143" i="2"/>
  <c r="M143" i="2" s="1"/>
  <c r="N143" i="2" s="1"/>
  <c r="F142" i="2"/>
  <c r="M142" i="2" s="1"/>
  <c r="N142" i="2" s="1"/>
  <c r="F140" i="2"/>
  <c r="F139" i="2"/>
  <c r="F137" i="2"/>
  <c r="F136" i="2"/>
  <c r="M136" i="2" s="1"/>
  <c r="N136" i="2" s="1"/>
  <c r="F134" i="2"/>
  <c r="F133" i="2"/>
  <c r="F131" i="2"/>
  <c r="M131" i="2" s="1"/>
  <c r="N131" i="2" s="1"/>
  <c r="F130" i="2"/>
  <c r="M130" i="2" s="1"/>
  <c r="N130" i="2" s="1"/>
  <c r="F128" i="2"/>
  <c r="F127" i="2"/>
  <c r="M123" i="2"/>
  <c r="N123" i="2"/>
  <c r="M120" i="2"/>
  <c r="N120" i="2" s="1"/>
  <c r="M117" i="2"/>
  <c r="N117" i="2" s="1"/>
  <c r="M114" i="2"/>
  <c r="N114" i="2" s="1"/>
  <c r="H65" i="2"/>
  <c r="H61" i="2"/>
  <c r="H57" i="2"/>
  <c r="H53" i="2"/>
  <c r="H49" i="2"/>
  <c r="H45" i="2"/>
  <c r="H41" i="2"/>
  <c r="H37" i="2"/>
  <c r="H33" i="2"/>
  <c r="H25" i="2"/>
  <c r="H81" i="2"/>
  <c r="H85" i="2"/>
  <c r="H89" i="2"/>
  <c r="M89" i="2" s="1"/>
  <c r="N89" i="2" s="1"/>
  <c r="H97" i="2"/>
  <c r="H93" i="2"/>
  <c r="H101" i="2"/>
  <c r="H105" i="2"/>
  <c r="H109" i="2"/>
  <c r="H113" i="2"/>
  <c r="G8" i="2"/>
  <c r="G72" i="2"/>
  <c r="M72" i="2" s="1"/>
  <c r="N72" i="2" s="1"/>
  <c r="G76" i="2"/>
  <c r="G75" i="2"/>
  <c r="M75" i="2"/>
  <c r="N75" i="2" s="1"/>
  <c r="G74" i="2"/>
  <c r="G92" i="2"/>
  <c r="G91" i="2"/>
  <c r="G90" i="2"/>
  <c r="G96" i="2"/>
  <c r="G95" i="2"/>
  <c r="G94" i="2"/>
  <c r="M94" i="2" s="1"/>
  <c r="N94" i="2" s="1"/>
  <c r="G104" i="2"/>
  <c r="G103" i="2"/>
  <c r="G102" i="2"/>
  <c r="G108" i="2"/>
  <c r="G107" i="2"/>
  <c r="M107" i="2" s="1"/>
  <c r="N107" i="2" s="1"/>
  <c r="G106" i="2"/>
  <c r="M106" i="2" s="1"/>
  <c r="N106" i="2" s="1"/>
  <c r="F113" i="2"/>
  <c r="G112" i="2"/>
  <c r="F112" i="2"/>
  <c r="G111" i="2"/>
  <c r="M111" i="2" s="1"/>
  <c r="N111" i="2" s="1"/>
  <c r="F111" i="2"/>
  <c r="G110" i="2"/>
  <c r="M110" i="2" s="1"/>
  <c r="N110" i="2" s="1"/>
  <c r="F109" i="2"/>
  <c r="M109" i="2" s="1"/>
  <c r="N109" i="2" s="1"/>
  <c r="F108" i="2"/>
  <c r="F107" i="2"/>
  <c r="F105" i="2"/>
  <c r="F104" i="2"/>
  <c r="M104" i="2" s="1"/>
  <c r="N104" i="2" s="1"/>
  <c r="F103" i="2"/>
  <c r="M103" i="2" s="1"/>
  <c r="N103" i="2" s="1"/>
  <c r="F101" i="2"/>
  <c r="G100" i="2"/>
  <c r="F100" i="2"/>
  <c r="G99" i="2"/>
  <c r="M99" i="2" s="1"/>
  <c r="N99" i="2" s="1"/>
  <c r="F99" i="2"/>
  <c r="G98" i="2"/>
  <c r="M98" i="2" s="1"/>
  <c r="N98" i="2" s="1"/>
  <c r="F97" i="2"/>
  <c r="M97" i="2" s="1"/>
  <c r="N97" i="2" s="1"/>
  <c r="F96" i="2"/>
  <c r="M96" i="2" s="1"/>
  <c r="N96" i="2" s="1"/>
  <c r="F95" i="2"/>
  <c r="F93" i="2"/>
  <c r="M93" i="2" s="1"/>
  <c r="N93" i="2" s="1"/>
  <c r="F92" i="2"/>
  <c r="F91" i="2"/>
  <c r="F89" i="2"/>
  <c r="G88" i="2"/>
  <c r="F88" i="2"/>
  <c r="G87" i="2"/>
  <c r="F87" i="2"/>
  <c r="G86" i="2"/>
  <c r="M86" i="2" s="1"/>
  <c r="N86" i="2" s="1"/>
  <c r="F85" i="2"/>
  <c r="G84" i="2"/>
  <c r="M84" i="2" s="1"/>
  <c r="N84" i="2" s="1"/>
  <c r="F84" i="2"/>
  <c r="G83" i="2"/>
  <c r="F83" i="2"/>
  <c r="M83" i="2" s="1"/>
  <c r="N83" i="2" s="1"/>
  <c r="G82" i="2"/>
  <c r="F81" i="2"/>
  <c r="G80" i="2"/>
  <c r="F80" i="2"/>
  <c r="G79" i="2"/>
  <c r="M79" i="2" s="1"/>
  <c r="N79" i="2" s="1"/>
  <c r="F79" i="2"/>
  <c r="G78" i="2"/>
  <c r="M78" i="2" s="1"/>
  <c r="N78" i="2" s="1"/>
  <c r="G71" i="2"/>
  <c r="M71" i="2" s="1"/>
  <c r="N71" i="2" s="1"/>
  <c r="G70" i="2"/>
  <c r="G68" i="2"/>
  <c r="M68" i="2"/>
  <c r="N68" i="2" s="1"/>
  <c r="G67" i="2"/>
  <c r="G66" i="2"/>
  <c r="G64" i="2"/>
  <c r="G63" i="2"/>
  <c r="G62" i="2"/>
  <c r="G60" i="2"/>
  <c r="G59" i="2"/>
  <c r="G58" i="2"/>
  <c r="G55" i="2"/>
  <c r="G56" i="2"/>
  <c r="G54" i="2"/>
  <c r="G51" i="2"/>
  <c r="G52" i="2"/>
  <c r="G50" i="2"/>
  <c r="G48" i="2"/>
  <c r="G47" i="2"/>
  <c r="G46" i="2"/>
  <c r="G44" i="2"/>
  <c r="G43" i="2"/>
  <c r="G42" i="2"/>
  <c r="G40" i="2"/>
  <c r="G39" i="2"/>
  <c r="G38" i="2"/>
  <c r="G36" i="2"/>
  <c r="G35" i="2"/>
  <c r="G34" i="2"/>
  <c r="G32" i="2"/>
  <c r="G31" i="2"/>
  <c r="G30" i="2"/>
  <c r="G24" i="2"/>
  <c r="G23" i="2"/>
  <c r="G22" i="2"/>
  <c r="G20" i="2"/>
  <c r="G4" i="2"/>
  <c r="G16" i="2"/>
  <c r="G19" i="2"/>
  <c r="G18" i="2"/>
  <c r="G15" i="2"/>
  <c r="G14" i="2"/>
  <c r="G7" i="2"/>
  <c r="G6" i="2"/>
  <c r="G3" i="2"/>
  <c r="G2" i="2"/>
  <c r="M100" i="2"/>
  <c r="N100" i="2" s="1"/>
  <c r="M95" i="2"/>
  <c r="N95" i="2" s="1"/>
  <c r="F6" i="2"/>
  <c r="F8" i="2"/>
  <c r="M8" i="2" s="1"/>
  <c r="N8" i="2" s="1"/>
  <c r="F9" i="2"/>
  <c r="M9" i="2" s="1"/>
  <c r="N9" i="2" s="1"/>
  <c r="F7" i="2"/>
  <c r="M7" i="2" s="1"/>
  <c r="N7" i="2" s="1"/>
  <c r="M137" i="2"/>
  <c r="N137" i="2" s="1"/>
  <c r="M101" i="2"/>
  <c r="N101" i="2" s="1"/>
  <c r="M113" i="2"/>
  <c r="N113" i="2" s="1"/>
  <c r="M150" i="2"/>
  <c r="N150" i="2" s="1"/>
  <c r="M66" i="2"/>
  <c r="N66" i="2" s="1"/>
  <c r="M87" i="2"/>
  <c r="N87" i="2" s="1"/>
  <c r="M127" i="2"/>
  <c r="N127" i="2" s="1"/>
  <c r="M90" i="2"/>
  <c r="N90" i="2" s="1"/>
  <c r="M128" i="2"/>
  <c r="N128" i="2" s="1"/>
  <c r="M132" i="2"/>
  <c r="N132" i="2" s="1"/>
  <c r="M144" i="2"/>
  <c r="N144" i="2" s="1"/>
  <c r="M81" i="2"/>
  <c r="N81" i="2" s="1"/>
  <c r="M91" i="2"/>
  <c r="N91" i="2" s="1"/>
  <c r="M141" i="2"/>
  <c r="N141" i="2" s="1"/>
  <c r="M138" i="2"/>
  <c r="N138" i="2" s="1"/>
  <c r="M74" i="2"/>
  <c r="N74" i="2" s="1"/>
  <c r="M92" i="2"/>
  <c r="N92" i="2" s="1"/>
  <c r="M102" i="2"/>
  <c r="N102" i="2" s="1"/>
  <c r="M6" i="2"/>
  <c r="N6" i="2" s="1"/>
  <c r="F13" i="2"/>
  <c r="M13" i="2" s="1"/>
  <c r="N13" i="2" s="1"/>
  <c r="F11" i="2"/>
  <c r="M11" i="2" s="1"/>
  <c r="N11" i="2" s="1"/>
  <c r="F10" i="2"/>
  <c r="M10" i="2" s="1"/>
  <c r="N10" i="2" s="1"/>
  <c r="F12" i="2"/>
  <c r="M12" i="2" s="1"/>
  <c r="N12" i="2" s="1"/>
  <c r="F15" i="2"/>
  <c r="M15" i="2" s="1"/>
  <c r="N15" i="2" s="1"/>
  <c r="F16" i="2"/>
  <c r="M16" i="2" s="1"/>
  <c r="N16" i="2" s="1"/>
  <c r="F14" i="2"/>
  <c r="M14" i="2" s="1"/>
  <c r="N14" i="2" s="1"/>
  <c r="F17" i="2"/>
  <c r="M17" i="2" s="1"/>
  <c r="N17" i="2" s="1"/>
  <c r="F21" i="2"/>
  <c r="M21" i="2" s="1"/>
  <c r="N21" i="2" s="1"/>
  <c r="F20" i="2"/>
  <c r="M20" i="2" s="1"/>
  <c r="N20" i="2" s="1"/>
  <c r="F19" i="2"/>
  <c r="M19" i="2" s="1"/>
  <c r="N19" i="2" s="1"/>
  <c r="F18" i="2"/>
  <c r="M18" i="2" s="1"/>
  <c r="N18" i="2" s="1"/>
  <c r="F22" i="2"/>
  <c r="M22" i="2" s="1"/>
  <c r="N22" i="2" s="1"/>
  <c r="F24" i="2"/>
  <c r="M24" i="2" s="1"/>
  <c r="N24" i="2" s="1"/>
  <c r="F23" i="2"/>
  <c r="M23" i="2" s="1"/>
  <c r="N23" i="2" s="1"/>
  <c r="F25" i="2"/>
  <c r="M25" i="2" s="1"/>
  <c r="N25" i="2" s="1"/>
  <c r="F29" i="2"/>
  <c r="M29" i="2" s="1"/>
  <c r="N29" i="2" s="1"/>
  <c r="F28" i="2"/>
  <c r="M28" i="2" s="1"/>
  <c r="N28" i="2" s="1"/>
  <c r="F27" i="2"/>
  <c r="M27" i="2" s="1"/>
  <c r="N27" i="2" s="1"/>
  <c r="F26" i="2"/>
  <c r="M26" i="2" s="1"/>
  <c r="N26" i="2" s="1"/>
  <c r="F33" i="2"/>
  <c r="M33" i="2" s="1"/>
  <c r="N33" i="2" s="1"/>
  <c r="F31" i="2"/>
  <c r="M31" i="2" s="1"/>
  <c r="N31" i="2" s="1"/>
  <c r="F30" i="2"/>
  <c r="M30" i="2" s="1"/>
  <c r="N30" i="2" s="1"/>
  <c r="F32" i="2"/>
  <c r="M32" i="2" s="1"/>
  <c r="N32" i="2" s="1"/>
  <c r="F34" i="2"/>
  <c r="M34" i="2" s="1"/>
  <c r="N34" i="2" s="1"/>
  <c r="F37" i="2"/>
  <c r="M37" i="2" s="1"/>
  <c r="N37" i="2" s="1"/>
  <c r="F36" i="2"/>
  <c r="M36" i="2" s="1"/>
  <c r="N36" i="2" s="1"/>
  <c r="F35" i="2"/>
  <c r="M35" i="2" s="1"/>
  <c r="N35" i="2" s="1"/>
  <c r="F38" i="2"/>
  <c r="M38" i="2" s="1"/>
  <c r="N38" i="2" s="1"/>
  <c r="F40" i="2"/>
  <c r="M40" i="2" s="1"/>
  <c r="N40" i="2" s="1"/>
  <c r="F39" i="2"/>
  <c r="M39" i="2" s="1"/>
  <c r="N39" i="2" s="1"/>
  <c r="F41" i="2"/>
  <c r="M41" i="2" s="1"/>
  <c r="N41" i="2" s="1"/>
  <c r="F43" i="2"/>
  <c r="M43" i="2" s="1"/>
  <c r="N43" i="2" s="1"/>
  <c r="F42" i="2"/>
  <c r="M42" i="2" s="1"/>
  <c r="N42" i="2" s="1"/>
  <c r="F45" i="2"/>
  <c r="M45" i="2" s="1"/>
  <c r="N45" i="2" s="1"/>
  <c r="F44" i="2"/>
  <c r="M44" i="2" s="1"/>
  <c r="N44" i="2" s="1"/>
  <c r="F47" i="2"/>
  <c r="M47" i="2" s="1"/>
  <c r="N47" i="2" s="1"/>
  <c r="F49" i="2"/>
  <c r="M49" i="2" s="1"/>
  <c r="N49" i="2" s="1"/>
  <c r="F46" i="2"/>
  <c r="M46" i="2" s="1"/>
  <c r="N46" i="2" s="1"/>
  <c r="F48" i="2"/>
  <c r="M48" i="2" s="1"/>
  <c r="N48" i="2" s="1"/>
  <c r="F51" i="2"/>
  <c r="M51" i="2" s="1"/>
  <c r="N51" i="2" s="1"/>
  <c r="F50" i="2"/>
  <c r="M50" i="2" s="1"/>
  <c r="N50" i="2" s="1"/>
  <c r="F52" i="2"/>
  <c r="M52" i="2" s="1"/>
  <c r="N52" i="2" s="1"/>
  <c r="F53" i="2"/>
  <c r="M53" i="2" s="1"/>
  <c r="N53" i="2" s="1"/>
  <c r="F55" i="2"/>
  <c r="M55" i="2" s="1"/>
  <c r="N55" i="2" s="1"/>
  <c r="F56" i="2"/>
  <c r="M56" i="2" s="1"/>
  <c r="N56" i="2" s="1"/>
  <c r="F54" i="2"/>
  <c r="M54" i="2" s="1"/>
  <c r="N54" i="2" s="1"/>
  <c r="F57" i="2"/>
  <c r="M57" i="2" s="1"/>
  <c r="N57" i="2" s="1"/>
  <c r="F58" i="2"/>
  <c r="M58" i="2" s="1"/>
  <c r="N58" i="2" s="1"/>
  <c r="F59" i="2"/>
  <c r="M59" i="2" s="1"/>
  <c r="N59" i="2" s="1"/>
  <c r="F61" i="2"/>
  <c r="M61" i="2" s="1"/>
  <c r="N61" i="2" s="1"/>
  <c r="F60" i="2"/>
  <c r="M60" i="2" s="1"/>
  <c r="N60" i="2" s="1"/>
  <c r="F62" i="2"/>
  <c r="M62" i="2" s="1"/>
  <c r="N62" i="2" s="1"/>
  <c r="F65" i="2"/>
  <c r="M65" i="2" s="1"/>
  <c r="N65" i="2" s="1"/>
  <c r="F63" i="2"/>
  <c r="M63" i="2" s="1"/>
  <c r="N63" i="2" s="1"/>
  <c r="F64" i="2"/>
  <c r="M64" i="2" s="1"/>
  <c r="N64" i="2" s="1"/>
  <c r="E34" i="32" l="1"/>
  <c r="D20" i="35" s="1"/>
  <c r="E38" i="32"/>
  <c r="D26" i="35" s="1"/>
  <c r="C40" i="32" a="1"/>
  <c r="C40" i="32" s="1"/>
  <c r="E40" i="32" s="1"/>
  <c r="D29" i="35" s="1"/>
  <c r="D40" i="32" a="1"/>
  <c r="D40" i="32" s="1"/>
  <c r="K44" i="32"/>
  <c r="B31" i="32"/>
  <c r="A18" i="35" s="1"/>
  <c r="B23" i="35"/>
  <c r="D36" i="32" a="1"/>
  <c r="D36" i="32" s="1"/>
  <c r="M88" i="2"/>
  <c r="N88" i="2" s="1"/>
  <c r="M105" i="2"/>
  <c r="N105" i="2" s="1"/>
  <c r="M85" i="2"/>
  <c r="N85" i="2" s="1"/>
  <c r="F33" i="13"/>
  <c r="F34" i="13" s="1"/>
  <c r="M76" i="2"/>
  <c r="N76" i="2" s="1"/>
  <c r="M139" i="2"/>
  <c r="N139" i="2" s="1"/>
  <c r="M151" i="2"/>
  <c r="N151" i="2" s="1"/>
  <c r="C25" i="13"/>
  <c r="C62" i="13"/>
  <c r="G33" i="13"/>
  <c r="G32" i="13"/>
  <c r="M73" i="2"/>
  <c r="N73" i="2" s="1"/>
  <c r="E33" i="13"/>
  <c r="M80" i="2"/>
  <c r="N80" i="2" s="1"/>
  <c r="M112" i="2"/>
  <c r="N112" i="2" s="1"/>
  <c r="M149" i="2"/>
  <c r="N149" i="2" s="1"/>
  <c r="D33" i="13"/>
  <c r="D34" i="13" s="1"/>
  <c r="M67" i="2"/>
  <c r="N67" i="2" s="1"/>
  <c r="M108" i="2"/>
  <c r="N108" i="2" s="1"/>
  <c r="M140" i="2"/>
  <c r="N140" i="2" s="1"/>
  <c r="M152" i="2"/>
  <c r="N152" i="2" s="1"/>
  <c r="M154" i="2"/>
  <c r="N154" i="2" s="1"/>
  <c r="F62" i="13"/>
  <c r="F63" i="13" s="1"/>
  <c r="C32" i="13"/>
  <c r="F32" i="13"/>
  <c r="B21" i="35"/>
  <c r="B27" i="35"/>
  <c r="E32" i="13"/>
  <c r="E34" i="13" s="1"/>
  <c r="C33" i="13"/>
  <c r="C61" i="13"/>
  <c r="C63" i="13" s="1"/>
  <c r="B30" i="35" l="1"/>
  <c r="E31" i="32"/>
  <c r="D18" i="35" s="1"/>
  <c r="C31" i="32"/>
  <c r="B18" i="35" s="1"/>
  <c r="D31" i="32"/>
  <c r="C18" i="35" s="1"/>
  <c r="B24" i="35"/>
  <c r="C34" i="13"/>
  <c r="G34" i="13"/>
</calcChain>
</file>

<file path=xl/comments1.xml><?xml version="1.0" encoding="utf-8"?>
<comments xmlns="http://schemas.openxmlformats.org/spreadsheetml/2006/main">
  <authors>
    <author>local user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local user:</t>
        </r>
        <r>
          <rPr>
            <sz val="9"/>
            <color indexed="81"/>
            <rFont val="Tahoma"/>
            <family val="2"/>
          </rPr>
          <t xml:space="preserve">
what if the users want more options?</t>
        </r>
      </text>
    </comment>
  </commentList>
</comments>
</file>

<file path=xl/comments2.xml><?xml version="1.0" encoding="utf-8"?>
<comments xmlns="http://schemas.openxmlformats.org/spreadsheetml/2006/main">
  <authors>
    <author>local user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local user:</t>
        </r>
        <r>
          <rPr>
            <sz val="9"/>
            <color indexed="81"/>
            <rFont val="Tahoma"/>
            <family val="2"/>
          </rPr>
          <t xml:space="preserve">
what if we break down the initial cost and monthly cost? And then provide the average monthly cost?</t>
        </r>
      </text>
    </comment>
  </commentList>
</comments>
</file>

<file path=xl/comments3.xml><?xml version="1.0" encoding="utf-8"?>
<comments xmlns="http://schemas.openxmlformats.org/spreadsheetml/2006/main">
  <authors>
    <author>local user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local user:</t>
        </r>
        <r>
          <rPr>
            <sz val="9"/>
            <color indexed="81"/>
            <rFont val="Tahoma"/>
            <family val="2"/>
          </rPr>
          <t xml:space="preserve">
Maybe upfront cost is more important than phone cost since it is more intuitive.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local user:</t>
        </r>
        <r>
          <rPr>
            <sz val="9"/>
            <color indexed="81"/>
            <rFont val="Tahoma"/>
            <family val="2"/>
          </rPr>
          <t xml:space="preserve">
This is a great question to discuss.</t>
        </r>
      </text>
    </comment>
  </commentList>
</comments>
</file>

<file path=xl/sharedStrings.xml><?xml version="1.0" encoding="utf-8"?>
<sst xmlns="http://schemas.openxmlformats.org/spreadsheetml/2006/main" count="3617" uniqueCount="429">
  <si>
    <t>Finance</t>
  </si>
  <si>
    <t>PIF</t>
  </si>
  <si>
    <t>Contract</t>
  </si>
  <si>
    <t>Plan Discount</t>
  </si>
  <si>
    <t>Verizon</t>
  </si>
  <si>
    <t>1 GB</t>
  </si>
  <si>
    <t>2 GB</t>
  </si>
  <si>
    <t>3 GB</t>
  </si>
  <si>
    <t>4 GB</t>
  </si>
  <si>
    <t>Lines</t>
  </si>
  <si>
    <t>6 GB</t>
  </si>
  <si>
    <t>Carrier</t>
  </si>
  <si>
    <t>Plan Type</t>
  </si>
  <si>
    <t xml:space="preserve">Data </t>
  </si>
  <si>
    <t>8 GB</t>
  </si>
  <si>
    <t>10 GB</t>
  </si>
  <si>
    <t>BYOD</t>
  </si>
  <si>
    <t>AT&amp;T</t>
  </si>
  <si>
    <t>User Type</t>
  </si>
  <si>
    <t>New</t>
  </si>
  <si>
    <t>Line Access</t>
  </si>
  <si>
    <t>Activation Fee</t>
  </si>
  <si>
    <t>T Mobile</t>
  </si>
  <si>
    <t>Data Access</t>
  </si>
  <si>
    <t>Line/Data Bundle</t>
  </si>
  <si>
    <t>Switch Bonus</t>
  </si>
  <si>
    <t>Total Cost</t>
  </si>
  <si>
    <t>Avg. Monthly Cost</t>
  </si>
  <si>
    <t>MOTOROLA DROID TURBO</t>
  </si>
  <si>
    <t>LG G3</t>
  </si>
  <si>
    <t>HTC One® (M8)</t>
  </si>
  <si>
    <t>APPLE iPhone® 6</t>
  </si>
  <si>
    <t>Select Device</t>
  </si>
  <si>
    <t>Phone Cost</t>
  </si>
  <si>
    <t>MOTOROLA      DROID TURBO</t>
  </si>
  <si>
    <t>iPhone</t>
  </si>
  <si>
    <t>LG G3</t>
  </si>
  <si>
    <t>Droid</t>
  </si>
  <si>
    <t>Samsung</t>
  </si>
  <si>
    <t>HTC M8</t>
  </si>
  <si>
    <t>iphone</t>
  </si>
  <si>
    <t xml:space="preserve">   Min</t>
  </si>
  <si>
    <t xml:space="preserve">   Max</t>
  </si>
  <si>
    <t xml:space="preserve">   Range</t>
  </si>
  <si>
    <t>VZW</t>
  </si>
  <si>
    <t>SAMSUNG Galaxy S® 5</t>
  </si>
  <si>
    <t>5 GB</t>
  </si>
  <si>
    <t>500MB</t>
  </si>
  <si>
    <t>7 GB</t>
  </si>
  <si>
    <t>9 GB</t>
  </si>
  <si>
    <t>12 GB</t>
  </si>
  <si>
    <t>14 GB</t>
  </si>
  <si>
    <t>15 GB</t>
  </si>
  <si>
    <t>300 MB</t>
  </si>
  <si>
    <t>ATT</t>
  </si>
  <si>
    <t>16 GB</t>
  </si>
  <si>
    <t>20 GB</t>
  </si>
  <si>
    <t>Data</t>
  </si>
  <si>
    <t>Total</t>
  </si>
  <si>
    <t>T Mob</t>
  </si>
  <si>
    <t>need a BYOD phone option with $0 phone cost</t>
  </si>
  <si>
    <t>look at comparing pooled to individual data</t>
  </si>
  <si>
    <t>Phone</t>
  </si>
  <si>
    <t>Plan</t>
  </si>
  <si>
    <t>User</t>
  </si>
  <si>
    <t>Data Usage</t>
  </si>
  <si>
    <t>Minutes</t>
  </si>
  <si>
    <t>Text</t>
  </si>
  <si>
    <t>Phone Purchase Method</t>
  </si>
  <si>
    <t>Promotional Discount</t>
  </si>
  <si>
    <t>Phone Purchase Method Discount</t>
  </si>
  <si>
    <t>Data Plan Cost</t>
  </si>
  <si>
    <t>Plan Cost</t>
  </si>
  <si>
    <t>Plan Type (contract vs. Prepaid)</t>
  </si>
  <si>
    <t>User Type (new vs. existing)</t>
  </si>
  <si>
    <t>Output Variables</t>
  </si>
  <si>
    <t>Current Carrier</t>
  </si>
  <si>
    <t>SIM Starter Kit</t>
  </si>
  <si>
    <t>Early Upgrade Cost</t>
  </si>
  <si>
    <t>Phone Type (smart vs. feature)</t>
  </si>
  <si>
    <t>Line Access or Line/Data Bundle</t>
  </si>
  <si>
    <t>Input Variables</t>
  </si>
  <si>
    <t>Variable Dependencies</t>
  </si>
  <si>
    <t>Unlimited Talk</t>
  </si>
  <si>
    <t>Unlimited Text</t>
  </si>
  <si>
    <t>Plan Preference</t>
  </si>
  <si>
    <t>Contract Buyout</t>
  </si>
  <si>
    <t>Contract Status</t>
  </si>
  <si>
    <t>Need New Phone</t>
  </si>
  <si>
    <t>Device Source- e.g. ebay etc.</t>
  </si>
  <si>
    <t>Early Adopter</t>
  </si>
  <si>
    <t>Savings vs. Current Plan</t>
  </si>
  <si>
    <t>Upfront Cost</t>
  </si>
  <si>
    <t>Average Monthly Cost*</t>
  </si>
  <si>
    <t>Phone Preference (iphone/android)</t>
  </si>
  <si>
    <t>Phone Preference (iphone, android)</t>
  </si>
  <si>
    <t>Device Source (e.g. ebay etc.)</t>
  </si>
  <si>
    <t>*should include upfront costs to score but probably not to show the user</t>
  </si>
  <si>
    <t>3 components: phone purchase decision database, matching algorithm, plan database</t>
  </si>
  <si>
    <t>the data on phone plans and phones is not unique- it is really solving the problem of what phone do I need</t>
  </si>
  <si>
    <t>Make only 2 variables dynamic- coverage and plan pricing</t>
  </si>
  <si>
    <t>Need a way to deal with adding/trading down phones- families tend to buy phone at different times then the older phones flow down the group- this could add complexity to our database with more permutations of plan options</t>
  </si>
  <si>
    <t>Some carriers are offering significant discounts on certain non apple phones</t>
  </si>
  <si>
    <t>Need to be able to business case the early termination fee in the calculator</t>
  </si>
  <si>
    <t>How do we handle bundled discounts with other products (e.g. FIOS)? relevant for both Verizon and AT&amp;T</t>
  </si>
  <si>
    <t>Some number portability issues with AT&amp;T- calls get dropped when the number moves off the AT&amp;T network.</t>
  </si>
  <si>
    <t>Phones: Inclusion of 10-20 popular phones</t>
  </si>
  <si>
    <t>Feature Phones: Determine time associated with adding feature phones, cost of these devices, difference in plan expense, does it change "how to purchase" or "which provider to pick"</t>
  </si>
  <si>
    <t>Carriers to cover: 4 majors and Strait talk</t>
  </si>
  <si>
    <t>What can we collect on mobile phones?</t>
  </si>
  <si>
    <t>Link to Rootmetrics, use census density for scoring</t>
  </si>
  <si>
    <t>Cost to add a child, cost to move from feature to smartphone, Should new user be added or get standalone with BYOD</t>
  </si>
  <si>
    <t>Cross Segment</t>
  </si>
  <si>
    <t>Need default inputs if someone doesn't complete all the question</t>
  </si>
  <si>
    <t>fair price by carrier- answer 2 questions and we give the range of what you should pay</t>
  </si>
  <si>
    <t>gaps- taxes/fees, added features you have chose</t>
  </si>
  <si>
    <t xml:space="preserve">loyalty discounts you have </t>
  </si>
  <si>
    <t>number of lines</t>
  </si>
  <si>
    <t>phone type (brand)</t>
  </si>
  <si>
    <t>contract end date</t>
  </si>
  <si>
    <t>are all T/T plans unlimited?</t>
  </si>
  <si>
    <t xml:space="preserve">     purchased/financed</t>
  </si>
  <si>
    <t xml:space="preserve">     need a new phone</t>
  </si>
  <si>
    <t>current carrier/what do you pay today</t>
  </si>
  <si>
    <t>roaming for emergency calls</t>
  </si>
  <si>
    <t xml:space="preserve">     device source (e.g ebay, carrier store)</t>
  </si>
  <si>
    <t>how do you use the phone- data only plan</t>
  </si>
  <si>
    <t xml:space="preserve">     data usage</t>
  </si>
  <si>
    <t>Now</t>
  </si>
  <si>
    <t>iphone 4</t>
  </si>
  <si>
    <t>yes</t>
  </si>
  <si>
    <t>2GB</t>
  </si>
  <si>
    <t xml:space="preserve">VZW </t>
  </si>
  <si>
    <t>Sprint</t>
  </si>
  <si>
    <t>6 months</t>
  </si>
  <si>
    <t>12 months</t>
  </si>
  <si>
    <t>18 months</t>
  </si>
  <si>
    <t>24 months</t>
  </si>
  <si>
    <t>iphone 5</t>
  </si>
  <si>
    <t>iphone 6</t>
  </si>
  <si>
    <t>Galaxy 4</t>
  </si>
  <si>
    <t>Galaxy 5</t>
  </si>
  <si>
    <t>HTC 1</t>
  </si>
  <si>
    <t>purchased with contract</t>
  </si>
  <si>
    <t>None</t>
  </si>
  <si>
    <t>still paying it off</t>
  </si>
  <si>
    <t>own</t>
  </si>
  <si>
    <t>No</t>
  </si>
  <si>
    <t>1GB</t>
  </si>
  <si>
    <t>4GB</t>
  </si>
  <si>
    <t>6GB</t>
  </si>
  <si>
    <t>8GB</t>
  </si>
  <si>
    <t>10GB</t>
  </si>
  <si>
    <t>Need Phone</t>
  </si>
  <si>
    <t>Postpaid</t>
  </si>
  <si>
    <t>Device Type</t>
  </si>
  <si>
    <t>Smartphone</t>
  </si>
  <si>
    <t>Basic phone</t>
  </si>
  <si>
    <t>Plan Name</t>
  </si>
  <si>
    <t>Line Access Discount</t>
  </si>
  <si>
    <t>Pay in Full</t>
  </si>
  <si>
    <t>Discount</t>
  </si>
  <si>
    <t>Monthly Plan</t>
  </si>
  <si>
    <t>$60 Single Line Plan</t>
  </si>
  <si>
    <t>$75 Single Line Plan</t>
  </si>
  <si>
    <t>700 Minutes More Everything</t>
  </si>
  <si>
    <t>500 MB More Everything</t>
  </si>
  <si>
    <t>1 GB More Everything</t>
  </si>
  <si>
    <t>2 GB More Everything</t>
  </si>
  <si>
    <t>3 GB More Everything</t>
  </si>
  <si>
    <t>4 GB More Everything</t>
  </si>
  <si>
    <t>6 GB More Everything</t>
  </si>
  <si>
    <t>8 GB More Everything</t>
  </si>
  <si>
    <t>10 GB More Everything</t>
  </si>
  <si>
    <t>12 GB More Everything</t>
  </si>
  <si>
    <t>14 GB More Everything</t>
  </si>
  <si>
    <t>16 GB More Everything</t>
  </si>
  <si>
    <t>20 GB More Everything</t>
  </si>
  <si>
    <t>30 GB More Everything</t>
  </si>
  <si>
    <t>40 GB More Everything</t>
  </si>
  <si>
    <t>50 GB More Everything</t>
  </si>
  <si>
    <t>60 GB More Everything</t>
  </si>
  <si>
    <t>80 GB More Everything</t>
  </si>
  <si>
    <t>100 GB More Everything</t>
  </si>
  <si>
    <t>Unlimited</t>
  </si>
  <si>
    <t>Line 1</t>
  </si>
  <si>
    <t>Line 2</t>
  </si>
  <si>
    <t>Line 3</t>
  </si>
  <si>
    <t>Line 4</t>
  </si>
  <si>
    <t>5GB</t>
  </si>
  <si>
    <t>Line 5</t>
  </si>
  <si>
    <t>Line 6</t>
  </si>
  <si>
    <t>Purchase Type</t>
  </si>
  <si>
    <t>3rd Party</t>
  </si>
  <si>
    <t>Contract Months</t>
  </si>
  <si>
    <t>Yes</t>
  </si>
  <si>
    <t xml:space="preserve">Bring your Own </t>
  </si>
  <si>
    <t>Phone Type</t>
  </si>
  <si>
    <t>Data Need</t>
  </si>
  <si>
    <t>3GB</t>
  </si>
  <si>
    <t>New Phone</t>
  </si>
  <si>
    <t>Desired Phone</t>
  </si>
  <si>
    <t>N/A</t>
  </si>
  <si>
    <t>Lease</t>
  </si>
  <si>
    <t>Monthly Plan Cost</t>
  </si>
  <si>
    <t>Straight Talk</t>
  </si>
  <si>
    <t>How many lines (phones and other devices, like tablets, do you need? (possibly from other product)</t>
  </si>
  <si>
    <t>How are you paying or how did you pay for your current device(s)?</t>
  </si>
  <si>
    <t>How many new devices do you need?</t>
  </si>
  <si>
    <t>Will you be purchasing a smartphone?</t>
  </si>
  <si>
    <t xml:space="preserve">Is it important that you have the latest and greatest device available? </t>
  </si>
  <si>
    <t>Would you be willing to purchase a device outside of your carrier, like from a friend or from eBay?</t>
  </si>
  <si>
    <t>Need iPhone</t>
  </si>
  <si>
    <t xml:space="preserve">Which of these best represents the way you (and those on your plan) use data? </t>
  </si>
  <si>
    <t>Lots and variable</t>
  </si>
  <si>
    <t>How often do you travel outside your usual spots, like your home, work, and general locale?</t>
  </si>
  <si>
    <t xml:space="preserve">Not Much </t>
  </si>
  <si>
    <t>Providers you wont consider</t>
  </si>
  <si>
    <t>What is your Credit (possibly from other product)</t>
  </si>
  <si>
    <t>Excellent</t>
  </si>
  <si>
    <t>Where do you live (possibly from other product)</t>
  </si>
  <si>
    <t>Somerville</t>
  </si>
  <si>
    <t>Profiling Question</t>
  </si>
  <si>
    <t>Sample Entry</t>
  </si>
  <si>
    <t>Impact on Recommendation</t>
  </si>
  <si>
    <t>Switching Options</t>
  </si>
  <si>
    <t xml:space="preserve">Carrier </t>
  </si>
  <si>
    <t>Priority</t>
  </si>
  <si>
    <t>Low</t>
  </si>
  <si>
    <t>High</t>
  </si>
  <si>
    <t>Medium</t>
  </si>
  <si>
    <t>Plan Type (Post vs. Prepaid)</t>
  </si>
  <si>
    <t>Define Plan Options</t>
  </si>
  <si>
    <t>Narrow possible carriers to consider</t>
  </si>
  <si>
    <t>Map pricing from the relevant carriers</t>
  </si>
  <si>
    <t>Curation Funnel Step</t>
  </si>
  <si>
    <t>Exclude certain plans</t>
  </si>
  <si>
    <t>Determine switching ability</t>
  </si>
  <si>
    <t>Pricing- Plan</t>
  </si>
  <si>
    <t>Pricing- Phone purchase</t>
  </si>
  <si>
    <t>Pricing- phone purchase</t>
  </si>
  <si>
    <t>What phone do you want to buy</t>
  </si>
  <si>
    <t>Pricing- phone type</t>
  </si>
  <si>
    <t>Pricing- Plan and phone purchase</t>
  </si>
  <si>
    <t>Plan- exclude certain types</t>
  </si>
  <si>
    <t>iPhone 6</t>
  </si>
  <si>
    <t>Database Input</t>
  </si>
  <si>
    <t>Customer Type</t>
  </si>
  <si>
    <t>Plan- recommend financing</t>
  </si>
  <si>
    <t>How do you want to pay for the phone?</t>
  </si>
  <si>
    <t>300MB Mobile Share</t>
  </si>
  <si>
    <t>1GB Mobile Share</t>
  </si>
  <si>
    <t>3GB Mobile Share</t>
  </si>
  <si>
    <t>6GB Mobile Share</t>
  </si>
  <si>
    <t>10GB Mobile Share</t>
  </si>
  <si>
    <t>15GB Mobile Share</t>
  </si>
  <si>
    <t>20GB Mobile Share</t>
  </si>
  <si>
    <t>30GB Mobile Share</t>
  </si>
  <si>
    <t>40GB Mobile Share</t>
  </si>
  <si>
    <t>50GB Mobile Share</t>
  </si>
  <si>
    <t>Do you make international calls?</t>
  </si>
  <si>
    <t>Do you travel abroad (possibly from other product)?</t>
  </si>
  <si>
    <t xml:space="preserve">Switching Options/Pricing </t>
  </si>
  <si>
    <t>not asking a specific amount- need tiers for light medium heavy, by number of lines</t>
  </si>
  <si>
    <t>Prepaid</t>
  </si>
  <si>
    <t>All You Need</t>
  </si>
  <si>
    <t>Unlimited 1 Month</t>
  </si>
  <si>
    <t>Unlimited 3 Months</t>
  </si>
  <si>
    <t>Unlimited 6 Months</t>
  </si>
  <si>
    <t>Unlimited 12 Months</t>
  </si>
  <si>
    <t>Talk</t>
  </si>
  <si>
    <t>Unlimited iphone (LTO)</t>
  </si>
  <si>
    <t>Unlimited Finance, PIF Lease)</t>
  </si>
  <si>
    <t>Unlimited Plus Single Line (Easy Pay or Lease)</t>
  </si>
  <si>
    <t>Unlimited Single (Discount)</t>
  </si>
  <si>
    <t>Family Share Pack 1GB</t>
  </si>
  <si>
    <t>Family Share Pack 2GB</t>
  </si>
  <si>
    <t>Family Share Pack 4GB</t>
  </si>
  <si>
    <t>Family Share Pack 8GB</t>
  </si>
  <si>
    <t>Family Share Pack 12GB</t>
  </si>
  <si>
    <t>Family Share Pack 20GB</t>
  </si>
  <si>
    <t>Family Share Pack 32GB</t>
  </si>
  <si>
    <t>Family Share Pack 40GB</t>
  </si>
  <si>
    <t>Family Share Pack 60GB</t>
  </si>
  <si>
    <t>Family Unlimited 2 lines</t>
  </si>
  <si>
    <t>Family Unlimited 3 lines</t>
  </si>
  <si>
    <t>Family Unlimited 4 lines</t>
  </si>
  <si>
    <t>Family Unlimited 5 lines</t>
  </si>
  <si>
    <t>Family Unlimited 6 lines</t>
  </si>
  <si>
    <t>Lease (24 months)</t>
  </si>
  <si>
    <t>Super</t>
  </si>
  <si>
    <t>Do you often get hit with data overage charges?</t>
  </si>
  <si>
    <t>3 lines</t>
  </si>
  <si>
    <t>1 line</t>
  </si>
  <si>
    <t>2 lines</t>
  </si>
  <si>
    <t>4 lines</t>
  </si>
  <si>
    <t>Light</t>
  </si>
  <si>
    <t xml:space="preserve">Lots </t>
  </si>
  <si>
    <t>1 Line</t>
  </si>
  <si>
    <t>2 Lines</t>
  </si>
  <si>
    <t>3 Lines</t>
  </si>
  <si>
    <t>4 Lines</t>
  </si>
  <si>
    <t>7GB</t>
  </si>
  <si>
    <t>13GB</t>
  </si>
  <si>
    <t>14GB</t>
  </si>
  <si>
    <t>T-Mobile</t>
  </si>
  <si>
    <t>1 Line Low</t>
  </si>
  <si>
    <t>2 Line Low</t>
  </si>
  <si>
    <t>3 Line Low</t>
  </si>
  <si>
    <t>4 Line Low</t>
  </si>
  <si>
    <t>1 Line Medium</t>
  </si>
  <si>
    <t>1 Line High</t>
  </si>
  <si>
    <t>1 Line Super</t>
  </si>
  <si>
    <t>2 Line Medium</t>
  </si>
  <si>
    <t>2 Line High</t>
  </si>
  <si>
    <t>2 Line Super</t>
  </si>
  <si>
    <t>3 Line Medium</t>
  </si>
  <si>
    <t>3 Line High</t>
  </si>
  <si>
    <t>3 Line Super</t>
  </si>
  <si>
    <t>4 Line Medium</t>
  </si>
  <si>
    <t>4 Line High</t>
  </si>
  <si>
    <t>4 Line Super</t>
  </si>
  <si>
    <t>Cinch Data Tier</t>
  </si>
  <si>
    <t>Monthly Plan Expense</t>
  </si>
  <si>
    <t>Total Phone Purchase Expense</t>
  </si>
  <si>
    <t>Plan pricing by carrier</t>
  </si>
  <si>
    <t>Switching costs</t>
  </si>
  <si>
    <t>Dynamic scoring</t>
  </si>
  <si>
    <t>Non Contract Discount/line</t>
  </si>
  <si>
    <t>Number of Lines</t>
  </si>
  <si>
    <t xml:space="preserve">Current Carrier </t>
  </si>
  <si>
    <t>Under Contract</t>
  </si>
  <si>
    <t>Variable Model</t>
  </si>
  <si>
    <t>Components</t>
  </si>
  <si>
    <t>Phone Purchase Cost</t>
  </si>
  <si>
    <t>Line Discount</t>
  </si>
  <si>
    <t>Sign Up Bonus</t>
  </si>
  <si>
    <t>Lowest Price</t>
  </si>
  <si>
    <t>Requires Line Access Fee</t>
  </si>
  <si>
    <t>Data/Line</t>
  </si>
  <si>
    <t xml:space="preserve">GB High Speed Data </t>
  </si>
  <si>
    <t>Others</t>
  </si>
  <si>
    <t>Sum</t>
  </si>
  <si>
    <t># of New Phones</t>
  </si>
  <si>
    <t>Buy New Phones</t>
  </si>
  <si>
    <t>T mobile and Sprinte will buyout the contract if you turn your phone in and buy new phones</t>
  </si>
  <si>
    <t>Requires Line Access Fee take consideration</t>
  </si>
  <si>
    <t>1. Only consider the price</t>
  </si>
  <si>
    <t>2 possibilities</t>
  </si>
  <si>
    <t>1) stick with your provider</t>
  </si>
  <si>
    <t>2) switch to Sprint, T-mobile, or ST</t>
  </si>
  <si>
    <t>3. we need to integrate rootmatrices (result)</t>
  </si>
  <si>
    <t>Signal strength bar based on their locations</t>
  </si>
  <si>
    <t xml:space="preserve">4. option of choosing downpayment </t>
  </si>
  <si>
    <t>Line Access Fee</t>
  </si>
  <si>
    <t>Desired Phone1</t>
  </si>
  <si>
    <t>Desired Phone2</t>
  </si>
  <si>
    <t>Desired Phone3</t>
  </si>
  <si>
    <t>Desired Phone4</t>
  </si>
  <si>
    <t>Desired Phone5</t>
  </si>
  <si>
    <t>Desired Phone6</t>
  </si>
  <si>
    <t>galaxy 5</t>
  </si>
  <si>
    <t>droid turbo</t>
  </si>
  <si>
    <t>lg g3</t>
  </si>
  <si>
    <t>htc one</t>
  </si>
  <si>
    <t>Different Phone discount price???</t>
  </si>
  <si>
    <t>idk</t>
  </si>
  <si>
    <t>smart phone/basic phone</t>
  </si>
  <si>
    <t>Early Termination Fee (switching to Straight Talk, ATT or Verizon) - differ by month</t>
  </si>
  <si>
    <t>update data on Tmobile, Sprint, verizon</t>
  </si>
  <si>
    <t>customers who has an ATT phone will not pay the activation fee</t>
  </si>
  <si>
    <t>Sprint and Verizon are no longer interchangable</t>
  </si>
  <si>
    <t xml:space="preserve">Current/Most Recent Carrier </t>
  </si>
  <si>
    <t>&lt;-- demo w/ no func</t>
  </si>
  <si>
    <t>Manufacturer</t>
  </si>
  <si>
    <t>Model</t>
  </si>
  <si>
    <t>Apple</t>
  </si>
  <si>
    <t>iPhone 5c 16GB</t>
  </si>
  <si>
    <t>iPhone 5s 16GB</t>
  </si>
  <si>
    <t>iPhone 6 16GB</t>
  </si>
  <si>
    <t>iPhone 6 Plus 16GB</t>
  </si>
  <si>
    <t>Google</t>
  </si>
  <si>
    <t>Google Nexus 6 32GB</t>
  </si>
  <si>
    <t>HTC</t>
  </si>
  <si>
    <t>HTC One M9</t>
  </si>
  <si>
    <t>LG</t>
  </si>
  <si>
    <t>Motorola</t>
  </si>
  <si>
    <t>Motorola DROID MAXX 16GB</t>
  </si>
  <si>
    <t>Motorola Moto X</t>
  </si>
  <si>
    <t>Samsung Galaxy S4</t>
  </si>
  <si>
    <t>Samsung Galaxy S5</t>
  </si>
  <si>
    <t xml:space="preserve">Samsung Galaxy S6 </t>
  </si>
  <si>
    <t xml:space="preserve">Samsung Galaxy S6 Edge </t>
  </si>
  <si>
    <t>Multiple</t>
  </si>
  <si>
    <t>Sample Basic Phone</t>
  </si>
  <si>
    <t xml:space="preserve">HTC One (M8) </t>
  </si>
  <si>
    <t>New Version</t>
  </si>
  <si>
    <t>1. Separate individual/non-annual contract with family plans</t>
  </si>
  <si>
    <t>2. taking out 3rd party purchase</t>
  </si>
  <si>
    <t>3. including upfront payment</t>
  </si>
  <si>
    <t>Thrid-Party Phone Price</t>
  </si>
  <si>
    <t>Do you have a good credit score?</t>
  </si>
  <si>
    <t>including more carriers?</t>
  </si>
  <si>
    <t>http://lifehacker.com/whistleout-compares-tons-of-cellphone-plans-finds-you-1572354066</t>
  </si>
  <si>
    <t>att bring your own device freezes</t>
  </si>
  <si>
    <t>can you bring your own phone or buy it from a third party for sprinte? Couldn't find this option on their website</t>
  </si>
  <si>
    <t>na</t>
  </si>
  <si>
    <t>verizon gives no line discount to pay in full/third party/byod</t>
  </si>
  <si>
    <t>3rd party includes phone price or not?</t>
  </si>
  <si>
    <t>Upfront Pmt</t>
  </si>
  <si>
    <t>Credit Score</t>
  </si>
  <si>
    <t>Monthly Pmt</t>
  </si>
  <si>
    <t>potential carriers to consider</t>
  </si>
  <si>
    <t>credo mobile</t>
  </si>
  <si>
    <t>cricket</t>
  </si>
  <si>
    <t>page plus</t>
  </si>
  <si>
    <t>simple mobile</t>
  </si>
  <si>
    <t>straight talk</t>
  </si>
  <si>
    <t>us cellular</t>
  </si>
  <si>
    <t>virgin mobile</t>
  </si>
  <si>
    <t>metro pcs</t>
  </si>
  <si>
    <t>CLEAN UP THE PAGE AND BRING THE QUESTIONS TO ANOTHER SHEET</t>
  </si>
  <si>
    <t>Step 2 questions/problems</t>
  </si>
  <si>
    <t>1. information update</t>
  </si>
  <si>
    <t>2. breakdown of individual vs family (front-end and back-end)</t>
  </si>
  <si>
    <t>3. adding more carriers for individual plans</t>
  </si>
  <si>
    <t>Future questions</t>
  </si>
  <si>
    <t>snapshot</t>
  </si>
  <si>
    <t>send bill 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</si>
</sst>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b/>
      <sz val="12"/>
      <color theme="9" tint="-0.249977111117893"/>
      <name val="Garamond"/>
      <family val="1"/>
    </font>
    <font>
      <sz val="12"/>
      <color theme="9" tint="-0.249977111117893"/>
      <name val="Garamond"/>
      <family val="1"/>
    </font>
    <font>
      <sz val="12"/>
      <color theme="1"/>
      <name val="Garamond"/>
      <family val="1"/>
    </font>
    <font>
      <sz val="11"/>
      <color theme="0"/>
      <name val="Calibri"/>
      <family val="2"/>
      <scheme val="minor"/>
    </font>
    <font>
      <b/>
      <sz val="14"/>
      <color theme="8" tint="-0.249977111117893"/>
      <name val="Garamond"/>
      <family val="1"/>
    </font>
    <font>
      <sz val="14"/>
      <color theme="1"/>
      <name val="Garamond"/>
      <family val="1"/>
    </font>
    <font>
      <sz val="14"/>
      <color theme="8" tint="-0.249977111117893"/>
      <name val="Garamond"/>
      <family val="1"/>
    </font>
    <font>
      <b/>
      <sz val="14"/>
      <color theme="9" tint="-0.249977111117893"/>
      <name val="Garamond"/>
      <family val="1"/>
    </font>
    <font>
      <sz val="11"/>
      <color theme="1"/>
      <name val="Garamond"/>
      <family val="1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CC"/>
      </patternFill>
    </fill>
    <fill>
      <patternFill patternType="solid">
        <fgColor theme="9" tint="0.79998168889431442"/>
        <bgColor theme="9" tint="0.79998168889431442"/>
      </patternFill>
    </fill>
    <fill>
      <patternFill patternType="lightUp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/>
    <xf numFmtId="44" fontId="6" fillId="0" borderId="0" applyFont="0" applyFill="0" applyBorder="0" applyAlignment="0" applyProtection="0"/>
    <xf numFmtId="0" fontId="7" fillId="0" borderId="9" applyNumberFormat="0" applyFill="0" applyAlignment="0" applyProtection="0"/>
    <xf numFmtId="0" fontId="8" fillId="4" borderId="0" applyNumberFormat="0" applyBorder="0" applyAlignment="0" applyProtection="0"/>
    <xf numFmtId="0" fontId="6" fillId="6" borderId="20" applyNumberFormat="0" applyFont="0" applyAlignment="0" applyProtection="0"/>
    <xf numFmtId="44" fontId="6" fillId="8" borderId="0"/>
    <xf numFmtId="0" fontId="23" fillId="0" borderId="0" applyNumberFormat="0" applyFill="0" applyBorder="0" applyAlignment="0" applyProtection="0"/>
  </cellStyleXfs>
  <cellXfs count="17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Border="1"/>
    <xf numFmtId="164" fontId="0" fillId="0" borderId="1" xfId="0" applyNumberFormat="1" applyFill="1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0" borderId="0" xfId="0" applyFont="1" applyAlignment="1">
      <alignment vertical="center"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1" fontId="0" fillId="0" borderId="0" xfId="0" applyNumberFormat="1" applyAlignment="1">
      <alignment horizontal="center" wrapText="1"/>
    </xf>
    <xf numFmtId="1" fontId="0" fillId="0" borderId="0" xfId="0" applyNumberFormat="1"/>
    <xf numFmtId="0" fontId="0" fillId="5" borderId="0" xfId="0" applyFont="1" applyFill="1"/>
    <xf numFmtId="0" fontId="0" fillId="0" borderId="0" xfId="0" applyFont="1"/>
    <xf numFmtId="0" fontId="0" fillId="5" borderId="10" xfId="0" applyFont="1" applyFill="1" applyBorder="1"/>
    <xf numFmtId="0" fontId="0" fillId="5" borderId="11" xfId="0" applyFont="1" applyFill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44" fontId="0" fillId="5" borderId="11" xfId="1" applyFont="1" applyFill="1" applyBorder="1"/>
    <xf numFmtId="44" fontId="0" fillId="0" borderId="0" xfId="1" applyFont="1"/>
    <xf numFmtId="44" fontId="0" fillId="5" borderId="0" xfId="1" applyFont="1" applyFill="1"/>
    <xf numFmtId="44" fontId="0" fillId="5" borderId="10" xfId="1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4" fontId="10" fillId="0" borderId="9" xfId="2" applyNumberFormat="1" applyFont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0" fontId="10" fillId="0" borderId="9" xfId="2" applyFont="1" applyAlignment="1">
      <alignment horizontal="center" vertical="center" wrapText="1"/>
    </xf>
    <xf numFmtId="0" fontId="7" fillId="0" borderId="9" xfId="2" applyAlignment="1">
      <alignment vertical="center"/>
    </xf>
    <xf numFmtId="164" fontId="0" fillId="0" borderId="0" xfId="0" applyNumberFormat="1" applyFill="1" applyAlignment="1">
      <alignment horizontal="right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44" fontId="0" fillId="0" borderId="0" xfId="0" applyNumberFormat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Alignment="1">
      <alignment horizontal="center" wrapText="1"/>
    </xf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  <xf numFmtId="165" fontId="0" fillId="0" borderId="0" xfId="0" applyNumberFormat="1"/>
    <xf numFmtId="0" fontId="9" fillId="4" borderId="0" xfId="3" applyFont="1" applyAlignment="1"/>
    <xf numFmtId="0" fontId="9" fillId="4" borderId="21" xfId="3" applyFont="1" applyBorder="1" applyAlignment="1"/>
    <xf numFmtId="0" fontId="13" fillId="4" borderId="21" xfId="3" applyFont="1" applyBorder="1" applyAlignment="1"/>
    <xf numFmtId="0" fontId="13" fillId="4" borderId="0" xfId="3" applyFont="1" applyAlignment="1"/>
    <xf numFmtId="0" fontId="14" fillId="0" borderId="23" xfId="0" applyFont="1" applyBorder="1" applyAlignment="1">
      <alignment horizontal="left" vertical="center"/>
    </xf>
    <xf numFmtId="164" fontId="14" fillId="0" borderId="23" xfId="0" applyNumberFormat="1" applyFont="1" applyBorder="1" applyAlignment="1">
      <alignment horizontal="left" vertical="center"/>
    </xf>
    <xf numFmtId="164" fontId="14" fillId="0" borderId="7" xfId="0" applyNumberFormat="1" applyFont="1" applyBorder="1" applyAlignment="1">
      <alignment horizontal="left" vertical="center"/>
    </xf>
    <xf numFmtId="164" fontId="15" fillId="7" borderId="2" xfId="0" applyNumberFormat="1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164" fontId="16" fillId="5" borderId="23" xfId="0" applyNumberFormat="1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164" fontId="16" fillId="0" borderId="23" xfId="0" applyNumberFormat="1" applyFont="1" applyBorder="1" applyAlignment="1">
      <alignment horizontal="left" vertical="center"/>
    </xf>
    <xf numFmtId="164" fontId="16" fillId="0" borderId="22" xfId="0" applyNumberFormat="1" applyFont="1" applyBorder="1" applyAlignment="1">
      <alignment horizontal="left" vertical="center"/>
    </xf>
    <xf numFmtId="164" fontId="16" fillId="5" borderId="2" xfId="0" applyNumberFormat="1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44" fontId="6" fillId="6" borderId="20" xfId="4" applyNumberFormat="1"/>
    <xf numFmtId="0" fontId="0" fillId="9" borderId="0" xfId="0" applyFill="1"/>
    <xf numFmtId="0" fontId="12" fillId="0" borderId="16" xfId="0" applyFont="1" applyBorder="1" applyAlignment="1">
      <alignment horizontal="center" vertical="center" wrapText="1"/>
    </xf>
    <xf numFmtId="44" fontId="10" fillId="0" borderId="9" xfId="1" applyFont="1" applyBorder="1" applyAlignment="1">
      <alignment horizontal="center" vertical="center" wrapText="1"/>
    </xf>
    <xf numFmtId="0" fontId="0" fillId="10" borderId="0" xfId="0" applyFill="1"/>
    <xf numFmtId="0" fontId="17" fillId="0" borderId="0" xfId="0" applyFont="1"/>
    <xf numFmtId="0" fontId="19" fillId="0" borderId="0" xfId="0" applyFont="1"/>
    <xf numFmtId="0" fontId="21" fillId="0" borderId="23" xfId="0" applyFont="1" applyBorder="1" applyAlignment="1">
      <alignment horizontal="left" vertical="center"/>
    </xf>
    <xf numFmtId="164" fontId="21" fillId="0" borderId="23" xfId="0" applyNumberFormat="1" applyFont="1" applyBorder="1" applyAlignment="1">
      <alignment horizontal="left" vertical="center"/>
    </xf>
    <xf numFmtId="164" fontId="21" fillId="0" borderId="7" xfId="0" applyNumberFormat="1" applyFont="1" applyBorder="1" applyAlignment="1">
      <alignment horizontal="left" vertical="center"/>
    </xf>
    <xf numFmtId="0" fontId="19" fillId="0" borderId="0" xfId="0" applyFont="1" applyFill="1" applyBorder="1"/>
    <xf numFmtId="164" fontId="19" fillId="0" borderId="0" xfId="0" applyNumberFormat="1" applyFont="1"/>
    <xf numFmtId="0" fontId="19" fillId="6" borderId="20" xfId="4" applyFont="1"/>
    <xf numFmtId="0" fontId="18" fillId="0" borderId="25" xfId="0" applyFont="1" applyBorder="1" applyAlignment="1">
      <alignment horizontal="left"/>
    </xf>
    <xf numFmtId="0" fontId="20" fillId="11" borderId="25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11" borderId="0" xfId="0" applyFont="1" applyFill="1" applyAlignment="1">
      <alignment horizontal="left"/>
    </xf>
    <xf numFmtId="0" fontId="18" fillId="11" borderId="25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8" fillId="11" borderId="0" xfId="0" applyFont="1" applyFill="1" applyAlignment="1">
      <alignment horizontal="left"/>
    </xf>
    <xf numFmtId="164" fontId="21" fillId="7" borderId="2" xfId="0" applyNumberFormat="1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165" fontId="0" fillId="3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6" fontId="19" fillId="6" borderId="20" xfId="1" applyNumberFormat="1" applyFont="1" applyFill="1" applyBorder="1" applyAlignment="1">
      <alignment horizontal="center"/>
    </xf>
    <xf numFmtId="0" fontId="19" fillId="6" borderId="20" xfId="4" applyFont="1" applyAlignment="1">
      <alignment horizontal="center"/>
    </xf>
    <xf numFmtId="0" fontId="19" fillId="0" borderId="0" xfId="0" applyFont="1" applyAlignment="1">
      <alignment horizontal="center"/>
    </xf>
    <xf numFmtId="166" fontId="22" fillId="6" borderId="20" xfId="1" applyNumberFormat="1" applyFont="1" applyFill="1" applyBorder="1" applyAlignment="1">
      <alignment horizontal="right"/>
    </xf>
    <xf numFmtId="0" fontId="22" fillId="6" borderId="20" xfId="4" applyFont="1" applyAlignment="1">
      <alignment horizontal="right"/>
    </xf>
    <xf numFmtId="0" fontId="22" fillId="0" borderId="0" xfId="0" applyFont="1" applyAlignment="1">
      <alignment horizontal="right"/>
    </xf>
    <xf numFmtId="0" fontId="6" fillId="6" borderId="20" xfId="4" applyNumberFormat="1"/>
    <xf numFmtId="0" fontId="23" fillId="0" borderId="0" xfId="6"/>
    <xf numFmtId="0" fontId="0" fillId="12" borderId="0" xfId="0" applyFill="1"/>
    <xf numFmtId="44" fontId="0" fillId="6" borderId="20" xfId="4" applyNumberFormat="1" applyFont="1"/>
    <xf numFmtId="0" fontId="20" fillId="11" borderId="0" xfId="0" applyFont="1" applyFill="1" applyBorder="1" applyAlignment="1">
      <alignment horizontal="left"/>
    </xf>
    <xf numFmtId="0" fontId="18" fillId="11" borderId="0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18" fillId="0" borderId="24" xfId="0" applyFont="1" applyFill="1" applyBorder="1" applyAlignment="1">
      <alignment horizontal="left"/>
    </xf>
    <xf numFmtId="0" fontId="0" fillId="13" borderId="0" xfId="0" applyFill="1"/>
    <xf numFmtId="164" fontId="15" fillId="7" borderId="1" xfId="1" applyNumberFormat="1" applyFont="1" applyFill="1" applyBorder="1" applyAlignment="1">
      <alignment horizontal="left" vertical="center"/>
    </xf>
    <xf numFmtId="164" fontId="16" fillId="0" borderId="7" xfId="0" applyNumberFormat="1" applyFont="1" applyBorder="1" applyAlignment="1">
      <alignment horizontal="left" vertical="center"/>
    </xf>
    <xf numFmtId="164" fontId="16" fillId="5" borderId="7" xfId="0" applyNumberFormat="1" applyFont="1" applyFill="1" applyBorder="1" applyAlignment="1">
      <alignment horizontal="left" vertical="center"/>
    </xf>
    <xf numFmtId="164" fontId="16" fillId="5" borderId="1" xfId="0" applyNumberFormat="1" applyFont="1" applyFill="1" applyBorder="1" applyAlignment="1">
      <alignment horizontal="left" vertical="center"/>
    </xf>
    <xf numFmtId="165" fontId="21" fillId="0" borderId="7" xfId="0" applyNumberFormat="1" applyFont="1" applyBorder="1" applyAlignment="1">
      <alignment horizontal="left" vertical="center"/>
    </xf>
    <xf numFmtId="164" fontId="21" fillId="7" borderId="1" xfId="0" applyNumberFormat="1" applyFont="1" applyFill="1" applyBorder="1" applyAlignment="1">
      <alignment horizontal="left" vertical="center"/>
    </xf>
    <xf numFmtId="44" fontId="24" fillId="5" borderId="11" xfId="1" applyFont="1" applyFill="1" applyBorder="1"/>
    <xf numFmtId="44" fontId="24" fillId="0" borderId="0" xfId="1" applyFont="1"/>
    <xf numFmtId="44" fontId="24" fillId="5" borderId="0" xfId="1" applyFont="1" applyFill="1"/>
    <xf numFmtId="44" fontId="24" fillId="5" borderId="10" xfId="1" applyFont="1" applyFill="1" applyBorder="1"/>
    <xf numFmtId="0" fontId="25" fillId="0" borderId="11" xfId="0" applyFont="1" applyBorder="1"/>
    <xf numFmtId="0" fontId="0" fillId="14" borderId="0" xfId="0" applyFill="1"/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16" fillId="0" borderId="2" xfId="0" applyNumberFormat="1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1" fillId="2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Currency" xfId="1" builtinId="4"/>
    <cellStyle name="Heading 2" xfId="2" builtinId="17"/>
    <cellStyle name="Hyperlink" xfId="6" builtinId="8"/>
    <cellStyle name="Neutral" xfId="3" builtinId="28"/>
    <cellStyle name="Normal" xfId="0" builtinId="0"/>
    <cellStyle name="Note" xfId="4" builtinId="10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ifehacker.com/whistleout-compares-tons-of-cellphone-plans-finds-you-157235406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workbookViewId="0">
      <selection activeCell="K9" sqref="K9"/>
    </sheetView>
  </sheetViews>
  <sheetFormatPr defaultRowHeight="15" x14ac:dyDescent="0.25"/>
  <sheetData>
    <row r="2" spans="1:7" x14ac:dyDescent="0.25">
      <c r="C2" t="s">
        <v>5</v>
      </c>
      <c r="D2" t="s">
        <v>6</v>
      </c>
      <c r="E2" t="s">
        <v>7</v>
      </c>
      <c r="F2" t="s">
        <v>8</v>
      </c>
      <c r="G2" t="s">
        <v>10</v>
      </c>
    </row>
    <row r="3" spans="1:7" x14ac:dyDescent="0.25">
      <c r="A3" t="s">
        <v>35</v>
      </c>
      <c r="B3" t="s">
        <v>16</v>
      </c>
      <c r="C3" s="1">
        <v>88.333333333333329</v>
      </c>
      <c r="D3" s="1">
        <v>98.333333333333329</v>
      </c>
      <c r="E3" s="1">
        <v>108.33333333333333</v>
      </c>
      <c r="F3" s="1">
        <v>118.33333333333333</v>
      </c>
      <c r="G3" s="1">
        <v>122.5</v>
      </c>
    </row>
    <row r="4" spans="1:7" x14ac:dyDescent="0.25">
      <c r="B4" t="s">
        <v>2</v>
      </c>
      <c r="C4" s="1">
        <v>74.999583333333334</v>
      </c>
      <c r="D4" s="1">
        <v>84.999583333333334</v>
      </c>
      <c r="E4" s="1">
        <v>99.99958333333332</v>
      </c>
      <c r="F4" s="1">
        <v>109.99958333333332</v>
      </c>
      <c r="G4" s="1">
        <v>119.99958333333332</v>
      </c>
    </row>
    <row r="5" spans="1:7" x14ac:dyDescent="0.25">
      <c r="B5" t="s">
        <v>0</v>
      </c>
      <c r="C5" s="1">
        <v>78</v>
      </c>
      <c r="D5" s="1">
        <v>88</v>
      </c>
      <c r="E5" s="1">
        <v>98</v>
      </c>
      <c r="F5" s="1">
        <v>108</v>
      </c>
      <c r="G5" s="1">
        <v>108</v>
      </c>
    </row>
    <row r="6" spans="1:7" x14ac:dyDescent="0.25">
      <c r="B6" t="s">
        <v>1</v>
      </c>
      <c r="C6" s="1">
        <v>78</v>
      </c>
      <c r="D6" s="1">
        <v>88</v>
      </c>
      <c r="E6" s="1">
        <v>98</v>
      </c>
      <c r="F6" s="1">
        <v>108</v>
      </c>
      <c r="G6" s="1">
        <v>108</v>
      </c>
    </row>
    <row r="7" spans="1:7" x14ac:dyDescent="0.25">
      <c r="A7" t="s">
        <v>36</v>
      </c>
      <c r="B7" t="s">
        <v>16</v>
      </c>
      <c r="C7" s="1">
        <v>67.5</v>
      </c>
      <c r="D7" s="1">
        <v>77.5</v>
      </c>
      <c r="E7" s="1">
        <v>87.5</v>
      </c>
      <c r="F7" s="1">
        <v>97.5</v>
      </c>
      <c r="G7" s="1">
        <v>97.5</v>
      </c>
    </row>
    <row r="8" spans="1:7" x14ac:dyDescent="0.25">
      <c r="B8" t="s">
        <v>2</v>
      </c>
      <c r="C8" s="1">
        <v>66.666666666666671</v>
      </c>
      <c r="D8" s="1">
        <v>76.666666666666671</v>
      </c>
      <c r="E8" s="1">
        <v>91.666666666666671</v>
      </c>
      <c r="F8" s="1">
        <v>101.66666666666667</v>
      </c>
      <c r="G8" s="1">
        <v>111.66666666666667</v>
      </c>
    </row>
    <row r="9" spans="1:7" x14ac:dyDescent="0.25">
      <c r="B9" t="s">
        <v>0</v>
      </c>
      <c r="C9" s="1">
        <v>73.749583333333334</v>
      </c>
      <c r="D9" s="1">
        <v>83.74958333333332</v>
      </c>
      <c r="E9" s="1">
        <v>93.74958333333332</v>
      </c>
      <c r="F9" s="1">
        <v>103.74958333333332</v>
      </c>
      <c r="G9" s="1">
        <v>103.74958333333332</v>
      </c>
    </row>
    <row r="10" spans="1:7" x14ac:dyDescent="0.25">
      <c r="B10" t="s">
        <v>1</v>
      </c>
      <c r="C10" s="1">
        <v>73.749583333333334</v>
      </c>
      <c r="D10" s="1">
        <v>83.74958333333332</v>
      </c>
      <c r="E10" s="1">
        <v>93.74958333333332</v>
      </c>
      <c r="F10" s="1">
        <v>103.74958333333332</v>
      </c>
      <c r="G10" s="1">
        <v>103.74958333333332</v>
      </c>
    </row>
    <row r="11" spans="1:7" x14ac:dyDescent="0.25">
      <c r="A11" t="s">
        <v>37</v>
      </c>
      <c r="B11" t="s">
        <v>16</v>
      </c>
      <c r="C11" s="1">
        <v>71.666666666666671</v>
      </c>
      <c r="D11" s="1">
        <v>81.666666666666671</v>
      </c>
      <c r="E11" s="1">
        <v>91.666666666666671</v>
      </c>
      <c r="F11" s="1">
        <v>101.66666666666667</v>
      </c>
      <c r="G11" s="1">
        <v>101.66666666666667</v>
      </c>
    </row>
    <row r="12" spans="1:7" x14ac:dyDescent="0.25">
      <c r="B12" t="s">
        <v>2</v>
      </c>
      <c r="C12" s="1">
        <v>74.999583333333334</v>
      </c>
      <c r="D12" s="1">
        <v>84.999583333333334</v>
      </c>
      <c r="E12" s="1">
        <v>99.99958333333332</v>
      </c>
      <c r="F12" s="1">
        <v>109.99958333333332</v>
      </c>
      <c r="G12" s="1">
        <v>119.99958333333332</v>
      </c>
    </row>
    <row r="13" spans="1:7" x14ac:dyDescent="0.25">
      <c r="B13" t="s">
        <v>0</v>
      </c>
      <c r="C13" s="1">
        <v>75.832916666666662</v>
      </c>
      <c r="D13" s="1">
        <v>85.832916666666662</v>
      </c>
      <c r="E13" s="1">
        <v>95.832916666666662</v>
      </c>
      <c r="F13" s="1">
        <v>105.83291666666666</v>
      </c>
      <c r="G13" s="1">
        <v>105.83291666666666</v>
      </c>
    </row>
    <row r="14" spans="1:7" x14ac:dyDescent="0.25">
      <c r="B14" t="s">
        <v>1</v>
      </c>
      <c r="C14" s="1">
        <v>75.832916666666662</v>
      </c>
      <c r="D14" s="1">
        <v>85.832916666666662</v>
      </c>
      <c r="E14" s="1">
        <v>95.832916666666662</v>
      </c>
      <c r="F14" s="1">
        <v>105.83291666666666</v>
      </c>
      <c r="G14" s="1">
        <v>105.83291666666666</v>
      </c>
    </row>
    <row r="15" spans="1:7" x14ac:dyDescent="0.25">
      <c r="A15" t="s">
        <v>38</v>
      </c>
      <c r="B15" t="s">
        <v>16</v>
      </c>
      <c r="C15" s="1">
        <v>61.25</v>
      </c>
      <c r="D15" s="1">
        <v>71.25</v>
      </c>
      <c r="E15" s="1">
        <v>81.25</v>
      </c>
      <c r="F15" s="1">
        <v>91.25</v>
      </c>
      <c r="G15" s="1">
        <v>91.25</v>
      </c>
    </row>
    <row r="16" spans="1:7" x14ac:dyDescent="0.25">
      <c r="B16" t="s">
        <v>2</v>
      </c>
      <c r="C16" s="1">
        <v>68.749583333333334</v>
      </c>
      <c r="D16" s="1">
        <v>78.749583333333334</v>
      </c>
      <c r="E16" s="1">
        <v>93.74958333333332</v>
      </c>
      <c r="F16" s="1">
        <v>103.74958333333332</v>
      </c>
      <c r="G16" s="1">
        <v>113.74958333333332</v>
      </c>
    </row>
    <row r="17" spans="1:7" x14ac:dyDescent="0.25">
      <c r="B17" t="s">
        <v>0</v>
      </c>
      <c r="C17" s="1">
        <v>71.666250000000005</v>
      </c>
      <c r="D17" s="1">
        <v>81.666249999999991</v>
      </c>
      <c r="E17" s="1">
        <v>91.666249999999991</v>
      </c>
      <c r="F17" s="1">
        <v>101.66624999999999</v>
      </c>
      <c r="G17" s="1">
        <v>101.66624999999999</v>
      </c>
    </row>
    <row r="18" spans="1:7" x14ac:dyDescent="0.25">
      <c r="B18" t="s">
        <v>1</v>
      </c>
      <c r="C18" s="1">
        <v>71.666250000000005</v>
      </c>
      <c r="D18" s="1">
        <v>81.666249999999991</v>
      </c>
      <c r="E18" s="1">
        <v>91.666249999999991</v>
      </c>
      <c r="F18" s="1">
        <v>101.66624999999999</v>
      </c>
      <c r="G18" s="1">
        <v>101.66624999999999</v>
      </c>
    </row>
    <row r="19" spans="1:7" x14ac:dyDescent="0.25">
      <c r="A19" t="s">
        <v>39</v>
      </c>
      <c r="B19" t="s">
        <v>16</v>
      </c>
      <c r="C19" s="1">
        <v>67.5</v>
      </c>
      <c r="D19" s="1">
        <v>77.5</v>
      </c>
      <c r="E19" s="1">
        <v>87.5</v>
      </c>
      <c r="F19" s="1">
        <v>97.5</v>
      </c>
      <c r="G19" s="1">
        <v>97.5</v>
      </c>
    </row>
    <row r="20" spans="1:7" x14ac:dyDescent="0.25">
      <c r="B20" t="s">
        <v>2</v>
      </c>
      <c r="C20" s="1">
        <v>70.832916666666662</v>
      </c>
      <c r="D20" s="1">
        <v>80.832916666666662</v>
      </c>
      <c r="E20" s="1">
        <v>95.832916666666662</v>
      </c>
      <c r="F20" s="1">
        <v>105.83291666666666</v>
      </c>
      <c r="G20" s="1">
        <v>115.83291666666666</v>
      </c>
    </row>
    <row r="21" spans="1:7" x14ac:dyDescent="0.25">
      <c r="B21" t="s">
        <v>0</v>
      </c>
      <c r="C21" s="1">
        <v>71.666250000000005</v>
      </c>
      <c r="D21" s="1">
        <v>81.666249999999991</v>
      </c>
      <c r="E21" s="1">
        <v>91.666249999999991</v>
      </c>
      <c r="F21" s="1">
        <v>101.66624999999999</v>
      </c>
      <c r="G21" s="1">
        <v>101.66624999999999</v>
      </c>
    </row>
    <row r="22" spans="1:7" x14ac:dyDescent="0.25">
      <c r="B22" t="s">
        <v>1</v>
      </c>
      <c r="C22" s="1">
        <v>71.666250000000005</v>
      </c>
      <c r="D22" s="1">
        <v>81.666249999999991</v>
      </c>
      <c r="E22" s="1">
        <v>91.666249999999991</v>
      </c>
      <c r="F22" s="1">
        <v>101.66624999999999</v>
      </c>
      <c r="G22" s="1">
        <v>101.66624999999999</v>
      </c>
    </row>
    <row r="23" spans="1:7" x14ac:dyDescent="0.25">
      <c r="C23" s="1">
        <f>MIN(C3:C22)</f>
        <v>61.25</v>
      </c>
      <c r="D23" s="1">
        <f t="shared" ref="D23:G23" si="0">MIN(D3:D22)</f>
        <v>71.25</v>
      </c>
      <c r="E23" s="1">
        <f t="shared" si="0"/>
        <v>81.25</v>
      </c>
      <c r="F23" s="1">
        <f t="shared" si="0"/>
        <v>91.25</v>
      </c>
      <c r="G23" s="1">
        <f t="shared" si="0"/>
        <v>91.25</v>
      </c>
    </row>
    <row r="24" spans="1:7" x14ac:dyDescent="0.25">
      <c r="C24" s="1">
        <f>MAX(C3:C22)</f>
        <v>88.333333333333329</v>
      </c>
      <c r="D24" s="1">
        <f t="shared" ref="D24:G24" si="1">MAX(D3:D22)</f>
        <v>98.333333333333329</v>
      </c>
      <c r="E24" s="1">
        <f t="shared" si="1"/>
        <v>108.33333333333333</v>
      </c>
      <c r="F24" s="1">
        <f t="shared" si="1"/>
        <v>118.33333333333333</v>
      </c>
      <c r="G24" s="1">
        <f t="shared" si="1"/>
        <v>122.5</v>
      </c>
    </row>
    <row r="25" spans="1:7" x14ac:dyDescent="0.25">
      <c r="C25" s="1">
        <f>C24-C23</f>
        <v>27.083333333333329</v>
      </c>
      <c r="D25" s="1">
        <f t="shared" ref="D25:G25" si="2">D24-D23</f>
        <v>27.083333333333329</v>
      </c>
      <c r="E25" s="1">
        <f t="shared" si="2"/>
        <v>27.083333333333329</v>
      </c>
      <c r="F25" s="1">
        <f t="shared" si="2"/>
        <v>27.083333333333329</v>
      </c>
      <c r="G25" s="1">
        <f t="shared" si="2"/>
        <v>31.25</v>
      </c>
    </row>
    <row r="26" spans="1:7" x14ac:dyDescent="0.25">
      <c r="C26" s="1"/>
      <c r="D26" s="1"/>
      <c r="E26" s="1"/>
      <c r="F26" s="1"/>
      <c r="G26" s="1"/>
    </row>
    <row r="27" spans="1:7" x14ac:dyDescent="0.25">
      <c r="B27" t="s">
        <v>40</v>
      </c>
      <c r="C27" s="1">
        <f>MIN(C3:C6)</f>
        <v>74.999583333333334</v>
      </c>
      <c r="D27" s="1">
        <f t="shared" ref="D27:F27" si="3">MIN(D3:D6)</f>
        <v>84.999583333333334</v>
      </c>
      <c r="E27" s="1">
        <f t="shared" si="3"/>
        <v>98</v>
      </c>
      <c r="F27" s="1">
        <f t="shared" si="3"/>
        <v>108</v>
      </c>
      <c r="G27" s="1">
        <f t="shared" ref="G27" si="4">MIN(G3:G6)</f>
        <v>108</v>
      </c>
    </row>
    <row r="28" spans="1:7" x14ac:dyDescent="0.25">
      <c r="B28" t="s">
        <v>36</v>
      </c>
      <c r="C28" s="1">
        <f>MIN(C7:C10)</f>
        <v>66.666666666666671</v>
      </c>
      <c r="D28" s="1">
        <f t="shared" ref="D28:F28" si="5">MIN(D7:D10)</f>
        <v>76.666666666666671</v>
      </c>
      <c r="E28" s="1">
        <f t="shared" si="5"/>
        <v>87.5</v>
      </c>
      <c r="F28" s="1">
        <f t="shared" si="5"/>
        <v>97.5</v>
      </c>
      <c r="G28" s="1">
        <f t="shared" ref="G28" si="6">MIN(G7:G10)</f>
        <v>97.5</v>
      </c>
    </row>
    <row r="29" spans="1:7" x14ac:dyDescent="0.25">
      <c r="B29" t="s">
        <v>37</v>
      </c>
      <c r="C29" s="1">
        <f>MIN(C11:C14)</f>
        <v>71.666666666666671</v>
      </c>
      <c r="D29" s="1">
        <f t="shared" ref="D29:F29" si="7">MIN(D11:D14)</f>
        <v>81.666666666666671</v>
      </c>
      <c r="E29" s="1">
        <f t="shared" si="7"/>
        <v>91.666666666666671</v>
      </c>
      <c r="F29" s="1">
        <f t="shared" si="7"/>
        <v>101.66666666666667</v>
      </c>
      <c r="G29" s="1">
        <f t="shared" ref="G29" si="8">MIN(G11:G14)</f>
        <v>101.66666666666667</v>
      </c>
    </row>
    <row r="30" spans="1:7" x14ac:dyDescent="0.25">
      <c r="B30" t="s">
        <v>38</v>
      </c>
      <c r="C30" s="1">
        <f>MIN(C15:C18)</f>
        <v>61.25</v>
      </c>
      <c r="D30" s="1">
        <f t="shared" ref="D30:F30" si="9">MIN(D15:D18)</f>
        <v>71.25</v>
      </c>
      <c r="E30" s="1">
        <f t="shared" si="9"/>
        <v>81.25</v>
      </c>
      <c r="F30" s="1">
        <f t="shared" si="9"/>
        <v>91.25</v>
      </c>
      <c r="G30" s="1">
        <f t="shared" ref="G30" si="10">MIN(G15:G18)</f>
        <v>91.25</v>
      </c>
    </row>
    <row r="31" spans="1:7" x14ac:dyDescent="0.25">
      <c r="B31" t="s">
        <v>39</v>
      </c>
      <c r="C31" s="1">
        <f>MIN(C19:C22)</f>
        <v>67.5</v>
      </c>
      <c r="D31" s="1">
        <f t="shared" ref="D31:F31" si="11">MIN(D19:D22)</f>
        <v>77.5</v>
      </c>
      <c r="E31" s="1">
        <f t="shared" si="11"/>
        <v>87.5</v>
      </c>
      <c r="F31" s="1">
        <f t="shared" si="11"/>
        <v>97.5</v>
      </c>
      <c r="G31" s="1">
        <f t="shared" ref="G31" si="12">MIN(G19:G22)</f>
        <v>97.5</v>
      </c>
    </row>
    <row r="32" spans="1:7" x14ac:dyDescent="0.25">
      <c r="B32" t="s">
        <v>41</v>
      </c>
      <c r="C32" s="1">
        <f>MIN(C27:C31)</f>
        <v>61.25</v>
      </c>
      <c r="D32" s="1">
        <f t="shared" ref="D32:G32" si="13">MIN(D27:D31)</f>
        <v>71.25</v>
      </c>
      <c r="E32" s="1">
        <f t="shared" si="13"/>
        <v>81.25</v>
      </c>
      <c r="F32" s="1">
        <f t="shared" si="13"/>
        <v>91.25</v>
      </c>
      <c r="G32" s="1">
        <f t="shared" si="13"/>
        <v>91.25</v>
      </c>
    </row>
    <row r="33" spans="1:7" x14ac:dyDescent="0.25">
      <c r="B33" t="s">
        <v>42</v>
      </c>
      <c r="C33" s="1">
        <f>MAX(C27:C31)</f>
        <v>74.999583333333334</v>
      </c>
      <c r="D33" s="1">
        <f t="shared" ref="D33:F33" si="14">MAX(D27:D31)</f>
        <v>84.999583333333334</v>
      </c>
      <c r="E33" s="1">
        <f t="shared" si="14"/>
        <v>98</v>
      </c>
      <c r="F33" s="1">
        <f t="shared" si="14"/>
        <v>108</v>
      </c>
      <c r="G33" s="1">
        <f t="shared" ref="G33" si="15">MAX(G27:G31)</f>
        <v>108</v>
      </c>
    </row>
    <row r="34" spans="1:7" x14ac:dyDescent="0.25">
      <c r="B34" t="s">
        <v>43</v>
      </c>
      <c r="C34" s="1">
        <f>C33-C32</f>
        <v>13.749583333333334</v>
      </c>
      <c r="D34" s="1">
        <f t="shared" ref="D34:G34" si="16">D33-D32</f>
        <v>13.749583333333334</v>
      </c>
      <c r="E34" s="1">
        <f t="shared" si="16"/>
        <v>16.75</v>
      </c>
      <c r="F34" s="1">
        <f t="shared" si="16"/>
        <v>16.75</v>
      </c>
      <c r="G34" s="1">
        <f t="shared" si="16"/>
        <v>16.75</v>
      </c>
    </row>
    <row r="35" spans="1:7" x14ac:dyDescent="0.25">
      <c r="C35" s="1"/>
    </row>
    <row r="36" spans="1:7" x14ac:dyDescent="0.25">
      <c r="C36" t="s">
        <v>5</v>
      </c>
      <c r="D36" t="s">
        <v>6</v>
      </c>
      <c r="E36" t="s">
        <v>7</v>
      </c>
      <c r="F36" t="s">
        <v>8</v>
      </c>
      <c r="G36" t="s">
        <v>10</v>
      </c>
    </row>
    <row r="37" spans="1:7" x14ac:dyDescent="0.25">
      <c r="A37" t="s">
        <v>35</v>
      </c>
      <c r="B37" t="s">
        <v>2</v>
      </c>
      <c r="C37" s="1">
        <v>74.999583333333334</v>
      </c>
      <c r="D37" s="1">
        <v>84.999583333333334</v>
      </c>
      <c r="E37" s="1">
        <v>99.99958333333332</v>
      </c>
      <c r="F37" s="1">
        <v>109.99958333333332</v>
      </c>
      <c r="G37" s="1">
        <v>119.99958333333332</v>
      </c>
    </row>
    <row r="38" spans="1:7" x14ac:dyDescent="0.25">
      <c r="B38" t="s">
        <v>0</v>
      </c>
      <c r="C38" s="1">
        <v>78</v>
      </c>
      <c r="D38" s="1">
        <v>88</v>
      </c>
      <c r="E38" s="1">
        <v>98</v>
      </c>
      <c r="F38" s="1">
        <v>108</v>
      </c>
      <c r="G38" s="1">
        <v>108</v>
      </c>
    </row>
    <row r="39" spans="1:7" x14ac:dyDescent="0.25">
      <c r="B39" t="s">
        <v>1</v>
      </c>
      <c r="C39" s="1">
        <v>78</v>
      </c>
      <c r="D39" s="1">
        <v>88</v>
      </c>
      <c r="E39" s="1">
        <v>98</v>
      </c>
      <c r="F39" s="1">
        <v>108</v>
      </c>
      <c r="G39" s="1">
        <v>108</v>
      </c>
    </row>
    <row r="40" spans="1:7" x14ac:dyDescent="0.25">
      <c r="A40" t="s">
        <v>36</v>
      </c>
      <c r="B40" t="s">
        <v>2</v>
      </c>
      <c r="C40" s="1">
        <v>66.666666666666671</v>
      </c>
      <c r="D40" s="1">
        <v>76.666666666666671</v>
      </c>
      <c r="E40" s="1">
        <v>91.666666666666671</v>
      </c>
      <c r="F40" s="1">
        <v>101.66666666666667</v>
      </c>
      <c r="G40" s="1">
        <v>111.66666666666667</v>
      </c>
    </row>
    <row r="41" spans="1:7" x14ac:dyDescent="0.25">
      <c r="B41" t="s">
        <v>0</v>
      </c>
      <c r="C41" s="1">
        <v>73.749583333333334</v>
      </c>
      <c r="D41" s="1">
        <v>83.74958333333332</v>
      </c>
      <c r="E41" s="1">
        <v>93.74958333333332</v>
      </c>
      <c r="F41" s="1">
        <v>103.74958333333332</v>
      </c>
      <c r="G41" s="1">
        <v>103.74958333333332</v>
      </c>
    </row>
    <row r="42" spans="1:7" x14ac:dyDescent="0.25">
      <c r="B42" t="s">
        <v>1</v>
      </c>
      <c r="C42" s="1">
        <v>73.749583333333334</v>
      </c>
      <c r="D42" s="1">
        <v>83.74958333333332</v>
      </c>
      <c r="E42" s="1">
        <v>93.74958333333332</v>
      </c>
      <c r="F42" s="1">
        <v>103.74958333333332</v>
      </c>
      <c r="G42" s="1">
        <v>103.74958333333332</v>
      </c>
    </row>
    <row r="43" spans="1:7" x14ac:dyDescent="0.25">
      <c r="A43" t="s">
        <v>37</v>
      </c>
      <c r="B43" t="s">
        <v>2</v>
      </c>
      <c r="C43" s="1">
        <v>74.999583333333334</v>
      </c>
      <c r="D43" s="1">
        <v>84.999583333333334</v>
      </c>
      <c r="E43" s="1">
        <v>99.99958333333332</v>
      </c>
      <c r="F43" s="1">
        <v>109.99958333333332</v>
      </c>
      <c r="G43" s="1">
        <v>119.99958333333332</v>
      </c>
    </row>
    <row r="44" spans="1:7" x14ac:dyDescent="0.25">
      <c r="B44" t="s">
        <v>0</v>
      </c>
      <c r="C44" s="1">
        <v>75.832916666666662</v>
      </c>
      <c r="D44" s="1">
        <v>85.832916666666662</v>
      </c>
      <c r="E44" s="1">
        <v>95.832916666666662</v>
      </c>
      <c r="F44" s="1">
        <v>105.83291666666666</v>
      </c>
      <c r="G44" s="1">
        <v>105.83291666666666</v>
      </c>
    </row>
    <row r="45" spans="1:7" x14ac:dyDescent="0.25">
      <c r="B45" t="s">
        <v>1</v>
      </c>
      <c r="C45" s="1">
        <v>75.832916666666662</v>
      </c>
      <c r="D45" s="1">
        <v>85.832916666666662</v>
      </c>
      <c r="E45" s="1">
        <v>95.832916666666662</v>
      </c>
      <c r="F45" s="1">
        <v>105.83291666666666</v>
      </c>
      <c r="G45" s="1">
        <v>105.83291666666666</v>
      </c>
    </row>
    <row r="46" spans="1:7" x14ac:dyDescent="0.25">
      <c r="A46" t="s">
        <v>38</v>
      </c>
      <c r="B46" t="s">
        <v>2</v>
      </c>
      <c r="C46" s="1">
        <v>68.749583333333334</v>
      </c>
      <c r="D46" s="1">
        <v>78.749583333333334</v>
      </c>
      <c r="E46" s="1">
        <v>93.74958333333332</v>
      </c>
      <c r="F46" s="1">
        <v>103.74958333333332</v>
      </c>
      <c r="G46" s="1">
        <v>113.74958333333332</v>
      </c>
    </row>
    <row r="47" spans="1:7" x14ac:dyDescent="0.25">
      <c r="B47" t="s">
        <v>0</v>
      </c>
      <c r="C47" s="1">
        <v>71.666250000000005</v>
      </c>
      <c r="D47" s="1">
        <v>81.666249999999991</v>
      </c>
      <c r="E47" s="1">
        <v>91.666249999999991</v>
      </c>
      <c r="F47" s="1">
        <v>101.66624999999999</v>
      </c>
      <c r="G47" s="1">
        <v>101.66624999999999</v>
      </c>
    </row>
    <row r="48" spans="1:7" x14ac:dyDescent="0.25">
      <c r="B48" t="s">
        <v>1</v>
      </c>
      <c r="C48" s="1">
        <v>71.666250000000005</v>
      </c>
      <c r="D48" s="1">
        <v>81.666249999999991</v>
      </c>
      <c r="E48" s="1">
        <v>91.666249999999991</v>
      </c>
      <c r="F48" s="1">
        <v>101.66624999999999</v>
      </c>
      <c r="G48" s="1">
        <v>101.66624999999999</v>
      </c>
    </row>
    <row r="49" spans="1:7" x14ac:dyDescent="0.25">
      <c r="A49" t="s">
        <v>39</v>
      </c>
      <c r="B49" t="s">
        <v>2</v>
      </c>
      <c r="C49" s="1">
        <v>70.832916666666662</v>
      </c>
      <c r="D49" s="1">
        <v>80.832916666666662</v>
      </c>
      <c r="E49" s="1">
        <v>95.832916666666662</v>
      </c>
      <c r="F49" s="1">
        <v>105.83291666666666</v>
      </c>
      <c r="G49" s="1">
        <v>115.83291666666666</v>
      </c>
    </row>
    <row r="50" spans="1:7" x14ac:dyDescent="0.25">
      <c r="B50" t="s">
        <v>0</v>
      </c>
      <c r="C50" s="1">
        <v>71.666250000000005</v>
      </c>
      <c r="D50" s="1">
        <v>81.666249999999991</v>
      </c>
      <c r="E50" s="1">
        <v>91.666249999999991</v>
      </c>
      <c r="F50" s="1">
        <v>101.66624999999999</v>
      </c>
      <c r="G50" s="1">
        <v>101.66624999999999</v>
      </c>
    </row>
    <row r="51" spans="1:7" x14ac:dyDescent="0.25">
      <c r="B51" t="s">
        <v>1</v>
      </c>
      <c r="C51" s="1">
        <v>71.666250000000005</v>
      </c>
      <c r="D51" s="1">
        <v>81.666249999999991</v>
      </c>
      <c r="E51" s="1">
        <v>91.666249999999991</v>
      </c>
      <c r="F51" s="1">
        <v>101.66624999999999</v>
      </c>
      <c r="G51" s="1">
        <v>101.66624999999999</v>
      </c>
    </row>
    <row r="52" spans="1:7" x14ac:dyDescent="0.25">
      <c r="C52" s="1">
        <f>MIN(C37:C51)</f>
        <v>66.666666666666671</v>
      </c>
      <c r="D52" s="1">
        <f>MIN(D37:D51)</f>
        <v>76.666666666666671</v>
      </c>
      <c r="E52" s="1">
        <f>MIN(E37:E51)</f>
        <v>91.666249999999991</v>
      </c>
      <c r="F52" s="1">
        <f>MIN(F37:F51)</f>
        <v>101.66624999999999</v>
      </c>
      <c r="G52" s="1">
        <f>MIN(G37:G51)</f>
        <v>101.66624999999999</v>
      </c>
    </row>
    <row r="53" spans="1:7" x14ac:dyDescent="0.25">
      <c r="C53" s="1">
        <f>MAX(C37:C51)</f>
        <v>78</v>
      </c>
      <c r="D53" s="1">
        <f>MAX(D37:D51)</f>
        <v>88</v>
      </c>
      <c r="E53" s="1">
        <f>MAX(E37:E51)</f>
        <v>99.99958333333332</v>
      </c>
      <c r="F53" s="1">
        <f>MAX(F37:F51)</f>
        <v>109.99958333333332</v>
      </c>
      <c r="G53" s="1">
        <f>MAX(G37:G51)</f>
        <v>119.99958333333332</v>
      </c>
    </row>
    <row r="54" spans="1:7" x14ac:dyDescent="0.25">
      <c r="C54" s="1">
        <f>C53-C52</f>
        <v>11.333333333333329</v>
      </c>
      <c r="D54" s="1">
        <f t="shared" ref="D54" si="17">D53-D52</f>
        <v>11.333333333333329</v>
      </c>
      <c r="E54" s="1">
        <f t="shared" ref="E54" si="18">E53-E52</f>
        <v>8.3333333333333286</v>
      </c>
      <c r="F54" s="1">
        <f t="shared" ref="F54" si="19">F53-F52</f>
        <v>8.3333333333333286</v>
      </c>
      <c r="G54" s="1">
        <f t="shared" ref="G54" si="20">G53-G52</f>
        <v>18.333333333333329</v>
      </c>
    </row>
    <row r="56" spans="1:7" x14ac:dyDescent="0.25">
      <c r="B56" t="s">
        <v>40</v>
      </c>
      <c r="C56" s="1">
        <f>MIN(C37:C39)</f>
        <v>74.999583333333334</v>
      </c>
      <c r="D56" s="1">
        <f t="shared" ref="D56:G56" si="21">MIN(D37:D39)</f>
        <v>84.999583333333334</v>
      </c>
      <c r="E56" s="1">
        <f t="shared" si="21"/>
        <v>98</v>
      </c>
      <c r="F56" s="1">
        <f t="shared" si="21"/>
        <v>108</v>
      </c>
      <c r="G56" s="1">
        <f t="shared" si="21"/>
        <v>108</v>
      </c>
    </row>
    <row r="57" spans="1:7" x14ac:dyDescent="0.25">
      <c r="B57" t="s">
        <v>36</v>
      </c>
      <c r="C57" s="1">
        <f>MIN(C40:C42)</f>
        <v>66.666666666666671</v>
      </c>
      <c r="D57" s="1">
        <f t="shared" ref="D57:G57" si="22">MIN(D40:D42)</f>
        <v>76.666666666666671</v>
      </c>
      <c r="E57" s="1">
        <f t="shared" si="22"/>
        <v>91.666666666666671</v>
      </c>
      <c r="F57" s="1">
        <f t="shared" si="22"/>
        <v>101.66666666666667</v>
      </c>
      <c r="G57" s="1">
        <f t="shared" si="22"/>
        <v>103.74958333333332</v>
      </c>
    </row>
    <row r="58" spans="1:7" x14ac:dyDescent="0.25">
      <c r="B58" t="s">
        <v>37</v>
      </c>
      <c r="C58" s="1">
        <f>MIN(C43:C45)</f>
        <v>74.999583333333334</v>
      </c>
      <c r="D58" s="1">
        <f t="shared" ref="D58:G58" si="23">MIN(D43:D45)</f>
        <v>84.999583333333334</v>
      </c>
      <c r="E58" s="1">
        <f t="shared" si="23"/>
        <v>95.832916666666662</v>
      </c>
      <c r="F58" s="1">
        <f t="shared" si="23"/>
        <v>105.83291666666666</v>
      </c>
      <c r="G58" s="1">
        <f t="shared" si="23"/>
        <v>105.83291666666666</v>
      </c>
    </row>
    <row r="59" spans="1:7" x14ac:dyDescent="0.25">
      <c r="B59" t="s">
        <v>38</v>
      </c>
      <c r="C59" s="1">
        <f>MIN(C46:C48)</f>
        <v>68.749583333333334</v>
      </c>
      <c r="D59" s="1">
        <f t="shared" ref="D59:G59" si="24">MIN(D46:D48)</f>
        <v>78.749583333333334</v>
      </c>
      <c r="E59" s="1">
        <f t="shared" si="24"/>
        <v>91.666249999999991</v>
      </c>
      <c r="F59" s="1">
        <f t="shared" si="24"/>
        <v>101.66624999999999</v>
      </c>
      <c r="G59" s="1">
        <f t="shared" si="24"/>
        <v>101.66624999999999</v>
      </c>
    </row>
    <row r="60" spans="1:7" x14ac:dyDescent="0.25">
      <c r="B60" t="s">
        <v>39</v>
      </c>
      <c r="C60" s="1">
        <f>MIN(C49:C51)</f>
        <v>70.832916666666662</v>
      </c>
      <c r="D60" s="1">
        <f t="shared" ref="D60:G60" si="25">MIN(D49:D51)</f>
        <v>80.832916666666662</v>
      </c>
      <c r="E60" s="1">
        <f t="shared" si="25"/>
        <v>91.666249999999991</v>
      </c>
      <c r="F60" s="1">
        <f t="shared" si="25"/>
        <v>101.66624999999999</v>
      </c>
      <c r="G60" s="1">
        <f t="shared" si="25"/>
        <v>101.66624999999999</v>
      </c>
    </row>
    <row r="61" spans="1:7" x14ac:dyDescent="0.25">
      <c r="B61" t="s">
        <v>41</v>
      </c>
      <c r="C61" s="1">
        <f>MIN(C56:C60)</f>
        <v>66.666666666666671</v>
      </c>
      <c r="D61" s="1">
        <f t="shared" ref="D61:G61" si="26">MIN(D56:D60)</f>
        <v>76.666666666666671</v>
      </c>
      <c r="E61" s="1">
        <f t="shared" si="26"/>
        <v>91.666249999999991</v>
      </c>
      <c r="F61" s="1">
        <f t="shared" si="26"/>
        <v>101.66624999999999</v>
      </c>
      <c r="G61" s="1">
        <f t="shared" si="26"/>
        <v>101.66624999999999</v>
      </c>
    </row>
    <row r="62" spans="1:7" x14ac:dyDescent="0.25">
      <c r="B62" t="s">
        <v>42</v>
      </c>
      <c r="C62" s="1">
        <f>MAX(C56:C60)</f>
        <v>74.999583333333334</v>
      </c>
      <c r="D62" s="1">
        <f t="shared" ref="D62:G62" si="27">MAX(D56:D60)</f>
        <v>84.999583333333334</v>
      </c>
      <c r="E62" s="1">
        <f t="shared" si="27"/>
        <v>98</v>
      </c>
      <c r="F62" s="1">
        <f t="shared" si="27"/>
        <v>108</v>
      </c>
      <c r="G62" s="1">
        <f t="shared" si="27"/>
        <v>108</v>
      </c>
    </row>
    <row r="63" spans="1:7" x14ac:dyDescent="0.25">
      <c r="B63" t="s">
        <v>43</v>
      </c>
      <c r="C63" s="1">
        <f>C62-C61</f>
        <v>8.3329166666666623</v>
      </c>
      <c r="D63" s="1">
        <f t="shared" ref="D63:G63" si="28">D62-D61</f>
        <v>8.3329166666666623</v>
      </c>
      <c r="E63" s="1">
        <f t="shared" si="28"/>
        <v>6.3337500000000091</v>
      </c>
      <c r="F63" s="1">
        <f t="shared" si="28"/>
        <v>6.3337500000000091</v>
      </c>
      <c r="G63" s="1">
        <f t="shared" si="28"/>
        <v>6.3337500000000091</v>
      </c>
    </row>
  </sheetData>
  <conditionalFormatting sqref="C7:C1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D1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10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0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C1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G1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2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2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G22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C5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D5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:E5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:F5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G5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C4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8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8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8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C4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:D45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:E4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3:F4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3:G4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0:F4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G4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3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:D3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7:E3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7:F3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:G3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C4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D4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:E4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C6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:D6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:E6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:F6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6:G6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D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F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G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F20" sqref="F20"/>
    </sheetView>
  </sheetViews>
  <sheetFormatPr defaultRowHeight="15" x14ac:dyDescent="0.25"/>
  <cols>
    <col min="1" max="1" width="37.140625" style="16" bestFit="1" customWidth="1"/>
    <col min="2" max="2" width="15.140625" style="16" bestFit="1" customWidth="1"/>
    <col min="3" max="3" width="16.5703125" style="16" bestFit="1" customWidth="1"/>
    <col min="4" max="4" width="18.42578125" style="16" bestFit="1" customWidth="1"/>
    <col min="5" max="5" width="21.140625" style="16" bestFit="1" customWidth="1"/>
    <col min="6" max="6" width="37.140625" style="16" bestFit="1" customWidth="1"/>
    <col min="7" max="7" width="19.85546875" style="16" bestFit="1" customWidth="1"/>
    <col min="8" max="8" width="12.5703125" style="16" bestFit="1" customWidth="1"/>
    <col min="9" max="16384" width="9.140625" style="16"/>
  </cols>
  <sheetData>
    <row r="2" spans="1:8" x14ac:dyDescent="0.25">
      <c r="A2" s="16" t="s">
        <v>123</v>
      </c>
      <c r="B2" s="16" t="s">
        <v>17</v>
      </c>
      <c r="C2" s="16" t="s">
        <v>132</v>
      </c>
      <c r="D2" s="16" t="s">
        <v>22</v>
      </c>
      <c r="E2" s="16" t="s">
        <v>133</v>
      </c>
    </row>
    <row r="3" spans="1:8" x14ac:dyDescent="0.25">
      <c r="A3" s="16" t="s">
        <v>117</v>
      </c>
      <c r="B3" s="16">
        <v>1</v>
      </c>
      <c r="C3" s="16">
        <v>2</v>
      </c>
      <c r="D3" s="16">
        <v>3</v>
      </c>
      <c r="E3" s="16">
        <v>4</v>
      </c>
      <c r="F3" s="16">
        <v>5</v>
      </c>
    </row>
    <row r="4" spans="1:8" x14ac:dyDescent="0.25">
      <c r="A4" s="16" t="s">
        <v>119</v>
      </c>
      <c r="B4" s="16" t="s">
        <v>144</v>
      </c>
      <c r="C4" s="16" t="s">
        <v>128</v>
      </c>
      <c r="D4" s="16" t="s">
        <v>134</v>
      </c>
      <c r="E4" s="16" t="s">
        <v>135</v>
      </c>
      <c r="F4" s="16" t="s">
        <v>136</v>
      </c>
      <c r="G4" s="16" t="s">
        <v>137</v>
      </c>
    </row>
    <row r="5" spans="1:8" x14ac:dyDescent="0.25">
      <c r="A5" s="16" t="s">
        <v>118</v>
      </c>
      <c r="B5" s="16" t="s">
        <v>129</v>
      </c>
      <c r="C5" s="16" t="s">
        <v>138</v>
      </c>
      <c r="D5" s="16" t="s">
        <v>139</v>
      </c>
      <c r="E5" s="16" t="s">
        <v>140</v>
      </c>
      <c r="F5" s="16" t="s">
        <v>141</v>
      </c>
      <c r="G5" s="16" t="s">
        <v>142</v>
      </c>
    </row>
    <row r="6" spans="1:8" x14ac:dyDescent="0.25">
      <c r="A6" s="16" t="s">
        <v>121</v>
      </c>
      <c r="B6" s="16" t="s">
        <v>143</v>
      </c>
      <c r="C6" s="16" t="s">
        <v>145</v>
      </c>
      <c r="D6" s="16" t="s">
        <v>146</v>
      </c>
    </row>
    <row r="7" spans="1:8" x14ac:dyDescent="0.25">
      <c r="A7" s="16" t="s">
        <v>122</v>
      </c>
      <c r="B7" s="16" t="s">
        <v>130</v>
      </c>
      <c r="C7" s="16" t="s">
        <v>147</v>
      </c>
    </row>
    <row r="8" spans="1:8" x14ac:dyDescent="0.25">
      <c r="A8" s="16" t="s">
        <v>127</v>
      </c>
      <c r="B8" s="16" t="s">
        <v>47</v>
      </c>
      <c r="C8" s="16" t="s">
        <v>148</v>
      </c>
      <c r="D8" s="16" t="s">
        <v>131</v>
      </c>
      <c r="E8" s="16" t="s">
        <v>149</v>
      </c>
      <c r="F8" s="16" t="s">
        <v>150</v>
      </c>
      <c r="G8" s="16" t="s">
        <v>151</v>
      </c>
      <c r="H8" s="16" t="s">
        <v>152</v>
      </c>
    </row>
    <row r="11" spans="1:8" x14ac:dyDescent="0.25">
      <c r="A11" s="16" t="s">
        <v>11</v>
      </c>
      <c r="B11" s="16" t="s">
        <v>9</v>
      </c>
      <c r="C11" s="16" t="s">
        <v>2</v>
      </c>
      <c r="D11" s="16" t="s">
        <v>153</v>
      </c>
      <c r="E11" s="16" t="s">
        <v>65</v>
      </c>
    </row>
    <row r="14" spans="1:8" x14ac:dyDescent="0.25">
      <c r="A14" s="16" t="s">
        <v>123</v>
      </c>
      <c r="B14" s="16" t="s">
        <v>117</v>
      </c>
      <c r="C14" s="16" t="s">
        <v>119</v>
      </c>
      <c r="D14" s="16" t="s">
        <v>118</v>
      </c>
      <c r="E14" s="16" t="s">
        <v>121</v>
      </c>
      <c r="F14" s="16" t="s">
        <v>122</v>
      </c>
      <c r="G14" s="1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7" sqref="B37"/>
    </sheetView>
  </sheetViews>
  <sheetFormatPr defaultRowHeight="15" x14ac:dyDescent="0.25"/>
  <cols>
    <col min="1" max="1" width="14.140625" style="18" bestFit="1" customWidth="1"/>
    <col min="2" max="2" width="115.140625" style="18" customWidth="1"/>
    <col min="3" max="16384" width="9.140625" style="18"/>
  </cols>
  <sheetData>
    <row r="1" spans="1:2" x14ac:dyDescent="0.25">
      <c r="A1" s="147" t="s">
        <v>112</v>
      </c>
      <c r="B1" s="17" t="s">
        <v>98</v>
      </c>
    </row>
    <row r="2" spans="1:2" x14ac:dyDescent="0.25">
      <c r="A2" s="148"/>
      <c r="B2" s="17" t="s">
        <v>100</v>
      </c>
    </row>
    <row r="3" spans="1:2" x14ac:dyDescent="0.25">
      <c r="A3" s="149"/>
      <c r="B3" s="19" t="s">
        <v>109</v>
      </c>
    </row>
    <row r="4" spans="1:2" ht="30" x14ac:dyDescent="0.25">
      <c r="A4" s="147" t="s">
        <v>64</v>
      </c>
      <c r="B4" s="20" t="s">
        <v>101</v>
      </c>
    </row>
    <row r="5" spans="1:2" x14ac:dyDescent="0.25">
      <c r="A5" s="148"/>
      <c r="B5" s="19" t="s">
        <v>111</v>
      </c>
    </row>
    <row r="6" spans="1:2" x14ac:dyDescent="0.25">
      <c r="A6" s="148"/>
      <c r="B6" s="17" t="s">
        <v>113</v>
      </c>
    </row>
    <row r="7" spans="1:2" x14ac:dyDescent="0.25">
      <c r="A7" s="149"/>
      <c r="B7" s="17" t="s">
        <v>99</v>
      </c>
    </row>
    <row r="8" spans="1:2" x14ac:dyDescent="0.25">
      <c r="A8" s="147" t="s">
        <v>63</v>
      </c>
      <c r="B8" s="20" t="s">
        <v>104</v>
      </c>
    </row>
    <row r="9" spans="1:2" x14ac:dyDescent="0.25">
      <c r="A9" s="148"/>
      <c r="B9" s="20" t="s">
        <v>105</v>
      </c>
    </row>
    <row r="10" spans="1:2" x14ac:dyDescent="0.25">
      <c r="A10" s="148"/>
      <c r="B10" s="19" t="s">
        <v>108</v>
      </c>
    </row>
    <row r="11" spans="1:2" x14ac:dyDescent="0.25">
      <c r="A11" s="148"/>
      <c r="B11" s="20" t="s">
        <v>103</v>
      </c>
    </row>
    <row r="12" spans="1:2" x14ac:dyDescent="0.25">
      <c r="A12" s="148"/>
      <c r="B12" s="20" t="s">
        <v>102</v>
      </c>
    </row>
    <row r="13" spans="1:2" x14ac:dyDescent="0.25">
      <c r="A13" s="149"/>
      <c r="B13" s="19" t="s">
        <v>110</v>
      </c>
    </row>
    <row r="14" spans="1:2" s="22" customFormat="1" x14ac:dyDescent="0.25">
      <c r="A14" s="150" t="s">
        <v>62</v>
      </c>
      <c r="B14" s="21" t="s">
        <v>106</v>
      </c>
    </row>
    <row r="15" spans="1:2" ht="30" x14ac:dyDescent="0.25">
      <c r="A15" s="151"/>
      <c r="B15" s="19" t="s">
        <v>107</v>
      </c>
    </row>
    <row r="16" spans="1:2" x14ac:dyDescent="0.25">
      <c r="B16" s="23"/>
    </row>
  </sheetData>
  <mergeCells count="4">
    <mergeCell ref="A1:A3"/>
    <mergeCell ref="A4:A7"/>
    <mergeCell ref="A8:A13"/>
    <mergeCell ref="A14:A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1" max="1" width="5.5703125" bestFit="1" customWidth="1"/>
    <col min="2" max="2" width="8.7109375" bestFit="1" customWidth="1"/>
    <col min="3" max="3" width="9.7109375" bestFit="1" customWidth="1"/>
    <col min="6" max="6" width="8" customWidth="1"/>
    <col min="7" max="7" width="9.28515625" customWidth="1"/>
    <col min="8" max="8" width="9.85546875" customWidth="1"/>
    <col min="9" max="9" width="7.85546875" style="1" customWidth="1"/>
    <col min="10" max="10" width="7.7109375" style="1" customWidth="1"/>
    <col min="11" max="11" width="10.140625" style="1" customWidth="1"/>
    <col min="12" max="12" width="8.28515625" customWidth="1"/>
    <col min="13" max="13" width="6.85546875" customWidth="1"/>
  </cols>
  <sheetData>
    <row r="1" spans="1:14" s="2" customFormat="1" ht="45" x14ac:dyDescent="0.25">
      <c r="A1" s="2" t="s">
        <v>9</v>
      </c>
      <c r="B1" s="2" t="s">
        <v>11</v>
      </c>
      <c r="C1" s="2" t="s">
        <v>18</v>
      </c>
      <c r="D1" s="2" t="s">
        <v>12</v>
      </c>
      <c r="E1" s="2" t="s">
        <v>13</v>
      </c>
      <c r="F1" s="2" t="s">
        <v>33</v>
      </c>
      <c r="G1" s="2" t="s">
        <v>3</v>
      </c>
      <c r="H1" s="2" t="s">
        <v>21</v>
      </c>
      <c r="I1" s="3" t="s">
        <v>20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x14ac:dyDescent="0.25">
      <c r="A2">
        <v>1</v>
      </c>
      <c r="B2" t="s">
        <v>4</v>
      </c>
      <c r="C2" t="s">
        <v>19</v>
      </c>
      <c r="D2" t="s">
        <v>0</v>
      </c>
      <c r="E2" t="s">
        <v>5</v>
      </c>
      <c r="F2" s="1" t="e">
        <f>'Phone Pricing'!#REF!*A2</f>
        <v>#REF!</v>
      </c>
      <c r="G2" s="1">
        <f>-15*24</f>
        <v>-360</v>
      </c>
      <c r="H2" s="1">
        <v>0</v>
      </c>
      <c r="I2" s="1">
        <f>40*24</f>
        <v>960</v>
      </c>
      <c r="J2" s="1">
        <f>30*24</f>
        <v>720</v>
      </c>
      <c r="K2" s="1">
        <v>0</v>
      </c>
      <c r="L2" s="1">
        <v>-100</v>
      </c>
      <c r="M2" s="1" t="e">
        <f t="shared" ref="M2:M33" si="0">SUM(F2:L2)</f>
        <v>#REF!</v>
      </c>
      <c r="N2" s="1" t="e">
        <f>M2/24</f>
        <v>#REF!</v>
      </c>
    </row>
    <row r="3" spans="1:14" x14ac:dyDescent="0.25">
      <c r="A3">
        <v>1</v>
      </c>
      <c r="B3" t="s">
        <v>4</v>
      </c>
      <c r="C3" t="s">
        <v>19</v>
      </c>
      <c r="D3" t="s">
        <v>1</v>
      </c>
      <c r="E3" t="s">
        <v>5</v>
      </c>
      <c r="F3" s="1" t="e">
        <f>'Phone Pricing'!#REF!*A3</f>
        <v>#REF!</v>
      </c>
      <c r="G3" s="1">
        <f>-15*24</f>
        <v>-360</v>
      </c>
      <c r="H3" s="1">
        <v>0</v>
      </c>
      <c r="I3" s="1">
        <f t="shared" ref="I3:J21" si="1">40*24</f>
        <v>960</v>
      </c>
      <c r="J3" s="1">
        <f t="shared" ref="J3:J4" si="2">30*24</f>
        <v>720</v>
      </c>
      <c r="K3" s="1">
        <v>0</v>
      </c>
      <c r="L3" s="1">
        <v>-100</v>
      </c>
      <c r="M3" s="1" t="e">
        <f t="shared" si="0"/>
        <v>#REF!</v>
      </c>
      <c r="N3" s="1" t="e">
        <f t="shared" ref="N3:N66" si="3">M3/24</f>
        <v>#REF!</v>
      </c>
    </row>
    <row r="4" spans="1:14" x14ac:dyDescent="0.25">
      <c r="A4">
        <v>1</v>
      </c>
      <c r="B4" t="s">
        <v>4</v>
      </c>
      <c r="C4" t="s">
        <v>19</v>
      </c>
      <c r="D4" t="s">
        <v>16</v>
      </c>
      <c r="E4" t="s">
        <v>5</v>
      </c>
      <c r="F4" s="1" t="e">
        <f>'Phone Pricing'!#REF!*A4</f>
        <v>#REF!</v>
      </c>
      <c r="G4" s="1">
        <f>-15*24</f>
        <v>-360</v>
      </c>
      <c r="H4" s="1">
        <v>0</v>
      </c>
      <c r="I4" s="1">
        <f t="shared" si="1"/>
        <v>960</v>
      </c>
      <c r="J4" s="1">
        <f t="shared" si="2"/>
        <v>720</v>
      </c>
      <c r="K4" s="1">
        <v>0</v>
      </c>
      <c r="L4" s="1">
        <v>-100</v>
      </c>
      <c r="M4" s="1" t="e">
        <f t="shared" si="0"/>
        <v>#REF!</v>
      </c>
      <c r="N4" s="1" t="e">
        <f t="shared" si="3"/>
        <v>#REF!</v>
      </c>
    </row>
    <row r="5" spans="1:14" x14ac:dyDescent="0.25">
      <c r="A5">
        <v>1</v>
      </c>
      <c r="B5" t="s">
        <v>4</v>
      </c>
      <c r="C5" t="s">
        <v>19</v>
      </c>
      <c r="D5" t="s">
        <v>2</v>
      </c>
      <c r="E5" t="s">
        <v>5</v>
      </c>
      <c r="F5" s="1" t="e">
        <f>'Phone Pricing'!#REF!*A5</f>
        <v>#REF!</v>
      </c>
      <c r="G5" s="1">
        <v>0</v>
      </c>
      <c r="H5" s="1">
        <v>40</v>
      </c>
      <c r="I5" s="1">
        <v>0</v>
      </c>
      <c r="J5" s="1">
        <v>0</v>
      </c>
      <c r="K5" s="1">
        <f>65*24</f>
        <v>1560</v>
      </c>
      <c r="L5" s="1">
        <v>0</v>
      </c>
      <c r="M5" s="1" t="e">
        <f t="shared" si="0"/>
        <v>#REF!</v>
      </c>
      <c r="N5" s="1" t="e">
        <f>M5/24</f>
        <v>#REF!</v>
      </c>
    </row>
    <row r="6" spans="1:14" x14ac:dyDescent="0.25">
      <c r="A6">
        <v>1</v>
      </c>
      <c r="B6" t="s">
        <v>4</v>
      </c>
      <c r="C6" t="s">
        <v>19</v>
      </c>
      <c r="D6" t="s">
        <v>0</v>
      </c>
      <c r="E6" t="s">
        <v>6</v>
      </c>
      <c r="F6" s="1" t="e">
        <f>'Phone Pricing'!#REF!*A6</f>
        <v>#REF!</v>
      </c>
      <c r="G6" s="1">
        <f>-15*24</f>
        <v>-360</v>
      </c>
      <c r="H6" s="1">
        <v>0</v>
      </c>
      <c r="I6" s="1">
        <f t="shared" si="1"/>
        <v>960</v>
      </c>
      <c r="J6" s="1">
        <f>40*24</f>
        <v>960</v>
      </c>
      <c r="K6" s="1">
        <v>0</v>
      </c>
      <c r="L6" s="1">
        <v>-100</v>
      </c>
      <c r="M6" s="1" t="e">
        <f t="shared" si="0"/>
        <v>#REF!</v>
      </c>
      <c r="N6" s="1" t="e">
        <f t="shared" si="3"/>
        <v>#REF!</v>
      </c>
    </row>
    <row r="7" spans="1:14" x14ac:dyDescent="0.25">
      <c r="A7">
        <v>1</v>
      </c>
      <c r="B7" t="s">
        <v>4</v>
      </c>
      <c r="C7" t="s">
        <v>19</v>
      </c>
      <c r="D7" t="s">
        <v>1</v>
      </c>
      <c r="E7" t="s">
        <v>6</v>
      </c>
      <c r="F7" s="1" t="e">
        <f>'Phone Pricing'!#REF!*A7</f>
        <v>#REF!</v>
      </c>
      <c r="G7" s="1">
        <f>-15*24</f>
        <v>-360</v>
      </c>
      <c r="H7" s="1">
        <v>0</v>
      </c>
      <c r="I7" s="1">
        <f t="shared" si="1"/>
        <v>960</v>
      </c>
      <c r="J7" s="1">
        <f t="shared" si="1"/>
        <v>960</v>
      </c>
      <c r="K7" s="1">
        <v>0</v>
      </c>
      <c r="L7" s="1">
        <v>-100</v>
      </c>
      <c r="M7" s="1" t="e">
        <f t="shared" si="0"/>
        <v>#REF!</v>
      </c>
      <c r="N7" s="1" t="e">
        <f t="shared" si="3"/>
        <v>#REF!</v>
      </c>
    </row>
    <row r="8" spans="1:14" x14ac:dyDescent="0.25">
      <c r="A8">
        <v>1</v>
      </c>
      <c r="B8" t="s">
        <v>4</v>
      </c>
      <c r="C8" t="s">
        <v>19</v>
      </c>
      <c r="D8" t="s">
        <v>16</v>
      </c>
      <c r="E8" t="s">
        <v>6</v>
      </c>
      <c r="F8" s="1" t="e">
        <f>'Phone Pricing'!#REF!*A8</f>
        <v>#REF!</v>
      </c>
      <c r="G8" s="1">
        <f>-15*24</f>
        <v>-360</v>
      </c>
      <c r="H8" s="1">
        <v>0</v>
      </c>
      <c r="I8" s="1">
        <f t="shared" si="1"/>
        <v>960</v>
      </c>
      <c r="J8" s="1">
        <f t="shared" si="1"/>
        <v>960</v>
      </c>
      <c r="K8" s="1">
        <v>0</v>
      </c>
      <c r="L8" s="1">
        <v>-100</v>
      </c>
      <c r="M8" s="1" t="e">
        <f t="shared" si="0"/>
        <v>#REF!</v>
      </c>
      <c r="N8" s="1" t="e">
        <f t="shared" si="3"/>
        <v>#REF!</v>
      </c>
    </row>
    <row r="9" spans="1:14" x14ac:dyDescent="0.25">
      <c r="A9">
        <v>1</v>
      </c>
      <c r="B9" t="s">
        <v>4</v>
      </c>
      <c r="C9" t="s">
        <v>19</v>
      </c>
      <c r="D9" t="s">
        <v>2</v>
      </c>
      <c r="E9" t="s">
        <v>6</v>
      </c>
      <c r="F9" s="1" t="e">
        <f>'Phone Pricing'!#REF!*A9</f>
        <v>#REF!</v>
      </c>
      <c r="G9" s="1">
        <v>0</v>
      </c>
      <c r="H9" s="1">
        <v>40</v>
      </c>
      <c r="I9" s="1">
        <v>0</v>
      </c>
      <c r="J9" s="1">
        <v>0</v>
      </c>
      <c r="K9" s="1">
        <f>75*24</f>
        <v>1800</v>
      </c>
      <c r="L9" s="1">
        <v>0</v>
      </c>
      <c r="M9" s="1" t="e">
        <f t="shared" si="0"/>
        <v>#REF!</v>
      </c>
      <c r="N9" s="1" t="e">
        <f t="shared" si="3"/>
        <v>#REF!</v>
      </c>
    </row>
    <row r="10" spans="1:14" x14ac:dyDescent="0.25">
      <c r="A10">
        <v>1</v>
      </c>
      <c r="B10" t="s">
        <v>4</v>
      </c>
      <c r="C10" t="s">
        <v>19</v>
      </c>
      <c r="D10" t="s">
        <v>0</v>
      </c>
      <c r="E10" t="s">
        <v>7</v>
      </c>
      <c r="F10" s="1" t="e">
        <f>'Phone Pricing'!#REF!*A10</f>
        <v>#REF!</v>
      </c>
      <c r="G10" s="1">
        <f>-15*24</f>
        <v>-360</v>
      </c>
      <c r="H10" s="1">
        <v>0</v>
      </c>
      <c r="I10" s="1">
        <f t="shared" si="1"/>
        <v>960</v>
      </c>
      <c r="J10" s="1">
        <f>50*24</f>
        <v>1200</v>
      </c>
      <c r="K10" s="1">
        <v>0</v>
      </c>
      <c r="L10" s="1">
        <v>-100</v>
      </c>
      <c r="M10" s="1" t="e">
        <f t="shared" si="0"/>
        <v>#REF!</v>
      </c>
      <c r="N10" s="1" t="e">
        <f t="shared" si="3"/>
        <v>#REF!</v>
      </c>
    </row>
    <row r="11" spans="1:14" x14ac:dyDescent="0.25">
      <c r="A11">
        <v>1</v>
      </c>
      <c r="B11" t="s">
        <v>4</v>
      </c>
      <c r="C11" t="s">
        <v>19</v>
      </c>
      <c r="D11" t="s">
        <v>1</v>
      </c>
      <c r="E11" t="s">
        <v>7</v>
      </c>
      <c r="F11" s="1" t="e">
        <f>'Phone Pricing'!#REF!*A11</f>
        <v>#REF!</v>
      </c>
      <c r="G11" s="1">
        <f>-15*24</f>
        <v>-360</v>
      </c>
      <c r="H11" s="1">
        <v>0</v>
      </c>
      <c r="I11" s="1">
        <f t="shared" si="1"/>
        <v>960</v>
      </c>
      <c r="J11" s="1">
        <f t="shared" ref="J11:J13" si="4">50*24</f>
        <v>1200</v>
      </c>
      <c r="K11" s="1">
        <v>0</v>
      </c>
      <c r="L11" s="1">
        <v>-100</v>
      </c>
      <c r="M11" s="1" t="e">
        <f t="shared" si="0"/>
        <v>#REF!</v>
      </c>
      <c r="N11" s="1" t="e">
        <f t="shared" si="3"/>
        <v>#REF!</v>
      </c>
    </row>
    <row r="12" spans="1:14" x14ac:dyDescent="0.25">
      <c r="A12">
        <v>1</v>
      </c>
      <c r="B12" t="s">
        <v>4</v>
      </c>
      <c r="C12" t="s">
        <v>19</v>
      </c>
      <c r="D12" t="s">
        <v>16</v>
      </c>
      <c r="E12" t="s">
        <v>7</v>
      </c>
      <c r="F12" s="1" t="e">
        <f>'Phone Pricing'!#REF!*A12</f>
        <v>#REF!</v>
      </c>
      <c r="G12" s="1">
        <f>-15*24</f>
        <v>-360</v>
      </c>
      <c r="H12" s="1">
        <v>0</v>
      </c>
      <c r="I12" s="1">
        <f t="shared" si="1"/>
        <v>960</v>
      </c>
      <c r="J12" s="1">
        <f t="shared" si="4"/>
        <v>1200</v>
      </c>
      <c r="K12" s="1">
        <v>0</v>
      </c>
      <c r="L12" s="1">
        <v>-100</v>
      </c>
      <c r="M12" s="1" t="e">
        <f t="shared" si="0"/>
        <v>#REF!</v>
      </c>
      <c r="N12" s="1" t="e">
        <f t="shared" si="3"/>
        <v>#REF!</v>
      </c>
    </row>
    <row r="13" spans="1:14" x14ac:dyDescent="0.25">
      <c r="A13">
        <v>1</v>
      </c>
      <c r="B13" t="s">
        <v>4</v>
      </c>
      <c r="C13" t="s">
        <v>19</v>
      </c>
      <c r="D13" t="s">
        <v>2</v>
      </c>
      <c r="E13" t="s">
        <v>7</v>
      </c>
      <c r="F13" s="1" t="e">
        <f>'Phone Pricing'!#REF!*A13</f>
        <v>#REF!</v>
      </c>
      <c r="G13" s="1">
        <v>0</v>
      </c>
      <c r="H13" s="1">
        <v>40</v>
      </c>
      <c r="I13" s="1">
        <f t="shared" si="1"/>
        <v>960</v>
      </c>
      <c r="J13" s="1">
        <f t="shared" si="4"/>
        <v>1200</v>
      </c>
      <c r="K13" s="1">
        <v>0</v>
      </c>
      <c r="L13" s="1">
        <v>0</v>
      </c>
      <c r="M13" s="1" t="e">
        <f t="shared" si="0"/>
        <v>#REF!</v>
      </c>
      <c r="N13" s="1" t="e">
        <f t="shared" si="3"/>
        <v>#REF!</v>
      </c>
    </row>
    <row r="14" spans="1:14" x14ac:dyDescent="0.25">
      <c r="A14">
        <v>1</v>
      </c>
      <c r="B14" t="s">
        <v>4</v>
      </c>
      <c r="C14" t="s">
        <v>19</v>
      </c>
      <c r="D14" t="s">
        <v>0</v>
      </c>
      <c r="E14" t="s">
        <v>8</v>
      </c>
      <c r="F14" s="1" t="e">
        <f>'Phone Pricing'!#REF!*A14</f>
        <v>#REF!</v>
      </c>
      <c r="G14" s="1">
        <f>-15*24</f>
        <v>-360</v>
      </c>
      <c r="H14" s="1">
        <v>0</v>
      </c>
      <c r="I14" s="1">
        <f t="shared" si="1"/>
        <v>960</v>
      </c>
      <c r="J14" s="1">
        <f>60*24</f>
        <v>1440</v>
      </c>
      <c r="K14" s="1">
        <v>0</v>
      </c>
      <c r="L14" s="1">
        <v>-100</v>
      </c>
      <c r="M14" s="1" t="e">
        <f t="shared" si="0"/>
        <v>#REF!</v>
      </c>
      <c r="N14" s="1" t="e">
        <f t="shared" si="3"/>
        <v>#REF!</v>
      </c>
    </row>
    <row r="15" spans="1:14" x14ac:dyDescent="0.25">
      <c r="A15">
        <v>1</v>
      </c>
      <c r="B15" t="s">
        <v>4</v>
      </c>
      <c r="C15" t="s">
        <v>19</v>
      </c>
      <c r="D15" t="s">
        <v>1</v>
      </c>
      <c r="E15" t="s">
        <v>8</v>
      </c>
      <c r="F15" s="1" t="e">
        <f>'Phone Pricing'!#REF!*A15</f>
        <v>#REF!</v>
      </c>
      <c r="G15" s="1">
        <f>-15*24</f>
        <v>-360</v>
      </c>
      <c r="H15" s="1">
        <v>0</v>
      </c>
      <c r="I15" s="1">
        <f t="shared" si="1"/>
        <v>960</v>
      </c>
      <c r="J15" s="1">
        <f t="shared" ref="J15:J17" si="5">60*24</f>
        <v>1440</v>
      </c>
      <c r="K15" s="1">
        <v>0</v>
      </c>
      <c r="L15" s="1">
        <v>-100</v>
      </c>
      <c r="M15" s="1" t="e">
        <f t="shared" si="0"/>
        <v>#REF!</v>
      </c>
      <c r="N15" s="1" t="e">
        <f t="shared" si="3"/>
        <v>#REF!</v>
      </c>
    </row>
    <row r="16" spans="1:14" x14ac:dyDescent="0.25">
      <c r="A16">
        <v>1</v>
      </c>
      <c r="B16" t="s">
        <v>4</v>
      </c>
      <c r="C16" t="s">
        <v>19</v>
      </c>
      <c r="D16" t="s">
        <v>16</v>
      </c>
      <c r="E16" t="s">
        <v>8</v>
      </c>
      <c r="F16" s="1" t="e">
        <f>'Phone Pricing'!#REF!*A16</f>
        <v>#REF!</v>
      </c>
      <c r="G16" s="1">
        <f>-15*24</f>
        <v>-360</v>
      </c>
      <c r="H16" s="1">
        <v>0</v>
      </c>
      <c r="I16" s="1">
        <f t="shared" si="1"/>
        <v>960</v>
      </c>
      <c r="J16" s="1">
        <f t="shared" si="5"/>
        <v>1440</v>
      </c>
      <c r="K16" s="1">
        <v>0</v>
      </c>
      <c r="L16" s="1">
        <v>-100</v>
      </c>
      <c r="M16" s="1" t="e">
        <f t="shared" si="0"/>
        <v>#REF!</v>
      </c>
      <c r="N16" s="1" t="e">
        <f t="shared" si="3"/>
        <v>#REF!</v>
      </c>
    </row>
    <row r="17" spans="1:14" x14ac:dyDescent="0.25">
      <c r="A17">
        <v>1</v>
      </c>
      <c r="B17" t="s">
        <v>4</v>
      </c>
      <c r="C17" t="s">
        <v>19</v>
      </c>
      <c r="D17" t="s">
        <v>2</v>
      </c>
      <c r="E17" t="s">
        <v>8</v>
      </c>
      <c r="F17" s="1" t="e">
        <f>'Phone Pricing'!#REF!*A17</f>
        <v>#REF!</v>
      </c>
      <c r="G17" s="1">
        <v>0</v>
      </c>
      <c r="H17" s="1">
        <v>40</v>
      </c>
      <c r="I17" s="1">
        <f t="shared" si="1"/>
        <v>960</v>
      </c>
      <c r="J17" s="1">
        <f t="shared" si="5"/>
        <v>1440</v>
      </c>
      <c r="K17" s="1">
        <v>0</v>
      </c>
      <c r="L17" s="1">
        <v>0</v>
      </c>
      <c r="M17" s="1" t="e">
        <f t="shared" si="0"/>
        <v>#REF!</v>
      </c>
      <c r="N17" s="1" t="e">
        <f t="shared" si="3"/>
        <v>#REF!</v>
      </c>
    </row>
    <row r="18" spans="1:14" x14ac:dyDescent="0.25">
      <c r="A18">
        <v>1</v>
      </c>
      <c r="B18" t="s">
        <v>4</v>
      </c>
      <c r="C18" t="s">
        <v>19</v>
      </c>
      <c r="D18" t="s">
        <v>0</v>
      </c>
      <c r="E18" t="s">
        <v>10</v>
      </c>
      <c r="F18" s="1" t="e">
        <f>'Phone Pricing'!#REF!*A18</f>
        <v>#REF!</v>
      </c>
      <c r="G18" s="1">
        <f>-25*24</f>
        <v>-600</v>
      </c>
      <c r="H18" s="1">
        <v>0</v>
      </c>
      <c r="I18" s="1">
        <f t="shared" si="1"/>
        <v>960</v>
      </c>
      <c r="J18" s="1">
        <f>70*24</f>
        <v>1680</v>
      </c>
      <c r="K18" s="1">
        <v>0</v>
      </c>
      <c r="L18" s="1">
        <v>-100</v>
      </c>
      <c r="M18" s="1" t="e">
        <f t="shared" si="0"/>
        <v>#REF!</v>
      </c>
      <c r="N18" s="1" t="e">
        <f t="shared" si="3"/>
        <v>#REF!</v>
      </c>
    </row>
    <row r="19" spans="1:14" x14ac:dyDescent="0.25">
      <c r="A19">
        <v>1</v>
      </c>
      <c r="B19" t="s">
        <v>4</v>
      </c>
      <c r="C19" t="s">
        <v>19</v>
      </c>
      <c r="D19" t="s">
        <v>1</v>
      </c>
      <c r="E19" t="s">
        <v>10</v>
      </c>
      <c r="F19" s="1" t="e">
        <f>'Phone Pricing'!#REF!*A19</f>
        <v>#REF!</v>
      </c>
      <c r="G19" s="1">
        <f>-25*24</f>
        <v>-600</v>
      </c>
      <c r="H19" s="1">
        <v>0</v>
      </c>
      <c r="I19" s="1">
        <f t="shared" si="1"/>
        <v>960</v>
      </c>
      <c r="J19" s="1">
        <f t="shared" ref="J19:J21" si="6">70*24</f>
        <v>1680</v>
      </c>
      <c r="K19" s="1">
        <v>0</v>
      </c>
      <c r="L19" s="1">
        <v>-100</v>
      </c>
      <c r="M19" s="1" t="e">
        <f t="shared" si="0"/>
        <v>#REF!</v>
      </c>
      <c r="N19" s="1" t="e">
        <f t="shared" si="3"/>
        <v>#REF!</v>
      </c>
    </row>
    <row r="20" spans="1:14" x14ac:dyDescent="0.25">
      <c r="A20">
        <v>1</v>
      </c>
      <c r="B20" t="s">
        <v>4</v>
      </c>
      <c r="C20" t="s">
        <v>19</v>
      </c>
      <c r="D20" t="s">
        <v>16</v>
      </c>
      <c r="E20" t="s">
        <v>10</v>
      </c>
      <c r="F20" s="1" t="e">
        <f>'Phone Pricing'!#REF!*A20</f>
        <v>#REF!</v>
      </c>
      <c r="G20" s="1">
        <f>-25*24</f>
        <v>-600</v>
      </c>
      <c r="H20" s="1">
        <v>0</v>
      </c>
      <c r="I20" s="1">
        <f t="shared" si="1"/>
        <v>960</v>
      </c>
      <c r="J20" s="1">
        <f t="shared" si="6"/>
        <v>1680</v>
      </c>
      <c r="K20" s="1">
        <v>0</v>
      </c>
      <c r="L20" s="1">
        <v>-100</v>
      </c>
      <c r="M20" s="1" t="e">
        <f t="shared" si="0"/>
        <v>#REF!</v>
      </c>
      <c r="N20" s="1" t="e">
        <f t="shared" si="3"/>
        <v>#REF!</v>
      </c>
    </row>
    <row r="21" spans="1:14" x14ac:dyDescent="0.25">
      <c r="A21">
        <v>1</v>
      </c>
      <c r="B21" t="s">
        <v>4</v>
      </c>
      <c r="C21" t="s">
        <v>19</v>
      </c>
      <c r="D21" t="s">
        <v>2</v>
      </c>
      <c r="E21" t="s">
        <v>10</v>
      </c>
      <c r="F21" s="1" t="e">
        <f>'Phone Pricing'!#REF!*A21</f>
        <v>#REF!</v>
      </c>
      <c r="G21" s="1">
        <v>0</v>
      </c>
      <c r="H21" s="1">
        <v>40</v>
      </c>
      <c r="I21" s="1">
        <f t="shared" si="1"/>
        <v>960</v>
      </c>
      <c r="J21" s="1">
        <f t="shared" si="6"/>
        <v>1680</v>
      </c>
      <c r="K21" s="1">
        <v>0</v>
      </c>
      <c r="L21" s="1">
        <v>0</v>
      </c>
      <c r="M21" s="1" t="e">
        <f t="shared" si="0"/>
        <v>#REF!</v>
      </c>
      <c r="N21" s="1" t="e">
        <f t="shared" si="3"/>
        <v>#REF!</v>
      </c>
    </row>
    <row r="22" spans="1:14" x14ac:dyDescent="0.25">
      <c r="A22">
        <v>2</v>
      </c>
      <c r="B22" t="s">
        <v>4</v>
      </c>
      <c r="C22" t="s">
        <v>19</v>
      </c>
      <c r="D22" t="s">
        <v>0</v>
      </c>
      <c r="E22" t="s">
        <v>6</v>
      </c>
      <c r="F22" s="1" t="e">
        <f>'Phone Pricing'!#REF!*A22</f>
        <v>#REF!</v>
      </c>
      <c r="G22" s="1">
        <f>-15*24*2</f>
        <v>-720</v>
      </c>
      <c r="H22" s="1">
        <v>0</v>
      </c>
      <c r="I22" s="1">
        <f>40*24*2</f>
        <v>1920</v>
      </c>
      <c r="J22" s="1">
        <f>40*24</f>
        <v>960</v>
      </c>
      <c r="K22" s="1">
        <v>0</v>
      </c>
      <c r="L22" s="1">
        <f>-100*2</f>
        <v>-200</v>
      </c>
      <c r="M22" s="1" t="e">
        <f t="shared" si="0"/>
        <v>#REF!</v>
      </c>
      <c r="N22" s="1" t="e">
        <f t="shared" si="3"/>
        <v>#REF!</v>
      </c>
    </row>
    <row r="23" spans="1:14" x14ac:dyDescent="0.25">
      <c r="A23">
        <v>2</v>
      </c>
      <c r="B23" t="s">
        <v>4</v>
      </c>
      <c r="C23" t="s">
        <v>19</v>
      </c>
      <c r="D23" t="s">
        <v>1</v>
      </c>
      <c r="E23" t="s">
        <v>6</v>
      </c>
      <c r="F23" s="1" t="e">
        <f>'Phone Pricing'!#REF!*A23</f>
        <v>#REF!</v>
      </c>
      <c r="G23" s="1">
        <f>-15*24*2</f>
        <v>-720</v>
      </c>
      <c r="H23" s="1">
        <v>0</v>
      </c>
      <c r="I23" s="1">
        <f t="shared" ref="I23:I37" si="7">40*24*2</f>
        <v>1920</v>
      </c>
      <c r="J23" s="1">
        <f t="shared" ref="J23:J25" si="8">40*24</f>
        <v>960</v>
      </c>
      <c r="K23" s="1">
        <v>0</v>
      </c>
      <c r="L23" s="1">
        <f t="shared" ref="L23:L24" si="9">-100*2</f>
        <v>-200</v>
      </c>
      <c r="M23" s="1" t="e">
        <f t="shared" si="0"/>
        <v>#REF!</v>
      </c>
      <c r="N23" s="1" t="e">
        <f t="shared" si="3"/>
        <v>#REF!</v>
      </c>
    </row>
    <row r="24" spans="1:14" x14ac:dyDescent="0.25">
      <c r="A24">
        <v>2</v>
      </c>
      <c r="B24" t="s">
        <v>4</v>
      </c>
      <c r="C24" t="s">
        <v>19</v>
      </c>
      <c r="D24" t="s">
        <v>16</v>
      </c>
      <c r="E24" t="s">
        <v>6</v>
      </c>
      <c r="F24" s="1" t="e">
        <f>'Phone Pricing'!#REF!*A24</f>
        <v>#REF!</v>
      </c>
      <c r="G24" s="1">
        <f>-15*24*2</f>
        <v>-720</v>
      </c>
      <c r="H24" s="1">
        <v>0</v>
      </c>
      <c r="I24" s="1">
        <f t="shared" si="7"/>
        <v>1920</v>
      </c>
      <c r="J24" s="1">
        <f t="shared" si="8"/>
        <v>960</v>
      </c>
      <c r="K24" s="1">
        <v>0</v>
      </c>
      <c r="L24" s="1">
        <f t="shared" si="9"/>
        <v>-200</v>
      </c>
      <c r="M24" s="1" t="e">
        <f t="shared" si="0"/>
        <v>#REF!</v>
      </c>
      <c r="N24" s="1" t="e">
        <f t="shared" si="3"/>
        <v>#REF!</v>
      </c>
    </row>
    <row r="25" spans="1:14" x14ac:dyDescent="0.25">
      <c r="A25">
        <v>2</v>
      </c>
      <c r="B25" t="s">
        <v>4</v>
      </c>
      <c r="C25" t="s">
        <v>19</v>
      </c>
      <c r="D25" t="s">
        <v>2</v>
      </c>
      <c r="E25" t="s">
        <v>6</v>
      </c>
      <c r="F25" s="1" t="e">
        <f>'Phone Pricing'!#REF!*A25</f>
        <v>#REF!</v>
      </c>
      <c r="G25" s="1">
        <v>0</v>
      </c>
      <c r="H25" s="1">
        <f>40*2</f>
        <v>80</v>
      </c>
      <c r="I25" s="1">
        <f t="shared" si="7"/>
        <v>1920</v>
      </c>
      <c r="J25" s="1">
        <f t="shared" si="8"/>
        <v>960</v>
      </c>
      <c r="K25" s="1">
        <v>0</v>
      </c>
      <c r="L25" s="1">
        <v>0</v>
      </c>
      <c r="M25" s="1" t="e">
        <f t="shared" si="0"/>
        <v>#REF!</v>
      </c>
      <c r="N25" s="1" t="e">
        <f t="shared" si="3"/>
        <v>#REF!</v>
      </c>
    </row>
    <row r="26" spans="1:14" x14ac:dyDescent="0.25">
      <c r="A26">
        <v>2</v>
      </c>
      <c r="B26" t="s">
        <v>4</v>
      </c>
      <c r="C26" t="s">
        <v>19</v>
      </c>
      <c r="D26" t="s">
        <v>0</v>
      </c>
      <c r="E26" t="s">
        <v>7</v>
      </c>
      <c r="F26" s="1" t="e">
        <f>'Phone Pricing'!#REF!*A26</f>
        <v>#REF!</v>
      </c>
      <c r="G26" s="1">
        <f>-15*24</f>
        <v>-360</v>
      </c>
      <c r="H26" s="1">
        <v>0</v>
      </c>
      <c r="I26" s="1">
        <f>40*24*2</f>
        <v>1920</v>
      </c>
      <c r="J26" s="1">
        <f>50*24</f>
        <v>1200</v>
      </c>
      <c r="K26" s="1">
        <v>0</v>
      </c>
      <c r="L26" s="1">
        <f>-100*2</f>
        <v>-200</v>
      </c>
      <c r="M26" s="1" t="e">
        <f t="shared" si="0"/>
        <v>#REF!</v>
      </c>
      <c r="N26" s="1" t="e">
        <f t="shared" si="3"/>
        <v>#REF!</v>
      </c>
    </row>
    <row r="27" spans="1:14" x14ac:dyDescent="0.25">
      <c r="A27">
        <v>2</v>
      </c>
      <c r="B27" t="s">
        <v>4</v>
      </c>
      <c r="C27" t="s">
        <v>19</v>
      </c>
      <c r="D27" t="s">
        <v>1</v>
      </c>
      <c r="E27" t="s">
        <v>7</v>
      </c>
      <c r="F27" s="1" t="e">
        <f>'Phone Pricing'!#REF!*A27</f>
        <v>#REF!</v>
      </c>
      <c r="G27" s="1">
        <f>-15*24</f>
        <v>-360</v>
      </c>
      <c r="H27" s="1">
        <v>0</v>
      </c>
      <c r="I27" s="1">
        <f t="shared" ref="I27:I29" si="10">40*24*2</f>
        <v>1920</v>
      </c>
      <c r="J27" s="1">
        <f t="shared" ref="J27:J29" si="11">50*24</f>
        <v>1200</v>
      </c>
      <c r="K27" s="1">
        <v>0</v>
      </c>
      <c r="L27" s="1">
        <f t="shared" ref="L27:L28" si="12">-100*2</f>
        <v>-200</v>
      </c>
      <c r="M27" s="1" t="e">
        <f t="shared" si="0"/>
        <v>#REF!</v>
      </c>
      <c r="N27" s="1" t="e">
        <f t="shared" si="3"/>
        <v>#REF!</v>
      </c>
    </row>
    <row r="28" spans="1:14" x14ac:dyDescent="0.25">
      <c r="A28">
        <v>2</v>
      </c>
      <c r="B28" t="s">
        <v>4</v>
      </c>
      <c r="C28" t="s">
        <v>19</v>
      </c>
      <c r="D28" t="s">
        <v>16</v>
      </c>
      <c r="E28" t="s">
        <v>7</v>
      </c>
      <c r="F28" s="1" t="e">
        <f>'Phone Pricing'!#REF!*A28</f>
        <v>#REF!</v>
      </c>
      <c r="G28" s="1">
        <f>-15*24</f>
        <v>-360</v>
      </c>
      <c r="H28" s="1">
        <v>0</v>
      </c>
      <c r="I28" s="1">
        <f t="shared" si="10"/>
        <v>1920</v>
      </c>
      <c r="J28" s="1">
        <f t="shared" si="11"/>
        <v>1200</v>
      </c>
      <c r="K28" s="1">
        <v>0</v>
      </c>
      <c r="L28" s="1">
        <f t="shared" si="12"/>
        <v>-200</v>
      </c>
      <c r="M28" s="1" t="e">
        <f t="shared" si="0"/>
        <v>#REF!</v>
      </c>
      <c r="N28" s="1" t="e">
        <f t="shared" si="3"/>
        <v>#REF!</v>
      </c>
    </row>
    <row r="29" spans="1:14" x14ac:dyDescent="0.25">
      <c r="A29">
        <v>2</v>
      </c>
      <c r="B29" t="s">
        <v>4</v>
      </c>
      <c r="C29" t="s">
        <v>19</v>
      </c>
      <c r="D29" t="s">
        <v>2</v>
      </c>
      <c r="E29" t="s">
        <v>7</v>
      </c>
      <c r="F29" s="1" t="e">
        <f>'Phone Pricing'!#REF!*A29</f>
        <v>#REF!</v>
      </c>
      <c r="G29" s="1">
        <v>0</v>
      </c>
      <c r="H29" s="1">
        <v>40</v>
      </c>
      <c r="I29" s="1">
        <f t="shared" si="10"/>
        <v>1920</v>
      </c>
      <c r="J29" s="1">
        <f t="shared" si="11"/>
        <v>1200</v>
      </c>
      <c r="K29" s="1">
        <v>0</v>
      </c>
      <c r="L29" s="1">
        <v>0</v>
      </c>
      <c r="M29" s="1" t="e">
        <f t="shared" si="0"/>
        <v>#REF!</v>
      </c>
      <c r="N29" s="1" t="e">
        <f t="shared" si="3"/>
        <v>#REF!</v>
      </c>
    </row>
    <row r="30" spans="1:14" x14ac:dyDescent="0.25">
      <c r="A30">
        <v>2</v>
      </c>
      <c r="B30" t="s">
        <v>4</v>
      </c>
      <c r="C30" t="s">
        <v>19</v>
      </c>
      <c r="D30" t="s">
        <v>0</v>
      </c>
      <c r="E30" t="s">
        <v>8</v>
      </c>
      <c r="F30" s="1" t="e">
        <f>'Phone Pricing'!#REF!*A30</f>
        <v>#REF!</v>
      </c>
      <c r="G30" s="1">
        <f>-15*24*2</f>
        <v>-720</v>
      </c>
      <c r="H30" s="1">
        <v>0</v>
      </c>
      <c r="I30" s="1">
        <f t="shared" si="7"/>
        <v>1920</v>
      </c>
      <c r="J30" s="1">
        <f>60*24</f>
        <v>1440</v>
      </c>
      <c r="K30" s="1">
        <v>0</v>
      </c>
      <c r="L30" s="1">
        <f>-100*2</f>
        <v>-200</v>
      </c>
      <c r="M30" s="1" t="e">
        <f t="shared" si="0"/>
        <v>#REF!</v>
      </c>
      <c r="N30" s="1" t="e">
        <f t="shared" si="3"/>
        <v>#REF!</v>
      </c>
    </row>
    <row r="31" spans="1:14" x14ac:dyDescent="0.25">
      <c r="A31">
        <v>2</v>
      </c>
      <c r="B31" t="s">
        <v>4</v>
      </c>
      <c r="C31" t="s">
        <v>19</v>
      </c>
      <c r="D31" t="s">
        <v>1</v>
      </c>
      <c r="E31" t="s">
        <v>8</v>
      </c>
      <c r="F31" s="1" t="e">
        <f>'Phone Pricing'!#REF!*A31</f>
        <v>#REF!</v>
      </c>
      <c r="G31" s="1">
        <f>-15*24*2</f>
        <v>-720</v>
      </c>
      <c r="H31" s="1">
        <v>0</v>
      </c>
      <c r="I31" s="1">
        <f t="shared" si="7"/>
        <v>1920</v>
      </c>
      <c r="J31" s="1">
        <f t="shared" ref="J31:J33" si="13">60*24</f>
        <v>1440</v>
      </c>
      <c r="K31" s="1">
        <v>0</v>
      </c>
      <c r="L31" s="1">
        <f t="shared" ref="L31:L32" si="14">-100*2</f>
        <v>-200</v>
      </c>
      <c r="M31" s="1" t="e">
        <f t="shared" si="0"/>
        <v>#REF!</v>
      </c>
      <c r="N31" s="1" t="e">
        <f t="shared" si="3"/>
        <v>#REF!</v>
      </c>
    </row>
    <row r="32" spans="1:14" x14ac:dyDescent="0.25">
      <c r="A32">
        <v>2</v>
      </c>
      <c r="B32" t="s">
        <v>4</v>
      </c>
      <c r="C32" t="s">
        <v>19</v>
      </c>
      <c r="D32" t="s">
        <v>16</v>
      </c>
      <c r="E32" t="s">
        <v>8</v>
      </c>
      <c r="F32" s="1" t="e">
        <f>'Phone Pricing'!#REF!*A32</f>
        <v>#REF!</v>
      </c>
      <c r="G32" s="1">
        <f>-15*24*2</f>
        <v>-720</v>
      </c>
      <c r="H32" s="1">
        <v>0</v>
      </c>
      <c r="I32" s="1">
        <f t="shared" si="7"/>
        <v>1920</v>
      </c>
      <c r="J32" s="1">
        <f t="shared" si="13"/>
        <v>1440</v>
      </c>
      <c r="K32" s="1">
        <v>0</v>
      </c>
      <c r="L32" s="1">
        <f t="shared" si="14"/>
        <v>-200</v>
      </c>
      <c r="M32" s="1" t="e">
        <f t="shared" si="0"/>
        <v>#REF!</v>
      </c>
      <c r="N32" s="1" t="e">
        <f t="shared" si="3"/>
        <v>#REF!</v>
      </c>
    </row>
    <row r="33" spans="1:14" x14ac:dyDescent="0.25">
      <c r="A33">
        <v>2</v>
      </c>
      <c r="B33" t="s">
        <v>4</v>
      </c>
      <c r="C33" t="s">
        <v>19</v>
      </c>
      <c r="D33" t="s">
        <v>2</v>
      </c>
      <c r="E33" t="s">
        <v>8</v>
      </c>
      <c r="F33" s="1" t="e">
        <f>'Phone Pricing'!#REF!*A33</f>
        <v>#REF!</v>
      </c>
      <c r="G33" s="1">
        <v>0</v>
      </c>
      <c r="H33" s="1">
        <f>40*2</f>
        <v>80</v>
      </c>
      <c r="I33" s="1">
        <f t="shared" si="7"/>
        <v>1920</v>
      </c>
      <c r="J33" s="1">
        <f t="shared" si="13"/>
        <v>1440</v>
      </c>
      <c r="K33" s="1">
        <v>0</v>
      </c>
      <c r="L33" s="1">
        <v>0</v>
      </c>
      <c r="M33" s="1" t="e">
        <f t="shared" si="0"/>
        <v>#REF!</v>
      </c>
      <c r="N33" s="1" t="e">
        <f t="shared" si="3"/>
        <v>#REF!</v>
      </c>
    </row>
    <row r="34" spans="1:14" x14ac:dyDescent="0.25">
      <c r="A34">
        <v>2</v>
      </c>
      <c r="B34" t="s">
        <v>4</v>
      </c>
      <c r="C34" t="s">
        <v>19</v>
      </c>
      <c r="D34" t="s">
        <v>0</v>
      </c>
      <c r="E34" t="s">
        <v>10</v>
      </c>
      <c r="F34" s="1" t="e">
        <f>'Phone Pricing'!#REF!*A34</f>
        <v>#REF!</v>
      </c>
      <c r="G34" s="1">
        <f>-25*24*2</f>
        <v>-1200</v>
      </c>
      <c r="H34" s="1">
        <v>0</v>
      </c>
      <c r="I34" s="1">
        <f t="shared" si="7"/>
        <v>1920</v>
      </c>
      <c r="J34" s="1">
        <f>70*24</f>
        <v>1680</v>
      </c>
      <c r="K34" s="1">
        <v>0</v>
      </c>
      <c r="L34" s="1">
        <f>-100*2</f>
        <v>-200</v>
      </c>
      <c r="M34" s="1" t="e">
        <f t="shared" ref="M34:M65" si="15">SUM(F34:L34)</f>
        <v>#REF!</v>
      </c>
      <c r="N34" s="1" t="e">
        <f t="shared" si="3"/>
        <v>#REF!</v>
      </c>
    </row>
    <row r="35" spans="1:14" x14ac:dyDescent="0.25">
      <c r="A35">
        <v>2</v>
      </c>
      <c r="B35" t="s">
        <v>4</v>
      </c>
      <c r="C35" t="s">
        <v>19</v>
      </c>
      <c r="D35" t="s">
        <v>1</v>
      </c>
      <c r="E35" t="s">
        <v>10</v>
      </c>
      <c r="F35" s="1" t="e">
        <f>'Phone Pricing'!#REF!*A35</f>
        <v>#REF!</v>
      </c>
      <c r="G35" s="1">
        <f>-25*24*2</f>
        <v>-1200</v>
      </c>
      <c r="H35" s="1">
        <v>0</v>
      </c>
      <c r="I35" s="1">
        <f t="shared" si="7"/>
        <v>1920</v>
      </c>
      <c r="J35" s="1">
        <f t="shared" ref="J35:J37" si="16">70*24</f>
        <v>1680</v>
      </c>
      <c r="K35" s="1">
        <v>0</v>
      </c>
      <c r="L35" s="1">
        <f t="shared" ref="L35:L36" si="17">-100*2</f>
        <v>-200</v>
      </c>
      <c r="M35" s="1" t="e">
        <f t="shared" si="15"/>
        <v>#REF!</v>
      </c>
      <c r="N35" s="1" t="e">
        <f t="shared" si="3"/>
        <v>#REF!</v>
      </c>
    </row>
    <row r="36" spans="1:14" x14ac:dyDescent="0.25">
      <c r="A36">
        <v>2</v>
      </c>
      <c r="B36" t="s">
        <v>4</v>
      </c>
      <c r="C36" t="s">
        <v>19</v>
      </c>
      <c r="D36" t="s">
        <v>16</v>
      </c>
      <c r="E36" t="s">
        <v>10</v>
      </c>
      <c r="F36" s="1" t="e">
        <f>'Phone Pricing'!#REF!*A36</f>
        <v>#REF!</v>
      </c>
      <c r="G36" s="1">
        <f>-25*24*2</f>
        <v>-1200</v>
      </c>
      <c r="H36" s="1">
        <v>0</v>
      </c>
      <c r="I36" s="1">
        <f t="shared" si="7"/>
        <v>1920</v>
      </c>
      <c r="J36" s="1">
        <f t="shared" si="16"/>
        <v>1680</v>
      </c>
      <c r="K36" s="1">
        <v>0</v>
      </c>
      <c r="L36" s="1">
        <f t="shared" si="17"/>
        <v>-200</v>
      </c>
      <c r="M36" s="1" t="e">
        <f t="shared" si="15"/>
        <v>#REF!</v>
      </c>
      <c r="N36" s="1" t="e">
        <f t="shared" si="3"/>
        <v>#REF!</v>
      </c>
    </row>
    <row r="37" spans="1:14" x14ac:dyDescent="0.25">
      <c r="A37">
        <v>2</v>
      </c>
      <c r="B37" t="s">
        <v>4</v>
      </c>
      <c r="C37" t="s">
        <v>19</v>
      </c>
      <c r="D37" t="s">
        <v>2</v>
      </c>
      <c r="E37" t="s">
        <v>10</v>
      </c>
      <c r="F37" s="1" t="e">
        <f>'Phone Pricing'!#REF!*A37</f>
        <v>#REF!</v>
      </c>
      <c r="G37" s="1">
        <v>0</v>
      </c>
      <c r="H37" s="1">
        <f>40*2</f>
        <v>80</v>
      </c>
      <c r="I37" s="1">
        <f t="shared" si="7"/>
        <v>1920</v>
      </c>
      <c r="J37" s="1">
        <f t="shared" si="16"/>
        <v>1680</v>
      </c>
      <c r="K37" s="1">
        <v>0</v>
      </c>
      <c r="L37" s="1">
        <v>0</v>
      </c>
      <c r="M37" s="1" t="e">
        <f t="shared" si="15"/>
        <v>#REF!</v>
      </c>
      <c r="N37" s="1" t="e">
        <f t="shared" si="3"/>
        <v>#REF!</v>
      </c>
    </row>
    <row r="38" spans="1:14" x14ac:dyDescent="0.25">
      <c r="A38">
        <v>3</v>
      </c>
      <c r="B38" t="s">
        <v>4</v>
      </c>
      <c r="C38" t="s">
        <v>19</v>
      </c>
      <c r="D38" t="s">
        <v>0</v>
      </c>
      <c r="E38" t="s">
        <v>8</v>
      </c>
      <c r="F38" s="1" t="e">
        <f>'Phone Pricing'!#REF!*A38</f>
        <v>#REF!</v>
      </c>
      <c r="G38" s="1">
        <f>-15*24*3</f>
        <v>-1080</v>
      </c>
      <c r="H38" s="1">
        <v>0</v>
      </c>
      <c r="I38" s="1">
        <f>40*24*3</f>
        <v>2880</v>
      </c>
      <c r="J38" s="1">
        <f t="shared" ref="J38:J41" si="18">60*24</f>
        <v>1440</v>
      </c>
      <c r="K38" s="1">
        <v>0</v>
      </c>
      <c r="L38" s="1">
        <f>-100*3</f>
        <v>-300</v>
      </c>
      <c r="M38" s="1" t="e">
        <f t="shared" si="15"/>
        <v>#REF!</v>
      </c>
      <c r="N38" s="1" t="e">
        <f t="shared" si="3"/>
        <v>#REF!</v>
      </c>
    </row>
    <row r="39" spans="1:14" x14ac:dyDescent="0.25">
      <c r="A39">
        <v>3</v>
      </c>
      <c r="B39" t="s">
        <v>4</v>
      </c>
      <c r="C39" t="s">
        <v>19</v>
      </c>
      <c r="D39" t="s">
        <v>1</v>
      </c>
      <c r="E39" t="s">
        <v>8</v>
      </c>
      <c r="F39" s="1" t="e">
        <f>'Phone Pricing'!#REF!*A39</f>
        <v>#REF!</v>
      </c>
      <c r="G39" s="1">
        <f>-15*24*3</f>
        <v>-1080</v>
      </c>
      <c r="H39" s="1">
        <v>0</v>
      </c>
      <c r="I39" s="1">
        <f t="shared" ref="I39:I49" si="19">40*24*3</f>
        <v>2880</v>
      </c>
      <c r="J39" s="1">
        <f t="shared" si="18"/>
        <v>1440</v>
      </c>
      <c r="K39" s="1">
        <v>0</v>
      </c>
      <c r="L39" s="1">
        <f t="shared" ref="L39:L40" si="20">-100*3</f>
        <v>-300</v>
      </c>
      <c r="M39" s="1" t="e">
        <f t="shared" si="15"/>
        <v>#REF!</v>
      </c>
      <c r="N39" s="1" t="e">
        <f t="shared" si="3"/>
        <v>#REF!</v>
      </c>
    </row>
    <row r="40" spans="1:14" x14ac:dyDescent="0.25">
      <c r="A40">
        <v>3</v>
      </c>
      <c r="B40" t="s">
        <v>4</v>
      </c>
      <c r="C40" t="s">
        <v>19</v>
      </c>
      <c r="D40" t="s">
        <v>16</v>
      </c>
      <c r="E40" t="s">
        <v>8</v>
      </c>
      <c r="F40" s="1" t="e">
        <f>'Phone Pricing'!#REF!*A40</f>
        <v>#REF!</v>
      </c>
      <c r="G40" s="1">
        <f>-15*24*3</f>
        <v>-1080</v>
      </c>
      <c r="H40" s="1">
        <v>0</v>
      </c>
      <c r="I40" s="1">
        <f t="shared" si="19"/>
        <v>2880</v>
      </c>
      <c r="J40" s="1">
        <f t="shared" si="18"/>
        <v>1440</v>
      </c>
      <c r="K40" s="1">
        <v>0</v>
      </c>
      <c r="L40" s="1">
        <f t="shared" si="20"/>
        <v>-300</v>
      </c>
      <c r="M40" s="1" t="e">
        <f t="shared" si="15"/>
        <v>#REF!</v>
      </c>
      <c r="N40" s="1" t="e">
        <f t="shared" si="3"/>
        <v>#REF!</v>
      </c>
    </row>
    <row r="41" spans="1:14" x14ac:dyDescent="0.25">
      <c r="A41">
        <v>3</v>
      </c>
      <c r="B41" t="s">
        <v>4</v>
      </c>
      <c r="C41" t="s">
        <v>19</v>
      </c>
      <c r="D41" t="s">
        <v>2</v>
      </c>
      <c r="E41" t="s">
        <v>8</v>
      </c>
      <c r="F41" s="1" t="e">
        <f>'Phone Pricing'!#REF!*A41</f>
        <v>#REF!</v>
      </c>
      <c r="G41" s="1">
        <v>0</v>
      </c>
      <c r="H41" s="1">
        <f>40*3</f>
        <v>120</v>
      </c>
      <c r="I41" s="1">
        <f t="shared" si="19"/>
        <v>2880</v>
      </c>
      <c r="J41" s="1">
        <f t="shared" si="18"/>
        <v>1440</v>
      </c>
      <c r="K41" s="1">
        <v>0</v>
      </c>
      <c r="L41" s="1">
        <v>0</v>
      </c>
      <c r="M41" s="1" t="e">
        <f t="shared" si="15"/>
        <v>#REF!</v>
      </c>
      <c r="N41" s="1" t="e">
        <f t="shared" si="3"/>
        <v>#REF!</v>
      </c>
    </row>
    <row r="42" spans="1:14" x14ac:dyDescent="0.25">
      <c r="A42">
        <v>3</v>
      </c>
      <c r="B42" t="s">
        <v>4</v>
      </c>
      <c r="C42" t="s">
        <v>19</v>
      </c>
      <c r="D42" t="s">
        <v>0</v>
      </c>
      <c r="E42" t="s">
        <v>10</v>
      </c>
      <c r="F42" s="1" t="e">
        <f>'Phone Pricing'!#REF!*A42</f>
        <v>#REF!</v>
      </c>
      <c r="G42" s="1">
        <f>-25*24*3</f>
        <v>-1800</v>
      </c>
      <c r="H42" s="1">
        <v>0</v>
      </c>
      <c r="I42" s="1">
        <f t="shared" si="19"/>
        <v>2880</v>
      </c>
      <c r="J42" s="1">
        <f t="shared" ref="J42:J45" si="21">70*24</f>
        <v>1680</v>
      </c>
      <c r="K42" s="1">
        <v>0</v>
      </c>
      <c r="L42" s="1">
        <f>-100*3</f>
        <v>-300</v>
      </c>
      <c r="M42" s="1" t="e">
        <f t="shared" si="15"/>
        <v>#REF!</v>
      </c>
      <c r="N42" s="1" t="e">
        <f t="shared" si="3"/>
        <v>#REF!</v>
      </c>
    </row>
    <row r="43" spans="1:14" x14ac:dyDescent="0.25">
      <c r="A43">
        <v>3</v>
      </c>
      <c r="B43" t="s">
        <v>4</v>
      </c>
      <c r="C43" t="s">
        <v>19</v>
      </c>
      <c r="D43" t="s">
        <v>1</v>
      </c>
      <c r="E43" t="s">
        <v>10</v>
      </c>
      <c r="F43" s="1" t="e">
        <f>'Phone Pricing'!#REF!*A43</f>
        <v>#REF!</v>
      </c>
      <c r="G43" s="1">
        <f>-25*24*3</f>
        <v>-1800</v>
      </c>
      <c r="H43" s="1">
        <v>0</v>
      </c>
      <c r="I43" s="1">
        <f t="shared" si="19"/>
        <v>2880</v>
      </c>
      <c r="J43" s="1">
        <f t="shared" si="21"/>
        <v>1680</v>
      </c>
      <c r="K43" s="1">
        <v>0</v>
      </c>
      <c r="L43" s="1">
        <f t="shared" ref="L43:L44" si="22">-100*3</f>
        <v>-300</v>
      </c>
      <c r="M43" s="1" t="e">
        <f t="shared" si="15"/>
        <v>#REF!</v>
      </c>
      <c r="N43" s="1" t="e">
        <f t="shared" si="3"/>
        <v>#REF!</v>
      </c>
    </row>
    <row r="44" spans="1:14" x14ac:dyDescent="0.25">
      <c r="A44">
        <v>3</v>
      </c>
      <c r="B44" t="s">
        <v>4</v>
      </c>
      <c r="C44" t="s">
        <v>19</v>
      </c>
      <c r="D44" t="s">
        <v>16</v>
      </c>
      <c r="E44" t="s">
        <v>10</v>
      </c>
      <c r="F44" s="1" t="e">
        <f>'Phone Pricing'!#REF!*A44</f>
        <v>#REF!</v>
      </c>
      <c r="G44" s="1">
        <f>-25*24*3</f>
        <v>-1800</v>
      </c>
      <c r="H44" s="1">
        <v>0</v>
      </c>
      <c r="I44" s="1">
        <f t="shared" si="19"/>
        <v>2880</v>
      </c>
      <c r="J44" s="1">
        <f t="shared" si="21"/>
        <v>1680</v>
      </c>
      <c r="K44" s="1">
        <v>0</v>
      </c>
      <c r="L44" s="1">
        <f t="shared" si="22"/>
        <v>-300</v>
      </c>
      <c r="M44" s="1" t="e">
        <f t="shared" si="15"/>
        <v>#REF!</v>
      </c>
      <c r="N44" s="1" t="e">
        <f t="shared" si="3"/>
        <v>#REF!</v>
      </c>
    </row>
    <row r="45" spans="1:14" x14ac:dyDescent="0.25">
      <c r="A45">
        <v>3</v>
      </c>
      <c r="B45" t="s">
        <v>4</v>
      </c>
      <c r="C45" t="s">
        <v>19</v>
      </c>
      <c r="D45" t="s">
        <v>2</v>
      </c>
      <c r="E45" t="s">
        <v>10</v>
      </c>
      <c r="F45" s="1" t="e">
        <f>'Phone Pricing'!#REF!*A45</f>
        <v>#REF!</v>
      </c>
      <c r="G45" s="1">
        <v>0</v>
      </c>
      <c r="H45" s="1">
        <f>40*3</f>
        <v>120</v>
      </c>
      <c r="I45" s="1">
        <f t="shared" si="19"/>
        <v>2880</v>
      </c>
      <c r="J45" s="1">
        <f t="shared" si="21"/>
        <v>1680</v>
      </c>
      <c r="K45" s="1">
        <v>0</v>
      </c>
      <c r="L45" s="1">
        <v>0</v>
      </c>
      <c r="M45" s="1" t="e">
        <f t="shared" si="15"/>
        <v>#REF!</v>
      </c>
      <c r="N45" s="1" t="e">
        <f t="shared" si="3"/>
        <v>#REF!</v>
      </c>
    </row>
    <row r="46" spans="1:14" x14ac:dyDescent="0.25">
      <c r="A46">
        <v>3</v>
      </c>
      <c r="B46" t="s">
        <v>4</v>
      </c>
      <c r="C46" t="s">
        <v>19</v>
      </c>
      <c r="D46" t="s">
        <v>0</v>
      </c>
      <c r="E46" t="s">
        <v>14</v>
      </c>
      <c r="F46" s="1" t="e">
        <f>'Phone Pricing'!#REF!*A46</f>
        <v>#REF!</v>
      </c>
      <c r="G46" s="1">
        <f>-25*24*3</f>
        <v>-1800</v>
      </c>
      <c r="H46" s="1">
        <v>0</v>
      </c>
      <c r="I46" s="1">
        <f t="shared" si="19"/>
        <v>2880</v>
      </c>
      <c r="J46" s="1">
        <f>85*24</f>
        <v>2040</v>
      </c>
      <c r="K46" s="1">
        <v>0</v>
      </c>
      <c r="L46" s="1">
        <f>-100*3</f>
        <v>-300</v>
      </c>
      <c r="M46" s="1" t="e">
        <f t="shared" si="15"/>
        <v>#REF!</v>
      </c>
      <c r="N46" s="1" t="e">
        <f t="shared" si="3"/>
        <v>#REF!</v>
      </c>
    </row>
    <row r="47" spans="1:14" x14ac:dyDescent="0.25">
      <c r="A47">
        <v>3</v>
      </c>
      <c r="B47" t="s">
        <v>4</v>
      </c>
      <c r="C47" t="s">
        <v>19</v>
      </c>
      <c r="D47" t="s">
        <v>1</v>
      </c>
      <c r="E47" t="s">
        <v>14</v>
      </c>
      <c r="F47" s="1" t="e">
        <f>'Phone Pricing'!#REF!*A47</f>
        <v>#REF!</v>
      </c>
      <c r="G47" s="1">
        <f>-25*24*3</f>
        <v>-1800</v>
      </c>
      <c r="H47" s="1">
        <v>0</v>
      </c>
      <c r="I47" s="1">
        <f t="shared" si="19"/>
        <v>2880</v>
      </c>
      <c r="J47" s="1">
        <f t="shared" ref="J47:J49" si="23">85*24</f>
        <v>2040</v>
      </c>
      <c r="K47" s="1">
        <v>0</v>
      </c>
      <c r="L47" s="1">
        <f t="shared" ref="L47:L48" si="24">-100*3</f>
        <v>-300</v>
      </c>
      <c r="M47" s="1" t="e">
        <f t="shared" si="15"/>
        <v>#REF!</v>
      </c>
      <c r="N47" s="1" t="e">
        <f t="shared" si="3"/>
        <v>#REF!</v>
      </c>
    </row>
    <row r="48" spans="1:14" x14ac:dyDescent="0.25">
      <c r="A48">
        <v>3</v>
      </c>
      <c r="B48" t="s">
        <v>4</v>
      </c>
      <c r="C48" t="s">
        <v>19</v>
      </c>
      <c r="D48" t="s">
        <v>16</v>
      </c>
      <c r="E48" t="s">
        <v>14</v>
      </c>
      <c r="F48" s="1" t="e">
        <f>'Phone Pricing'!#REF!*A48</f>
        <v>#REF!</v>
      </c>
      <c r="G48" s="1">
        <f>-25*24*3</f>
        <v>-1800</v>
      </c>
      <c r="H48" s="1">
        <v>0</v>
      </c>
      <c r="I48" s="1">
        <f t="shared" si="19"/>
        <v>2880</v>
      </c>
      <c r="J48" s="1">
        <f t="shared" si="23"/>
        <v>2040</v>
      </c>
      <c r="K48" s="1">
        <v>0</v>
      </c>
      <c r="L48" s="1">
        <f t="shared" si="24"/>
        <v>-300</v>
      </c>
      <c r="M48" s="1" t="e">
        <f t="shared" si="15"/>
        <v>#REF!</v>
      </c>
      <c r="N48" s="1" t="e">
        <f t="shared" si="3"/>
        <v>#REF!</v>
      </c>
    </row>
    <row r="49" spans="1:14" x14ac:dyDescent="0.25">
      <c r="A49">
        <v>3</v>
      </c>
      <c r="B49" t="s">
        <v>4</v>
      </c>
      <c r="C49" t="s">
        <v>19</v>
      </c>
      <c r="D49" t="s">
        <v>2</v>
      </c>
      <c r="E49" t="s">
        <v>14</v>
      </c>
      <c r="F49" s="1" t="e">
        <f>'Phone Pricing'!#REF!*A49</f>
        <v>#REF!</v>
      </c>
      <c r="G49" s="1">
        <v>0</v>
      </c>
      <c r="H49" s="1">
        <f>40*3</f>
        <v>120</v>
      </c>
      <c r="I49" s="1">
        <f t="shared" si="19"/>
        <v>2880</v>
      </c>
      <c r="J49" s="1">
        <f t="shared" si="23"/>
        <v>2040</v>
      </c>
      <c r="K49" s="1">
        <v>0</v>
      </c>
      <c r="L49" s="1">
        <v>0</v>
      </c>
      <c r="M49" s="1" t="e">
        <f t="shared" si="15"/>
        <v>#REF!</v>
      </c>
      <c r="N49" s="1" t="e">
        <f t="shared" si="3"/>
        <v>#REF!</v>
      </c>
    </row>
    <row r="50" spans="1:14" x14ac:dyDescent="0.25">
      <c r="A50">
        <v>4</v>
      </c>
      <c r="B50" t="s">
        <v>4</v>
      </c>
      <c r="C50" t="s">
        <v>19</v>
      </c>
      <c r="D50" t="s">
        <v>0</v>
      </c>
      <c r="E50" t="s">
        <v>8</v>
      </c>
      <c r="F50" s="1" t="e">
        <f>'Phone Pricing'!#REF!*A50</f>
        <v>#REF!</v>
      </c>
      <c r="G50" s="1">
        <f>-15*24*4</f>
        <v>-1440</v>
      </c>
      <c r="H50" s="1">
        <v>0</v>
      </c>
      <c r="I50" s="1">
        <f>40*24*4</f>
        <v>3840</v>
      </c>
      <c r="J50" s="1">
        <f t="shared" ref="J50:J53" si="25">60*24</f>
        <v>1440</v>
      </c>
      <c r="K50" s="1">
        <v>0</v>
      </c>
      <c r="L50" s="1">
        <f>-100*4</f>
        <v>-400</v>
      </c>
      <c r="M50" s="1" t="e">
        <f t="shared" si="15"/>
        <v>#REF!</v>
      </c>
      <c r="N50" s="1" t="e">
        <f t="shared" si="3"/>
        <v>#REF!</v>
      </c>
    </row>
    <row r="51" spans="1:14" x14ac:dyDescent="0.25">
      <c r="A51">
        <v>4</v>
      </c>
      <c r="B51" t="s">
        <v>4</v>
      </c>
      <c r="C51" t="s">
        <v>19</v>
      </c>
      <c r="D51" t="s">
        <v>1</v>
      </c>
      <c r="E51" t="s">
        <v>8</v>
      </c>
      <c r="F51" s="1" t="e">
        <f>'Phone Pricing'!#REF!*A51</f>
        <v>#REF!</v>
      </c>
      <c r="G51" s="1">
        <f t="shared" ref="G51:G52" si="26">-15*24*4</f>
        <v>-1440</v>
      </c>
      <c r="H51" s="1">
        <v>0</v>
      </c>
      <c r="I51" s="1">
        <f t="shared" ref="I51:I65" si="27">40*24*4</f>
        <v>3840</v>
      </c>
      <c r="J51" s="1">
        <f t="shared" si="25"/>
        <v>1440</v>
      </c>
      <c r="K51" s="1">
        <v>0</v>
      </c>
      <c r="L51" s="1">
        <f t="shared" ref="L51:L52" si="28">-100*4</f>
        <v>-400</v>
      </c>
      <c r="M51" s="1" t="e">
        <f t="shared" si="15"/>
        <v>#REF!</v>
      </c>
      <c r="N51" s="1" t="e">
        <f t="shared" si="3"/>
        <v>#REF!</v>
      </c>
    </row>
    <row r="52" spans="1:14" x14ac:dyDescent="0.25">
      <c r="A52">
        <v>4</v>
      </c>
      <c r="B52" t="s">
        <v>4</v>
      </c>
      <c r="C52" t="s">
        <v>19</v>
      </c>
      <c r="D52" t="s">
        <v>16</v>
      </c>
      <c r="E52" t="s">
        <v>8</v>
      </c>
      <c r="F52" s="1" t="e">
        <f>'Phone Pricing'!#REF!*A52</f>
        <v>#REF!</v>
      </c>
      <c r="G52" s="1">
        <f t="shared" si="26"/>
        <v>-1440</v>
      </c>
      <c r="H52" s="1">
        <v>0</v>
      </c>
      <c r="I52" s="1">
        <f t="shared" si="27"/>
        <v>3840</v>
      </c>
      <c r="J52" s="1">
        <f t="shared" si="25"/>
        <v>1440</v>
      </c>
      <c r="K52" s="1">
        <v>0</v>
      </c>
      <c r="L52" s="1">
        <f t="shared" si="28"/>
        <v>-400</v>
      </c>
      <c r="M52" s="1" t="e">
        <f t="shared" si="15"/>
        <v>#REF!</v>
      </c>
      <c r="N52" s="1" t="e">
        <f t="shared" si="3"/>
        <v>#REF!</v>
      </c>
    </row>
    <row r="53" spans="1:14" x14ac:dyDescent="0.25">
      <c r="A53">
        <v>4</v>
      </c>
      <c r="B53" t="s">
        <v>4</v>
      </c>
      <c r="C53" t="s">
        <v>19</v>
      </c>
      <c r="D53" t="s">
        <v>2</v>
      </c>
      <c r="E53" t="s">
        <v>8</v>
      </c>
      <c r="F53" s="1" t="e">
        <f>'Phone Pricing'!#REF!*A53</f>
        <v>#REF!</v>
      </c>
      <c r="G53" s="1">
        <v>0</v>
      </c>
      <c r="H53" s="1">
        <f>40*4</f>
        <v>160</v>
      </c>
      <c r="I53" s="1">
        <f t="shared" si="27"/>
        <v>3840</v>
      </c>
      <c r="J53" s="1">
        <f t="shared" si="25"/>
        <v>1440</v>
      </c>
      <c r="K53" s="1">
        <v>0</v>
      </c>
      <c r="L53" s="1">
        <v>0</v>
      </c>
      <c r="M53" s="1" t="e">
        <f t="shared" si="15"/>
        <v>#REF!</v>
      </c>
      <c r="N53" s="1" t="e">
        <f t="shared" si="3"/>
        <v>#REF!</v>
      </c>
    </row>
    <row r="54" spans="1:14" x14ac:dyDescent="0.25">
      <c r="A54">
        <v>4</v>
      </c>
      <c r="B54" t="s">
        <v>4</v>
      </c>
      <c r="C54" t="s">
        <v>19</v>
      </c>
      <c r="D54" t="s">
        <v>0</v>
      </c>
      <c r="E54" t="s">
        <v>10</v>
      </c>
      <c r="F54" s="1" t="e">
        <f>'Phone Pricing'!#REF!*A54</f>
        <v>#REF!</v>
      </c>
      <c r="G54" s="1">
        <f>-25*24*4</f>
        <v>-2400</v>
      </c>
      <c r="H54" s="1">
        <v>0</v>
      </c>
      <c r="I54" s="1">
        <f t="shared" si="27"/>
        <v>3840</v>
      </c>
      <c r="J54" s="1">
        <f t="shared" ref="J54:J57" si="29">70*24</f>
        <v>1680</v>
      </c>
      <c r="K54" s="1">
        <v>0</v>
      </c>
      <c r="L54" s="1">
        <f>-100*4</f>
        <v>-400</v>
      </c>
      <c r="M54" s="1" t="e">
        <f t="shared" si="15"/>
        <v>#REF!</v>
      </c>
      <c r="N54" s="1" t="e">
        <f t="shared" si="3"/>
        <v>#REF!</v>
      </c>
    </row>
    <row r="55" spans="1:14" x14ac:dyDescent="0.25">
      <c r="A55">
        <v>4</v>
      </c>
      <c r="B55" t="s">
        <v>4</v>
      </c>
      <c r="C55" t="s">
        <v>19</v>
      </c>
      <c r="D55" t="s">
        <v>1</v>
      </c>
      <c r="E55" t="s">
        <v>10</v>
      </c>
      <c r="F55" s="1" t="e">
        <f>'Phone Pricing'!#REF!*A55</f>
        <v>#REF!</v>
      </c>
      <c r="G55" s="1">
        <f t="shared" ref="G55:G56" si="30">-25*24*4</f>
        <v>-2400</v>
      </c>
      <c r="H55" s="1">
        <v>0</v>
      </c>
      <c r="I55" s="1">
        <f t="shared" si="27"/>
        <v>3840</v>
      </c>
      <c r="J55" s="1">
        <f t="shared" si="29"/>
        <v>1680</v>
      </c>
      <c r="K55" s="1">
        <v>0</v>
      </c>
      <c r="L55" s="1">
        <f t="shared" ref="L55:L56" si="31">-100*4</f>
        <v>-400</v>
      </c>
      <c r="M55" s="1" t="e">
        <f t="shared" si="15"/>
        <v>#REF!</v>
      </c>
      <c r="N55" s="1" t="e">
        <f t="shared" si="3"/>
        <v>#REF!</v>
      </c>
    </row>
    <row r="56" spans="1:14" x14ac:dyDescent="0.25">
      <c r="A56">
        <v>4</v>
      </c>
      <c r="B56" t="s">
        <v>4</v>
      </c>
      <c r="C56" t="s">
        <v>19</v>
      </c>
      <c r="D56" t="s">
        <v>16</v>
      </c>
      <c r="E56" t="s">
        <v>10</v>
      </c>
      <c r="F56" s="1" t="e">
        <f>'Phone Pricing'!#REF!*A56</f>
        <v>#REF!</v>
      </c>
      <c r="G56" s="1">
        <f t="shared" si="30"/>
        <v>-2400</v>
      </c>
      <c r="H56" s="1">
        <v>0</v>
      </c>
      <c r="I56" s="1">
        <f t="shared" si="27"/>
        <v>3840</v>
      </c>
      <c r="J56" s="1">
        <f t="shared" si="29"/>
        <v>1680</v>
      </c>
      <c r="K56" s="1">
        <v>0</v>
      </c>
      <c r="L56" s="1">
        <f t="shared" si="31"/>
        <v>-400</v>
      </c>
      <c r="M56" s="1" t="e">
        <f t="shared" si="15"/>
        <v>#REF!</v>
      </c>
      <c r="N56" s="1" t="e">
        <f t="shared" si="3"/>
        <v>#REF!</v>
      </c>
    </row>
    <row r="57" spans="1:14" x14ac:dyDescent="0.25">
      <c r="A57">
        <v>4</v>
      </c>
      <c r="B57" t="s">
        <v>4</v>
      </c>
      <c r="C57" t="s">
        <v>19</v>
      </c>
      <c r="D57" t="s">
        <v>2</v>
      </c>
      <c r="E57" t="s">
        <v>10</v>
      </c>
      <c r="F57" s="1" t="e">
        <f>'Phone Pricing'!#REF!*A57</f>
        <v>#REF!</v>
      </c>
      <c r="G57" s="1">
        <v>0</v>
      </c>
      <c r="H57" s="1">
        <f>40*4</f>
        <v>160</v>
      </c>
      <c r="I57" s="1">
        <f t="shared" si="27"/>
        <v>3840</v>
      </c>
      <c r="J57" s="1">
        <f t="shared" si="29"/>
        <v>1680</v>
      </c>
      <c r="K57" s="1">
        <v>0</v>
      </c>
      <c r="L57" s="1">
        <v>0</v>
      </c>
      <c r="M57" s="1" t="e">
        <f t="shared" si="15"/>
        <v>#REF!</v>
      </c>
      <c r="N57" s="1" t="e">
        <f t="shared" si="3"/>
        <v>#REF!</v>
      </c>
    </row>
    <row r="58" spans="1:14" x14ac:dyDescent="0.25">
      <c r="A58">
        <v>4</v>
      </c>
      <c r="B58" t="s">
        <v>4</v>
      </c>
      <c r="C58" t="s">
        <v>19</v>
      </c>
      <c r="D58" t="s">
        <v>0</v>
      </c>
      <c r="E58" t="s">
        <v>14</v>
      </c>
      <c r="F58" s="1" t="e">
        <f>'Phone Pricing'!#REF!*A58</f>
        <v>#REF!</v>
      </c>
      <c r="G58" s="1">
        <f>-25*24*4</f>
        <v>-2400</v>
      </c>
      <c r="H58" s="1">
        <v>0</v>
      </c>
      <c r="I58" s="1">
        <f t="shared" si="27"/>
        <v>3840</v>
      </c>
      <c r="J58" s="1">
        <f>85*24</f>
        <v>2040</v>
      </c>
      <c r="K58" s="1">
        <v>0</v>
      </c>
      <c r="L58" s="1">
        <f>-100*4</f>
        <v>-400</v>
      </c>
      <c r="M58" s="1" t="e">
        <f t="shared" si="15"/>
        <v>#REF!</v>
      </c>
      <c r="N58" s="1" t="e">
        <f t="shared" si="3"/>
        <v>#REF!</v>
      </c>
    </row>
    <row r="59" spans="1:14" x14ac:dyDescent="0.25">
      <c r="A59">
        <v>4</v>
      </c>
      <c r="B59" t="s">
        <v>4</v>
      </c>
      <c r="C59" t="s">
        <v>19</v>
      </c>
      <c r="D59" t="s">
        <v>1</v>
      </c>
      <c r="E59" t="s">
        <v>14</v>
      </c>
      <c r="F59" s="1" t="e">
        <f>'Phone Pricing'!#REF!*A59</f>
        <v>#REF!</v>
      </c>
      <c r="G59" s="1">
        <f t="shared" ref="G59:G60" si="32">-25*24*4</f>
        <v>-2400</v>
      </c>
      <c r="H59" s="1">
        <v>0</v>
      </c>
      <c r="I59" s="1">
        <f t="shared" si="27"/>
        <v>3840</v>
      </c>
      <c r="J59" s="1">
        <f t="shared" ref="J59:J61" si="33">85*24</f>
        <v>2040</v>
      </c>
      <c r="K59" s="1">
        <v>0</v>
      </c>
      <c r="L59" s="1">
        <f t="shared" ref="L59:L60" si="34">-100*4</f>
        <v>-400</v>
      </c>
      <c r="M59" s="1" t="e">
        <f t="shared" si="15"/>
        <v>#REF!</v>
      </c>
      <c r="N59" s="1" t="e">
        <f t="shared" si="3"/>
        <v>#REF!</v>
      </c>
    </row>
    <row r="60" spans="1:14" x14ac:dyDescent="0.25">
      <c r="A60">
        <v>4</v>
      </c>
      <c r="B60" t="s">
        <v>4</v>
      </c>
      <c r="C60" t="s">
        <v>19</v>
      </c>
      <c r="D60" t="s">
        <v>16</v>
      </c>
      <c r="E60" t="s">
        <v>14</v>
      </c>
      <c r="F60" s="1" t="e">
        <f>'Phone Pricing'!#REF!*A60</f>
        <v>#REF!</v>
      </c>
      <c r="G60" s="1">
        <f t="shared" si="32"/>
        <v>-2400</v>
      </c>
      <c r="H60" s="1">
        <v>0</v>
      </c>
      <c r="I60" s="1">
        <f t="shared" si="27"/>
        <v>3840</v>
      </c>
      <c r="J60" s="1">
        <f t="shared" si="33"/>
        <v>2040</v>
      </c>
      <c r="K60" s="1">
        <v>0</v>
      </c>
      <c r="L60" s="1">
        <f t="shared" si="34"/>
        <v>-400</v>
      </c>
      <c r="M60" s="1" t="e">
        <f t="shared" si="15"/>
        <v>#REF!</v>
      </c>
      <c r="N60" s="1" t="e">
        <f t="shared" si="3"/>
        <v>#REF!</v>
      </c>
    </row>
    <row r="61" spans="1:14" x14ac:dyDescent="0.25">
      <c r="A61">
        <v>4</v>
      </c>
      <c r="B61" t="s">
        <v>4</v>
      </c>
      <c r="C61" t="s">
        <v>19</v>
      </c>
      <c r="D61" t="s">
        <v>2</v>
      </c>
      <c r="E61" t="s">
        <v>14</v>
      </c>
      <c r="F61" s="1" t="e">
        <f>'Phone Pricing'!#REF!*A61</f>
        <v>#REF!</v>
      </c>
      <c r="G61" s="1">
        <v>0</v>
      </c>
      <c r="H61" s="1">
        <f>40*4</f>
        <v>160</v>
      </c>
      <c r="I61" s="1">
        <f t="shared" si="27"/>
        <v>3840</v>
      </c>
      <c r="J61" s="1">
        <f t="shared" si="33"/>
        <v>2040</v>
      </c>
      <c r="K61" s="1">
        <v>0</v>
      </c>
      <c r="L61" s="1">
        <v>0</v>
      </c>
      <c r="M61" s="1" t="e">
        <f t="shared" si="15"/>
        <v>#REF!</v>
      </c>
      <c r="N61" s="1" t="e">
        <f t="shared" si="3"/>
        <v>#REF!</v>
      </c>
    </row>
    <row r="62" spans="1:14" x14ac:dyDescent="0.25">
      <c r="A62">
        <v>4</v>
      </c>
      <c r="B62" t="s">
        <v>4</v>
      </c>
      <c r="C62" t="s">
        <v>19</v>
      </c>
      <c r="D62" t="s">
        <v>0</v>
      </c>
      <c r="E62" t="s">
        <v>15</v>
      </c>
      <c r="F62" s="1" t="e">
        <f>'Phone Pricing'!#REF!*A62</f>
        <v>#REF!</v>
      </c>
      <c r="G62" s="1">
        <f>-25*24*4</f>
        <v>-2400</v>
      </c>
      <c r="H62" s="1">
        <v>0</v>
      </c>
      <c r="I62" s="1">
        <f t="shared" si="27"/>
        <v>3840</v>
      </c>
      <c r="J62" s="1">
        <f>100*24</f>
        <v>2400</v>
      </c>
      <c r="K62" s="1">
        <v>0</v>
      </c>
      <c r="L62" s="1">
        <f>-100*4</f>
        <v>-400</v>
      </c>
      <c r="M62" s="1" t="e">
        <f t="shared" si="15"/>
        <v>#REF!</v>
      </c>
      <c r="N62" s="1" t="e">
        <f t="shared" si="3"/>
        <v>#REF!</v>
      </c>
    </row>
    <row r="63" spans="1:14" x14ac:dyDescent="0.25">
      <c r="A63">
        <v>4</v>
      </c>
      <c r="B63" t="s">
        <v>4</v>
      </c>
      <c r="C63" t="s">
        <v>19</v>
      </c>
      <c r="D63" t="s">
        <v>1</v>
      </c>
      <c r="E63" t="s">
        <v>15</v>
      </c>
      <c r="F63" s="1" t="e">
        <f>'Phone Pricing'!#REF!*A63</f>
        <v>#REF!</v>
      </c>
      <c r="G63" s="1">
        <f t="shared" ref="G63:G64" si="35">-25*24*4</f>
        <v>-2400</v>
      </c>
      <c r="H63" s="1">
        <v>0</v>
      </c>
      <c r="I63" s="1">
        <f t="shared" si="27"/>
        <v>3840</v>
      </c>
      <c r="J63" s="1">
        <f t="shared" ref="J63:J65" si="36">100*24</f>
        <v>2400</v>
      </c>
      <c r="K63" s="1">
        <v>0</v>
      </c>
      <c r="L63" s="1">
        <f t="shared" ref="L63:L64" si="37">-100*4</f>
        <v>-400</v>
      </c>
      <c r="M63" s="1" t="e">
        <f t="shared" si="15"/>
        <v>#REF!</v>
      </c>
      <c r="N63" s="1" t="e">
        <f>M63/24</f>
        <v>#REF!</v>
      </c>
    </row>
    <row r="64" spans="1:14" x14ac:dyDescent="0.25">
      <c r="A64">
        <v>4</v>
      </c>
      <c r="B64" t="s">
        <v>4</v>
      </c>
      <c r="C64" t="s">
        <v>19</v>
      </c>
      <c r="D64" t="s">
        <v>16</v>
      </c>
      <c r="E64" t="s">
        <v>15</v>
      </c>
      <c r="F64" s="1" t="e">
        <f>'Phone Pricing'!#REF!*A64</f>
        <v>#REF!</v>
      </c>
      <c r="G64" s="1">
        <f t="shared" si="35"/>
        <v>-2400</v>
      </c>
      <c r="H64" s="1">
        <v>0</v>
      </c>
      <c r="I64" s="1">
        <f t="shared" si="27"/>
        <v>3840</v>
      </c>
      <c r="J64" s="1">
        <f t="shared" si="36"/>
        <v>2400</v>
      </c>
      <c r="K64" s="1">
        <v>0</v>
      </c>
      <c r="L64" s="1">
        <f t="shared" si="37"/>
        <v>-400</v>
      </c>
      <c r="M64" s="1" t="e">
        <f t="shared" si="15"/>
        <v>#REF!</v>
      </c>
      <c r="N64" s="1" t="e">
        <f t="shared" si="3"/>
        <v>#REF!</v>
      </c>
    </row>
    <row r="65" spans="1:14" x14ac:dyDescent="0.25">
      <c r="A65">
        <v>4</v>
      </c>
      <c r="B65" t="s">
        <v>4</v>
      </c>
      <c r="C65" t="s">
        <v>19</v>
      </c>
      <c r="D65" t="s">
        <v>2</v>
      </c>
      <c r="E65" t="s">
        <v>15</v>
      </c>
      <c r="F65" s="1" t="e">
        <f>'Phone Pricing'!#REF!*A65</f>
        <v>#REF!</v>
      </c>
      <c r="G65" s="1">
        <v>0</v>
      </c>
      <c r="H65" s="1">
        <f>40*4</f>
        <v>160</v>
      </c>
      <c r="I65" s="1">
        <f t="shared" si="27"/>
        <v>3840</v>
      </c>
      <c r="J65" s="1">
        <f t="shared" si="36"/>
        <v>2400</v>
      </c>
      <c r="K65" s="1">
        <v>0</v>
      </c>
      <c r="L65" s="1">
        <v>0</v>
      </c>
      <c r="M65" s="1" t="e">
        <f t="shared" si="15"/>
        <v>#REF!</v>
      </c>
      <c r="N65" s="1" t="e">
        <f>M65/24</f>
        <v>#REF!</v>
      </c>
    </row>
    <row r="66" spans="1:14" x14ac:dyDescent="0.25">
      <c r="A66">
        <v>1</v>
      </c>
      <c r="B66" t="s">
        <v>17</v>
      </c>
      <c r="C66" t="s">
        <v>19</v>
      </c>
      <c r="D66" t="s">
        <v>0</v>
      </c>
      <c r="E66" t="s">
        <v>5</v>
      </c>
      <c r="F66" s="1">
        <v>650</v>
      </c>
      <c r="G66" s="1">
        <f>-15*24</f>
        <v>-360</v>
      </c>
      <c r="H66" s="1">
        <v>0</v>
      </c>
      <c r="I66" s="1">
        <f>40*24</f>
        <v>960</v>
      </c>
      <c r="J66" s="1">
        <f>25*24</f>
        <v>600</v>
      </c>
      <c r="K66" s="1">
        <v>0</v>
      </c>
      <c r="L66" s="1">
        <v>0</v>
      </c>
      <c r="M66" s="1">
        <f t="shared" ref="M66:M89" si="38">SUM(F66:L66)</f>
        <v>1850</v>
      </c>
      <c r="N66" s="1">
        <f t="shared" si="3"/>
        <v>77.083333333333329</v>
      </c>
    </row>
    <row r="67" spans="1:14" x14ac:dyDescent="0.25">
      <c r="A67">
        <v>1</v>
      </c>
      <c r="B67" t="s">
        <v>17</v>
      </c>
      <c r="C67" t="s">
        <v>19</v>
      </c>
      <c r="D67" t="s">
        <v>1</v>
      </c>
      <c r="E67" t="s">
        <v>5</v>
      </c>
      <c r="F67" s="1">
        <v>649.99</v>
      </c>
      <c r="G67" s="1">
        <f>-15*24</f>
        <v>-360</v>
      </c>
      <c r="H67" s="1">
        <v>0</v>
      </c>
      <c r="I67" s="1">
        <f>40*24</f>
        <v>960</v>
      </c>
      <c r="J67" s="1">
        <f>25*24</f>
        <v>600</v>
      </c>
      <c r="K67" s="1">
        <v>0</v>
      </c>
      <c r="L67" s="1">
        <v>0</v>
      </c>
      <c r="M67" s="1">
        <f t="shared" si="38"/>
        <v>1849.99</v>
      </c>
      <c r="N67" s="1">
        <f t="shared" ref="N67:N122" si="39">M67/24</f>
        <v>77.082916666666662</v>
      </c>
    </row>
    <row r="68" spans="1:14" x14ac:dyDescent="0.25">
      <c r="A68">
        <v>1</v>
      </c>
      <c r="B68" t="s">
        <v>17</v>
      </c>
      <c r="C68" t="s">
        <v>19</v>
      </c>
      <c r="D68" t="s">
        <v>16</v>
      </c>
      <c r="E68" t="s">
        <v>5</v>
      </c>
      <c r="F68" s="1">
        <v>900</v>
      </c>
      <c r="G68" s="1">
        <f>-15*24</f>
        <v>-360</v>
      </c>
      <c r="H68" s="1">
        <v>0</v>
      </c>
      <c r="I68" s="1">
        <f>40*24</f>
        <v>960</v>
      </c>
      <c r="J68" s="1">
        <f>25*24</f>
        <v>600</v>
      </c>
      <c r="K68" s="1">
        <v>0</v>
      </c>
      <c r="L68" s="1">
        <v>0</v>
      </c>
      <c r="M68" s="1">
        <f t="shared" si="38"/>
        <v>2100</v>
      </c>
      <c r="N68" s="1">
        <f t="shared" si="39"/>
        <v>87.5</v>
      </c>
    </row>
    <row r="69" spans="1:14" x14ac:dyDescent="0.25">
      <c r="A69">
        <v>1</v>
      </c>
      <c r="B69" t="s">
        <v>17</v>
      </c>
      <c r="C69" t="s">
        <v>19</v>
      </c>
      <c r="D69" t="s">
        <v>2</v>
      </c>
      <c r="E69" t="s">
        <v>5</v>
      </c>
      <c r="F69" s="1">
        <v>199.99</v>
      </c>
      <c r="G69" s="1">
        <v>0</v>
      </c>
      <c r="H69" s="1">
        <v>40</v>
      </c>
      <c r="I69" s="1">
        <f>40*24</f>
        <v>960</v>
      </c>
      <c r="J69" s="1">
        <f>25*24</f>
        <v>600</v>
      </c>
      <c r="K69" s="1">
        <v>0</v>
      </c>
      <c r="L69" s="1">
        <v>0</v>
      </c>
      <c r="M69" s="1">
        <f t="shared" si="38"/>
        <v>1799.99</v>
      </c>
      <c r="N69" s="1">
        <f t="shared" si="39"/>
        <v>74.999583333333334</v>
      </c>
    </row>
    <row r="70" spans="1:14" x14ac:dyDescent="0.25">
      <c r="A70">
        <v>1</v>
      </c>
      <c r="B70" t="s">
        <v>17</v>
      </c>
      <c r="C70" t="s">
        <v>19</v>
      </c>
      <c r="D70" t="s">
        <v>0</v>
      </c>
      <c r="E70" t="s">
        <v>7</v>
      </c>
      <c r="F70" s="1">
        <v>650</v>
      </c>
      <c r="G70" s="1">
        <f>-15*24</f>
        <v>-360</v>
      </c>
      <c r="H70" s="1">
        <v>0</v>
      </c>
      <c r="I70" s="1">
        <f t="shared" ref="I70:J72" si="40">40*24</f>
        <v>960</v>
      </c>
      <c r="J70" s="1">
        <f t="shared" si="40"/>
        <v>960</v>
      </c>
      <c r="K70" s="1">
        <v>0</v>
      </c>
      <c r="L70" s="1">
        <v>0</v>
      </c>
      <c r="M70" s="1">
        <f t="shared" si="38"/>
        <v>2210</v>
      </c>
      <c r="N70" s="1">
        <f t="shared" si="39"/>
        <v>92.083333333333329</v>
      </c>
    </row>
    <row r="71" spans="1:14" x14ac:dyDescent="0.25">
      <c r="A71">
        <v>1</v>
      </c>
      <c r="B71" t="s">
        <v>17</v>
      </c>
      <c r="C71" t="s">
        <v>19</v>
      </c>
      <c r="D71" t="s">
        <v>1</v>
      </c>
      <c r="E71" t="s">
        <v>7</v>
      </c>
      <c r="F71" s="1">
        <v>649.99</v>
      </c>
      <c r="G71" s="1">
        <f>-15*24</f>
        <v>-360</v>
      </c>
      <c r="H71" s="1">
        <v>0</v>
      </c>
      <c r="I71" s="1">
        <f t="shared" si="40"/>
        <v>960</v>
      </c>
      <c r="J71" s="1">
        <f t="shared" si="40"/>
        <v>960</v>
      </c>
      <c r="K71" s="1">
        <v>0</v>
      </c>
      <c r="L71" s="1">
        <v>0</v>
      </c>
      <c r="M71" s="1">
        <f t="shared" si="38"/>
        <v>2209.9899999999998</v>
      </c>
      <c r="N71" s="1">
        <f t="shared" si="39"/>
        <v>92.082916666666662</v>
      </c>
    </row>
    <row r="72" spans="1:14" x14ac:dyDescent="0.25">
      <c r="A72">
        <v>1</v>
      </c>
      <c r="B72" t="s">
        <v>17</v>
      </c>
      <c r="C72" t="s">
        <v>19</v>
      </c>
      <c r="D72" t="s">
        <v>16</v>
      </c>
      <c r="E72" t="s">
        <v>7</v>
      </c>
      <c r="F72" s="1">
        <v>900</v>
      </c>
      <c r="G72" s="1">
        <f>-15*24</f>
        <v>-360</v>
      </c>
      <c r="H72" s="1">
        <v>0</v>
      </c>
      <c r="I72" s="1">
        <f t="shared" si="40"/>
        <v>960</v>
      </c>
      <c r="J72" s="1">
        <f t="shared" si="40"/>
        <v>960</v>
      </c>
      <c r="K72" s="1">
        <v>0</v>
      </c>
      <c r="L72" s="1">
        <v>0</v>
      </c>
      <c r="M72" s="1">
        <f t="shared" si="38"/>
        <v>2460</v>
      </c>
      <c r="N72" s="1">
        <f t="shared" si="39"/>
        <v>102.5</v>
      </c>
    </row>
    <row r="73" spans="1:14" x14ac:dyDescent="0.25">
      <c r="A73">
        <v>1</v>
      </c>
      <c r="B73" t="s">
        <v>17</v>
      </c>
      <c r="C73" t="s">
        <v>19</v>
      </c>
      <c r="D73" t="s">
        <v>2</v>
      </c>
      <c r="E73" t="s">
        <v>7</v>
      </c>
      <c r="F73" s="1">
        <v>199.99</v>
      </c>
      <c r="G73" s="1">
        <v>0</v>
      </c>
      <c r="H73" s="1">
        <v>40</v>
      </c>
      <c r="I73" s="1">
        <f>40*24</f>
        <v>960</v>
      </c>
      <c r="J73" s="1">
        <f>40*24</f>
        <v>960</v>
      </c>
      <c r="K73" s="1">
        <v>0</v>
      </c>
      <c r="L73" s="1">
        <v>0</v>
      </c>
      <c r="M73" s="1">
        <f>SUM(F73:L73)</f>
        <v>2159.9899999999998</v>
      </c>
      <c r="N73" s="1">
        <f t="shared" si="39"/>
        <v>89.99958333333332</v>
      </c>
    </row>
    <row r="74" spans="1:14" x14ac:dyDescent="0.25">
      <c r="A74">
        <v>1</v>
      </c>
      <c r="B74" t="s">
        <v>17</v>
      </c>
      <c r="C74" t="s">
        <v>19</v>
      </c>
      <c r="D74" t="s">
        <v>0</v>
      </c>
      <c r="E74" t="s">
        <v>10</v>
      </c>
      <c r="F74" s="1">
        <v>650</v>
      </c>
      <c r="G74" s="1">
        <f>-15*24</f>
        <v>-360</v>
      </c>
      <c r="H74" s="1">
        <v>0</v>
      </c>
      <c r="I74" s="1">
        <f>40*24</f>
        <v>960</v>
      </c>
      <c r="J74" s="1">
        <f>70*24</f>
        <v>1680</v>
      </c>
      <c r="K74" s="1">
        <v>0</v>
      </c>
      <c r="L74" s="1">
        <v>0</v>
      </c>
      <c r="M74" s="1">
        <f t="shared" si="38"/>
        <v>2930</v>
      </c>
      <c r="N74" s="1">
        <f t="shared" si="39"/>
        <v>122.08333333333333</v>
      </c>
    </row>
    <row r="75" spans="1:14" x14ac:dyDescent="0.25">
      <c r="A75">
        <v>1</v>
      </c>
      <c r="B75" t="s">
        <v>17</v>
      </c>
      <c r="C75" t="s">
        <v>19</v>
      </c>
      <c r="D75" t="s">
        <v>1</v>
      </c>
      <c r="E75" t="s">
        <v>10</v>
      </c>
      <c r="F75" s="1">
        <v>649.99</v>
      </c>
      <c r="G75" s="1">
        <f>-15*24</f>
        <v>-360</v>
      </c>
      <c r="H75" s="1">
        <v>0</v>
      </c>
      <c r="I75" s="1">
        <f>40*24</f>
        <v>960</v>
      </c>
      <c r="J75" s="1">
        <f>70*24</f>
        <v>1680</v>
      </c>
      <c r="K75" s="1">
        <v>0</v>
      </c>
      <c r="L75" s="1">
        <v>0</v>
      </c>
      <c r="M75" s="1">
        <f t="shared" si="38"/>
        <v>2929.99</v>
      </c>
      <c r="N75" s="1">
        <f t="shared" si="39"/>
        <v>122.08291666666666</v>
      </c>
    </row>
    <row r="76" spans="1:14" x14ac:dyDescent="0.25">
      <c r="A76">
        <v>1</v>
      </c>
      <c r="B76" t="s">
        <v>17</v>
      </c>
      <c r="C76" t="s">
        <v>19</v>
      </c>
      <c r="D76" t="s">
        <v>16</v>
      </c>
      <c r="E76" t="s">
        <v>10</v>
      </c>
      <c r="F76" s="1">
        <v>900</v>
      </c>
      <c r="G76" s="1">
        <f>-15*24</f>
        <v>-360</v>
      </c>
      <c r="H76" s="1">
        <v>0</v>
      </c>
      <c r="I76" s="1">
        <f>40*24</f>
        <v>960</v>
      </c>
      <c r="J76" s="1">
        <f>70*24</f>
        <v>1680</v>
      </c>
      <c r="K76" s="1">
        <v>0</v>
      </c>
      <c r="L76" s="1">
        <v>0</v>
      </c>
      <c r="M76" s="1">
        <f t="shared" si="38"/>
        <v>3180</v>
      </c>
      <c r="N76" s="1">
        <f t="shared" si="39"/>
        <v>132.5</v>
      </c>
    </row>
    <row r="77" spans="1:14" x14ac:dyDescent="0.25">
      <c r="A77">
        <v>1</v>
      </c>
      <c r="B77" t="s">
        <v>17</v>
      </c>
      <c r="C77" t="s">
        <v>19</v>
      </c>
      <c r="D77" t="s">
        <v>2</v>
      </c>
      <c r="E77" t="s">
        <v>10</v>
      </c>
      <c r="F77" s="1">
        <v>199.99</v>
      </c>
      <c r="G77" s="1">
        <v>0</v>
      </c>
      <c r="H77" s="1">
        <v>40</v>
      </c>
      <c r="I77" s="1">
        <f>40*24</f>
        <v>960</v>
      </c>
      <c r="J77" s="1">
        <f>70*24</f>
        <v>1680</v>
      </c>
      <c r="K77" s="1">
        <v>0</v>
      </c>
      <c r="L77" s="1">
        <v>0</v>
      </c>
      <c r="M77" s="1">
        <f t="shared" si="38"/>
        <v>2879.99</v>
      </c>
      <c r="N77" s="1">
        <f t="shared" si="39"/>
        <v>119.99958333333332</v>
      </c>
    </row>
    <row r="78" spans="1:14" x14ac:dyDescent="0.25">
      <c r="A78">
        <v>2</v>
      </c>
      <c r="B78" t="s">
        <v>17</v>
      </c>
      <c r="C78" t="s">
        <v>19</v>
      </c>
      <c r="D78" t="s">
        <v>0</v>
      </c>
      <c r="E78" t="s">
        <v>7</v>
      </c>
      <c r="F78" s="1">
        <f>650*2</f>
        <v>1300</v>
      </c>
      <c r="G78" s="1">
        <f>-15*24*2</f>
        <v>-720</v>
      </c>
      <c r="H78" s="1">
        <v>0</v>
      </c>
      <c r="M78" s="1">
        <f t="shared" si="38"/>
        <v>580</v>
      </c>
      <c r="N78" s="1">
        <f t="shared" si="39"/>
        <v>24.166666666666668</v>
      </c>
    </row>
    <row r="79" spans="1:14" x14ac:dyDescent="0.25">
      <c r="A79">
        <v>2</v>
      </c>
      <c r="B79" t="s">
        <v>17</v>
      </c>
      <c r="C79" t="s">
        <v>19</v>
      </c>
      <c r="D79" t="s">
        <v>1</v>
      </c>
      <c r="E79" t="s">
        <v>7</v>
      </c>
      <c r="F79" s="1">
        <f>649.99*2</f>
        <v>1299.98</v>
      </c>
      <c r="G79" s="1">
        <f>-15*24*2</f>
        <v>-720</v>
      </c>
      <c r="H79" s="1">
        <v>0</v>
      </c>
      <c r="M79" s="1">
        <f t="shared" si="38"/>
        <v>579.98</v>
      </c>
      <c r="N79" s="1">
        <f t="shared" si="39"/>
        <v>24.165833333333335</v>
      </c>
    </row>
    <row r="80" spans="1:14" x14ac:dyDescent="0.25">
      <c r="A80">
        <v>2</v>
      </c>
      <c r="B80" t="s">
        <v>17</v>
      </c>
      <c r="C80" t="s">
        <v>19</v>
      </c>
      <c r="D80" t="s">
        <v>16</v>
      </c>
      <c r="E80" t="s">
        <v>7</v>
      </c>
      <c r="F80" s="1">
        <f>900*2</f>
        <v>1800</v>
      </c>
      <c r="G80" s="1">
        <f>-15*24*2</f>
        <v>-720</v>
      </c>
      <c r="H80" s="1">
        <v>0</v>
      </c>
      <c r="M80" s="1">
        <f t="shared" si="38"/>
        <v>1080</v>
      </c>
      <c r="N80" s="1">
        <f t="shared" si="39"/>
        <v>45</v>
      </c>
    </row>
    <row r="81" spans="1:14" x14ac:dyDescent="0.25">
      <c r="A81">
        <v>2</v>
      </c>
      <c r="B81" t="s">
        <v>17</v>
      </c>
      <c r="C81" t="s">
        <v>19</v>
      </c>
      <c r="D81" t="s">
        <v>2</v>
      </c>
      <c r="E81" t="s">
        <v>7</v>
      </c>
      <c r="F81" s="1">
        <f>199.99*2</f>
        <v>399.98</v>
      </c>
      <c r="G81" s="1">
        <v>0</v>
      </c>
      <c r="H81" s="1">
        <f>40*2</f>
        <v>80</v>
      </c>
      <c r="M81" s="1">
        <f t="shared" si="38"/>
        <v>479.98</v>
      </c>
      <c r="N81" s="1">
        <f t="shared" si="39"/>
        <v>19.999166666666667</v>
      </c>
    </row>
    <row r="82" spans="1:14" x14ac:dyDescent="0.25">
      <c r="A82">
        <v>2</v>
      </c>
      <c r="B82" t="s">
        <v>17</v>
      </c>
      <c r="C82" t="s">
        <v>19</v>
      </c>
      <c r="D82" t="s">
        <v>0</v>
      </c>
      <c r="E82" t="s">
        <v>10</v>
      </c>
      <c r="F82" s="1">
        <f>650*2</f>
        <v>1300</v>
      </c>
      <c r="G82" s="1">
        <f>-15*24*2</f>
        <v>-720</v>
      </c>
      <c r="H82" s="1">
        <v>0</v>
      </c>
      <c r="M82" s="1">
        <f t="shared" si="38"/>
        <v>580</v>
      </c>
      <c r="N82" s="1">
        <f t="shared" si="39"/>
        <v>24.166666666666668</v>
      </c>
    </row>
    <row r="83" spans="1:14" x14ac:dyDescent="0.25">
      <c r="A83">
        <v>2</v>
      </c>
      <c r="B83" t="s">
        <v>17</v>
      </c>
      <c r="C83" t="s">
        <v>19</v>
      </c>
      <c r="D83" t="s">
        <v>1</v>
      </c>
      <c r="E83" t="s">
        <v>10</v>
      </c>
      <c r="F83" s="1">
        <f>649.99*2</f>
        <v>1299.98</v>
      </c>
      <c r="G83" s="1">
        <f>-15*24*2</f>
        <v>-720</v>
      </c>
      <c r="H83" s="1">
        <v>0</v>
      </c>
      <c r="M83" s="1">
        <f t="shared" si="38"/>
        <v>579.98</v>
      </c>
      <c r="N83" s="1">
        <f t="shared" si="39"/>
        <v>24.165833333333335</v>
      </c>
    </row>
    <row r="84" spans="1:14" x14ac:dyDescent="0.25">
      <c r="A84">
        <v>2</v>
      </c>
      <c r="B84" t="s">
        <v>17</v>
      </c>
      <c r="C84" t="s">
        <v>19</v>
      </c>
      <c r="D84" t="s">
        <v>16</v>
      </c>
      <c r="E84" t="s">
        <v>10</v>
      </c>
      <c r="F84" s="1">
        <f>900*2</f>
        <v>1800</v>
      </c>
      <c r="G84" s="1">
        <f>-15*24*2</f>
        <v>-720</v>
      </c>
      <c r="H84" s="1">
        <v>0</v>
      </c>
      <c r="M84" s="1">
        <f t="shared" si="38"/>
        <v>1080</v>
      </c>
      <c r="N84" s="1">
        <f t="shared" si="39"/>
        <v>45</v>
      </c>
    </row>
    <row r="85" spans="1:14" x14ac:dyDescent="0.25">
      <c r="A85">
        <v>2</v>
      </c>
      <c r="B85" t="s">
        <v>17</v>
      </c>
      <c r="C85" t="s">
        <v>19</v>
      </c>
      <c r="D85" t="s">
        <v>2</v>
      </c>
      <c r="E85" t="s">
        <v>10</v>
      </c>
      <c r="F85" s="1">
        <f>199.99*2</f>
        <v>399.98</v>
      </c>
      <c r="G85" s="1">
        <v>0</v>
      </c>
      <c r="H85" s="1">
        <f>40*2</f>
        <v>80</v>
      </c>
      <c r="M85" s="1">
        <f t="shared" si="38"/>
        <v>479.98</v>
      </c>
      <c r="N85" s="1">
        <f t="shared" si="39"/>
        <v>19.999166666666667</v>
      </c>
    </row>
    <row r="86" spans="1:14" x14ac:dyDescent="0.25">
      <c r="A86">
        <v>3</v>
      </c>
      <c r="B86" t="s">
        <v>17</v>
      </c>
      <c r="C86" t="s">
        <v>19</v>
      </c>
      <c r="D86" t="s">
        <v>0</v>
      </c>
      <c r="E86" t="s">
        <v>8</v>
      </c>
      <c r="F86" s="1">
        <f>650*2</f>
        <v>1300</v>
      </c>
      <c r="G86" s="1">
        <f>-15*24*3</f>
        <v>-1080</v>
      </c>
      <c r="H86" s="1">
        <v>0</v>
      </c>
      <c r="M86" s="1">
        <f t="shared" si="38"/>
        <v>220</v>
      </c>
      <c r="N86" s="1">
        <f t="shared" si="39"/>
        <v>9.1666666666666661</v>
      </c>
    </row>
    <row r="87" spans="1:14" x14ac:dyDescent="0.25">
      <c r="A87">
        <v>3</v>
      </c>
      <c r="B87" t="s">
        <v>17</v>
      </c>
      <c r="C87" t="s">
        <v>19</v>
      </c>
      <c r="D87" t="s">
        <v>1</v>
      </c>
      <c r="E87" t="s">
        <v>8</v>
      </c>
      <c r="F87" s="1">
        <f>649.99*3</f>
        <v>1949.97</v>
      </c>
      <c r="G87" s="1">
        <f>-15*24*3</f>
        <v>-1080</v>
      </c>
      <c r="H87" s="1">
        <v>0</v>
      </c>
      <c r="M87" s="1">
        <f t="shared" si="38"/>
        <v>869.97</v>
      </c>
      <c r="N87" s="1">
        <f t="shared" si="39"/>
        <v>36.248750000000001</v>
      </c>
    </row>
    <row r="88" spans="1:14" x14ac:dyDescent="0.25">
      <c r="A88">
        <v>3</v>
      </c>
      <c r="B88" t="s">
        <v>17</v>
      </c>
      <c r="C88" t="s">
        <v>19</v>
      </c>
      <c r="D88" t="s">
        <v>16</v>
      </c>
      <c r="E88" t="s">
        <v>8</v>
      </c>
      <c r="F88" s="1">
        <f>900*3</f>
        <v>2700</v>
      </c>
      <c r="G88" s="1">
        <f>-15*24*3</f>
        <v>-1080</v>
      </c>
      <c r="H88" s="1">
        <v>0</v>
      </c>
      <c r="M88" s="1">
        <f t="shared" si="38"/>
        <v>1620</v>
      </c>
      <c r="N88" s="1">
        <f t="shared" si="39"/>
        <v>67.5</v>
      </c>
    </row>
    <row r="89" spans="1:14" x14ac:dyDescent="0.25">
      <c r="A89">
        <v>3</v>
      </c>
      <c r="B89" t="s">
        <v>17</v>
      </c>
      <c r="C89" t="s">
        <v>19</v>
      </c>
      <c r="D89" t="s">
        <v>2</v>
      </c>
      <c r="E89" t="s">
        <v>8</v>
      </c>
      <c r="F89" s="1">
        <f>199.99*3</f>
        <v>599.97</v>
      </c>
      <c r="G89" s="1">
        <v>0</v>
      </c>
      <c r="H89" s="1">
        <f>40*3</f>
        <v>120</v>
      </c>
      <c r="M89" s="1">
        <f t="shared" si="38"/>
        <v>719.97</v>
      </c>
      <c r="N89" s="1">
        <f t="shared" si="39"/>
        <v>29.998750000000001</v>
      </c>
    </row>
    <row r="90" spans="1:14" x14ac:dyDescent="0.25">
      <c r="A90">
        <v>3</v>
      </c>
      <c r="B90" t="s">
        <v>17</v>
      </c>
      <c r="C90" t="s">
        <v>19</v>
      </c>
      <c r="D90" t="s">
        <v>0</v>
      </c>
      <c r="E90" t="s">
        <v>10</v>
      </c>
      <c r="F90" s="1">
        <v>0</v>
      </c>
      <c r="G90" s="1">
        <f>-15*24*3</f>
        <v>-1080</v>
      </c>
      <c r="H90" s="1">
        <v>0</v>
      </c>
      <c r="M90" s="1">
        <f t="shared" ref="M90:M121" si="41">SUM(F90:L90)</f>
        <v>-1080</v>
      </c>
      <c r="N90" s="1">
        <f t="shared" si="39"/>
        <v>-45</v>
      </c>
    </row>
    <row r="91" spans="1:14" x14ac:dyDescent="0.25">
      <c r="A91">
        <v>3</v>
      </c>
      <c r="B91" t="s">
        <v>17</v>
      </c>
      <c r="C91" t="s">
        <v>19</v>
      </c>
      <c r="D91" t="s">
        <v>1</v>
      </c>
      <c r="E91" t="s">
        <v>10</v>
      </c>
      <c r="F91" s="1">
        <f>649.99*3</f>
        <v>1949.97</v>
      </c>
      <c r="G91" s="1">
        <f>-15*24*3</f>
        <v>-1080</v>
      </c>
      <c r="H91" s="1">
        <v>0</v>
      </c>
      <c r="M91" s="1">
        <f t="shared" si="41"/>
        <v>869.97</v>
      </c>
      <c r="N91" s="1">
        <f t="shared" si="39"/>
        <v>36.248750000000001</v>
      </c>
    </row>
    <row r="92" spans="1:14" x14ac:dyDescent="0.25">
      <c r="A92">
        <v>3</v>
      </c>
      <c r="B92" t="s">
        <v>17</v>
      </c>
      <c r="C92" t="s">
        <v>19</v>
      </c>
      <c r="D92" t="s">
        <v>16</v>
      </c>
      <c r="E92" t="s">
        <v>10</v>
      </c>
      <c r="F92" s="1">
        <f>900*3</f>
        <v>2700</v>
      </c>
      <c r="G92" s="1">
        <f>-15*24*3</f>
        <v>-1080</v>
      </c>
      <c r="H92" s="1">
        <v>0</v>
      </c>
      <c r="M92" s="1">
        <f t="shared" si="41"/>
        <v>1620</v>
      </c>
      <c r="N92" s="1">
        <f t="shared" si="39"/>
        <v>67.5</v>
      </c>
    </row>
    <row r="93" spans="1:14" x14ac:dyDescent="0.25">
      <c r="A93">
        <v>3</v>
      </c>
      <c r="B93" t="s">
        <v>17</v>
      </c>
      <c r="C93" t="s">
        <v>19</v>
      </c>
      <c r="D93" t="s">
        <v>2</v>
      </c>
      <c r="E93" t="s">
        <v>10</v>
      </c>
      <c r="F93" s="1">
        <f>199.99*3</f>
        <v>599.97</v>
      </c>
      <c r="G93" s="1">
        <v>0</v>
      </c>
      <c r="H93" s="1">
        <f>40*3</f>
        <v>120</v>
      </c>
      <c r="M93" s="1">
        <f t="shared" si="41"/>
        <v>719.97</v>
      </c>
      <c r="N93" s="1">
        <f t="shared" si="39"/>
        <v>29.998750000000001</v>
      </c>
    </row>
    <row r="94" spans="1:14" x14ac:dyDescent="0.25">
      <c r="A94">
        <v>3</v>
      </c>
      <c r="B94" t="s">
        <v>17</v>
      </c>
      <c r="C94" t="s">
        <v>19</v>
      </c>
      <c r="D94" t="s">
        <v>0</v>
      </c>
      <c r="E94" t="s">
        <v>14</v>
      </c>
      <c r="F94" s="1">
        <v>0</v>
      </c>
      <c r="G94" s="1">
        <f>-15*24*3</f>
        <v>-1080</v>
      </c>
      <c r="H94" s="1">
        <v>0</v>
      </c>
      <c r="M94" s="1">
        <f t="shared" si="41"/>
        <v>-1080</v>
      </c>
      <c r="N94" s="1">
        <f t="shared" si="39"/>
        <v>-45</v>
      </c>
    </row>
    <row r="95" spans="1:14" x14ac:dyDescent="0.25">
      <c r="A95">
        <v>3</v>
      </c>
      <c r="B95" t="s">
        <v>17</v>
      </c>
      <c r="C95" t="s">
        <v>19</v>
      </c>
      <c r="D95" t="s">
        <v>1</v>
      </c>
      <c r="E95" t="s">
        <v>14</v>
      </c>
      <c r="F95" s="1">
        <f>649.99*3</f>
        <v>1949.97</v>
      </c>
      <c r="G95" s="1">
        <f>-15*24*3</f>
        <v>-1080</v>
      </c>
      <c r="H95" s="1">
        <v>0</v>
      </c>
      <c r="M95" s="1">
        <f t="shared" si="41"/>
        <v>869.97</v>
      </c>
      <c r="N95" s="1">
        <f t="shared" si="39"/>
        <v>36.248750000000001</v>
      </c>
    </row>
    <row r="96" spans="1:14" x14ac:dyDescent="0.25">
      <c r="A96">
        <v>3</v>
      </c>
      <c r="B96" t="s">
        <v>17</v>
      </c>
      <c r="C96" t="s">
        <v>19</v>
      </c>
      <c r="D96" t="s">
        <v>16</v>
      </c>
      <c r="E96" t="s">
        <v>14</v>
      </c>
      <c r="F96" s="1">
        <f>900*3</f>
        <v>2700</v>
      </c>
      <c r="G96" s="1">
        <f>-15*24*3</f>
        <v>-1080</v>
      </c>
      <c r="H96" s="1">
        <v>0</v>
      </c>
      <c r="M96" s="1">
        <f t="shared" si="41"/>
        <v>1620</v>
      </c>
      <c r="N96" s="1">
        <f t="shared" si="39"/>
        <v>67.5</v>
      </c>
    </row>
    <row r="97" spans="1:14" x14ac:dyDescent="0.25">
      <c r="A97">
        <v>3</v>
      </c>
      <c r="B97" t="s">
        <v>17</v>
      </c>
      <c r="C97" t="s">
        <v>19</v>
      </c>
      <c r="D97" t="s">
        <v>2</v>
      </c>
      <c r="E97" t="s">
        <v>14</v>
      </c>
      <c r="F97" s="1">
        <f>199.99*3</f>
        <v>599.97</v>
      </c>
      <c r="G97" s="1">
        <v>0</v>
      </c>
      <c r="H97" s="1">
        <f>40*3</f>
        <v>120</v>
      </c>
      <c r="M97" s="1">
        <f t="shared" si="41"/>
        <v>719.97</v>
      </c>
      <c r="N97" s="1">
        <f t="shared" si="39"/>
        <v>29.998750000000001</v>
      </c>
    </row>
    <row r="98" spans="1:14" x14ac:dyDescent="0.25">
      <c r="A98">
        <v>4</v>
      </c>
      <c r="B98" t="s">
        <v>17</v>
      </c>
      <c r="C98" t="s">
        <v>19</v>
      </c>
      <c r="D98" t="s">
        <v>0</v>
      </c>
      <c r="E98" t="s">
        <v>8</v>
      </c>
      <c r="F98" s="1">
        <v>0</v>
      </c>
      <c r="G98" s="1">
        <f>-15*24*4</f>
        <v>-1440</v>
      </c>
      <c r="H98" s="1">
        <v>0</v>
      </c>
      <c r="M98" s="1">
        <f t="shared" si="41"/>
        <v>-1440</v>
      </c>
      <c r="N98" s="1">
        <f t="shared" si="39"/>
        <v>-60</v>
      </c>
    </row>
    <row r="99" spans="1:14" x14ac:dyDescent="0.25">
      <c r="A99">
        <v>4</v>
      </c>
      <c r="B99" t="s">
        <v>17</v>
      </c>
      <c r="C99" t="s">
        <v>19</v>
      </c>
      <c r="D99" t="s">
        <v>1</v>
      </c>
      <c r="E99" t="s">
        <v>8</v>
      </c>
      <c r="F99" s="1">
        <f>649.99*4</f>
        <v>2599.96</v>
      </c>
      <c r="G99" s="1">
        <f t="shared" ref="G99:G100" si="42">-15*24*4</f>
        <v>-1440</v>
      </c>
      <c r="H99" s="1">
        <v>0</v>
      </c>
      <c r="M99" s="1">
        <f t="shared" si="41"/>
        <v>1159.96</v>
      </c>
      <c r="N99" s="1">
        <f t="shared" si="39"/>
        <v>48.331666666666671</v>
      </c>
    </row>
    <row r="100" spans="1:14" x14ac:dyDescent="0.25">
      <c r="A100">
        <v>4</v>
      </c>
      <c r="B100" t="s">
        <v>17</v>
      </c>
      <c r="C100" t="s">
        <v>19</v>
      </c>
      <c r="D100" t="s">
        <v>16</v>
      </c>
      <c r="E100" t="s">
        <v>8</v>
      </c>
      <c r="F100" s="1">
        <f>900*4</f>
        <v>3600</v>
      </c>
      <c r="G100" s="1">
        <f t="shared" si="42"/>
        <v>-1440</v>
      </c>
      <c r="H100" s="1">
        <v>0</v>
      </c>
      <c r="M100" s="1">
        <f t="shared" si="41"/>
        <v>2160</v>
      </c>
      <c r="N100" s="1">
        <f t="shared" si="39"/>
        <v>90</v>
      </c>
    </row>
    <row r="101" spans="1:14" x14ac:dyDescent="0.25">
      <c r="A101">
        <v>4</v>
      </c>
      <c r="B101" t="s">
        <v>17</v>
      </c>
      <c r="C101" t="s">
        <v>19</v>
      </c>
      <c r="D101" t="s">
        <v>2</v>
      </c>
      <c r="E101" t="s">
        <v>8</v>
      </c>
      <c r="F101" s="1">
        <f>199.99*4</f>
        <v>799.96</v>
      </c>
      <c r="G101" s="1">
        <v>0</v>
      </c>
      <c r="H101" s="1">
        <f>40*4</f>
        <v>160</v>
      </c>
      <c r="M101" s="1">
        <f t="shared" si="41"/>
        <v>959.96</v>
      </c>
      <c r="N101" s="1">
        <f t="shared" si="39"/>
        <v>39.998333333333335</v>
      </c>
    </row>
    <row r="102" spans="1:14" x14ac:dyDescent="0.25">
      <c r="A102">
        <v>4</v>
      </c>
      <c r="B102" t="s">
        <v>17</v>
      </c>
      <c r="C102" t="s">
        <v>19</v>
      </c>
      <c r="D102" t="s">
        <v>0</v>
      </c>
      <c r="E102" t="s">
        <v>10</v>
      </c>
      <c r="F102" s="1">
        <v>0</v>
      </c>
      <c r="G102" s="1">
        <f>-15*24*4</f>
        <v>-1440</v>
      </c>
      <c r="H102" s="1">
        <v>0</v>
      </c>
      <c r="M102" s="1">
        <f t="shared" si="41"/>
        <v>-1440</v>
      </c>
      <c r="N102" s="1">
        <f t="shared" si="39"/>
        <v>-60</v>
      </c>
    </row>
    <row r="103" spans="1:14" x14ac:dyDescent="0.25">
      <c r="A103">
        <v>4</v>
      </c>
      <c r="B103" t="s">
        <v>17</v>
      </c>
      <c r="C103" t="s">
        <v>19</v>
      </c>
      <c r="D103" t="s">
        <v>1</v>
      </c>
      <c r="E103" t="s">
        <v>10</v>
      </c>
      <c r="F103" s="1">
        <f>649.99*4</f>
        <v>2599.96</v>
      </c>
      <c r="G103" s="1">
        <f>-15*24*4</f>
        <v>-1440</v>
      </c>
      <c r="H103" s="1">
        <v>0</v>
      </c>
      <c r="M103" s="1">
        <f t="shared" si="41"/>
        <v>1159.96</v>
      </c>
      <c r="N103" s="1">
        <f t="shared" si="39"/>
        <v>48.331666666666671</v>
      </c>
    </row>
    <row r="104" spans="1:14" x14ac:dyDescent="0.25">
      <c r="A104">
        <v>4</v>
      </c>
      <c r="B104" t="s">
        <v>17</v>
      </c>
      <c r="C104" t="s">
        <v>19</v>
      </c>
      <c r="D104" t="s">
        <v>16</v>
      </c>
      <c r="E104" t="s">
        <v>10</v>
      </c>
      <c r="F104" s="1">
        <f>900*4</f>
        <v>3600</v>
      </c>
      <c r="G104" s="1">
        <f>-15*24*4</f>
        <v>-1440</v>
      </c>
      <c r="H104" s="1">
        <v>0</v>
      </c>
      <c r="M104" s="1">
        <f t="shared" si="41"/>
        <v>2160</v>
      </c>
      <c r="N104" s="1">
        <f t="shared" si="39"/>
        <v>90</v>
      </c>
    </row>
    <row r="105" spans="1:14" x14ac:dyDescent="0.25">
      <c r="A105">
        <v>4</v>
      </c>
      <c r="B105" t="s">
        <v>17</v>
      </c>
      <c r="C105" t="s">
        <v>19</v>
      </c>
      <c r="D105" t="s">
        <v>2</v>
      </c>
      <c r="E105" t="s">
        <v>10</v>
      </c>
      <c r="F105" s="1">
        <f>199.99*4</f>
        <v>799.96</v>
      </c>
      <c r="G105" s="1">
        <v>0</v>
      </c>
      <c r="H105" s="1">
        <f>40*4</f>
        <v>160</v>
      </c>
      <c r="M105" s="1">
        <f t="shared" si="41"/>
        <v>959.96</v>
      </c>
      <c r="N105" s="1">
        <f t="shared" si="39"/>
        <v>39.998333333333335</v>
      </c>
    </row>
    <row r="106" spans="1:14" x14ac:dyDescent="0.25">
      <c r="A106">
        <v>4</v>
      </c>
      <c r="B106" t="s">
        <v>17</v>
      </c>
      <c r="C106" t="s">
        <v>19</v>
      </c>
      <c r="D106" t="s">
        <v>0</v>
      </c>
      <c r="E106" t="s">
        <v>14</v>
      </c>
      <c r="F106" s="1">
        <v>0</v>
      </c>
      <c r="G106" s="1">
        <f>-15*24*4</f>
        <v>-1440</v>
      </c>
      <c r="H106" s="1">
        <v>0</v>
      </c>
      <c r="M106" s="1">
        <f t="shared" si="41"/>
        <v>-1440</v>
      </c>
      <c r="N106" s="1">
        <f t="shared" si="39"/>
        <v>-60</v>
      </c>
    </row>
    <row r="107" spans="1:14" x14ac:dyDescent="0.25">
      <c r="A107">
        <v>4</v>
      </c>
      <c r="B107" t="s">
        <v>17</v>
      </c>
      <c r="C107" t="s">
        <v>19</v>
      </c>
      <c r="D107" t="s">
        <v>1</v>
      </c>
      <c r="E107" t="s">
        <v>14</v>
      </c>
      <c r="F107" s="1">
        <f>649.99*4</f>
        <v>2599.96</v>
      </c>
      <c r="G107" s="1">
        <f>-15*24*4</f>
        <v>-1440</v>
      </c>
      <c r="H107" s="1">
        <v>0</v>
      </c>
      <c r="M107" s="1">
        <f t="shared" si="41"/>
        <v>1159.96</v>
      </c>
      <c r="N107" s="1">
        <f t="shared" si="39"/>
        <v>48.331666666666671</v>
      </c>
    </row>
    <row r="108" spans="1:14" x14ac:dyDescent="0.25">
      <c r="A108">
        <v>4</v>
      </c>
      <c r="B108" t="s">
        <v>17</v>
      </c>
      <c r="C108" t="s">
        <v>19</v>
      </c>
      <c r="D108" t="s">
        <v>16</v>
      </c>
      <c r="E108" t="s">
        <v>14</v>
      </c>
      <c r="F108" s="1">
        <f>900*4</f>
        <v>3600</v>
      </c>
      <c r="G108" s="1">
        <f>-15*24*4</f>
        <v>-1440</v>
      </c>
      <c r="H108" s="1">
        <v>0</v>
      </c>
      <c r="M108" s="1">
        <f t="shared" si="41"/>
        <v>2160</v>
      </c>
      <c r="N108" s="1">
        <f t="shared" si="39"/>
        <v>90</v>
      </c>
    </row>
    <row r="109" spans="1:14" x14ac:dyDescent="0.25">
      <c r="A109">
        <v>4</v>
      </c>
      <c r="B109" t="s">
        <v>17</v>
      </c>
      <c r="C109" t="s">
        <v>19</v>
      </c>
      <c r="D109" t="s">
        <v>2</v>
      </c>
      <c r="E109" t="s">
        <v>14</v>
      </c>
      <c r="F109" s="1">
        <f>199.99*4</f>
        <v>799.96</v>
      </c>
      <c r="G109" s="1">
        <v>0</v>
      </c>
      <c r="H109" s="1">
        <f>40*4</f>
        <v>160</v>
      </c>
      <c r="M109" s="1">
        <f t="shared" si="41"/>
        <v>959.96</v>
      </c>
      <c r="N109" s="1">
        <f t="shared" si="39"/>
        <v>39.998333333333335</v>
      </c>
    </row>
    <row r="110" spans="1:14" x14ac:dyDescent="0.25">
      <c r="A110">
        <v>4</v>
      </c>
      <c r="B110" t="s">
        <v>17</v>
      </c>
      <c r="C110" t="s">
        <v>19</v>
      </c>
      <c r="D110" t="s">
        <v>0</v>
      </c>
      <c r="E110" t="s">
        <v>15</v>
      </c>
      <c r="F110" s="1">
        <v>0</v>
      </c>
      <c r="G110" s="1">
        <f>-25*24*4</f>
        <v>-2400</v>
      </c>
      <c r="H110" s="1">
        <v>0</v>
      </c>
      <c r="M110" s="1">
        <f t="shared" si="41"/>
        <v>-2400</v>
      </c>
      <c r="N110" s="1">
        <f t="shared" si="39"/>
        <v>-100</v>
      </c>
    </row>
    <row r="111" spans="1:14" x14ac:dyDescent="0.25">
      <c r="A111">
        <v>4</v>
      </c>
      <c r="B111" t="s">
        <v>17</v>
      </c>
      <c r="C111" t="s">
        <v>19</v>
      </c>
      <c r="D111" t="s">
        <v>1</v>
      </c>
      <c r="E111" t="s">
        <v>15</v>
      </c>
      <c r="F111" s="1">
        <f>649.99*4</f>
        <v>2599.96</v>
      </c>
      <c r="G111" s="1">
        <f t="shared" ref="G111:G112" si="43">-25*24*4</f>
        <v>-2400</v>
      </c>
      <c r="H111" s="1">
        <v>0</v>
      </c>
      <c r="M111" s="1">
        <f t="shared" si="41"/>
        <v>199.96000000000004</v>
      </c>
      <c r="N111" s="1">
        <f t="shared" si="39"/>
        <v>8.3316666666666688</v>
      </c>
    </row>
    <row r="112" spans="1:14" x14ac:dyDescent="0.25">
      <c r="A112">
        <v>4</v>
      </c>
      <c r="B112" t="s">
        <v>17</v>
      </c>
      <c r="C112" t="s">
        <v>19</v>
      </c>
      <c r="D112" t="s">
        <v>16</v>
      </c>
      <c r="E112" t="s">
        <v>15</v>
      </c>
      <c r="F112" s="1">
        <f>900*4</f>
        <v>3600</v>
      </c>
      <c r="G112" s="1">
        <f t="shared" si="43"/>
        <v>-2400</v>
      </c>
      <c r="H112" s="1">
        <v>0</v>
      </c>
      <c r="M112" s="1">
        <f t="shared" si="41"/>
        <v>1200</v>
      </c>
      <c r="N112" s="1">
        <f t="shared" si="39"/>
        <v>50</v>
      </c>
    </row>
    <row r="113" spans="1:14" x14ac:dyDescent="0.25">
      <c r="A113">
        <v>4</v>
      </c>
      <c r="B113" t="s">
        <v>17</v>
      </c>
      <c r="C113" t="s">
        <v>19</v>
      </c>
      <c r="D113" t="s">
        <v>2</v>
      </c>
      <c r="E113" t="s">
        <v>15</v>
      </c>
      <c r="F113" s="1">
        <f>199.99*4</f>
        <v>799.96</v>
      </c>
      <c r="G113" s="1">
        <v>0</v>
      </c>
      <c r="H113" s="1">
        <f>40*4</f>
        <v>160</v>
      </c>
      <c r="M113" s="1">
        <f t="shared" si="41"/>
        <v>959.96</v>
      </c>
      <c r="N113" s="1">
        <f t="shared" si="39"/>
        <v>39.998333333333335</v>
      </c>
    </row>
    <row r="114" spans="1:14" x14ac:dyDescent="0.25">
      <c r="A114">
        <v>1</v>
      </c>
      <c r="B114" t="s">
        <v>22</v>
      </c>
      <c r="C114" t="s">
        <v>19</v>
      </c>
      <c r="D114" t="s">
        <v>0</v>
      </c>
      <c r="E114" t="s">
        <v>5</v>
      </c>
      <c r="F114" s="1">
        <v>0</v>
      </c>
      <c r="G114" s="1">
        <v>0</v>
      </c>
      <c r="H114" s="1">
        <v>15</v>
      </c>
      <c r="M114" s="1">
        <f t="shared" si="41"/>
        <v>15</v>
      </c>
      <c r="N114" s="1">
        <f t="shared" si="39"/>
        <v>0.625</v>
      </c>
    </row>
    <row r="115" spans="1:14" x14ac:dyDescent="0.25">
      <c r="A115">
        <v>1</v>
      </c>
      <c r="B115" t="s">
        <v>22</v>
      </c>
      <c r="C115" t="s">
        <v>19</v>
      </c>
      <c r="D115" t="s">
        <v>1</v>
      </c>
      <c r="E115" t="s">
        <v>5</v>
      </c>
      <c r="F115" s="1">
        <v>649.99</v>
      </c>
      <c r="G115" s="1">
        <v>0</v>
      </c>
      <c r="H115" s="1">
        <v>15</v>
      </c>
      <c r="M115" s="1">
        <f t="shared" si="41"/>
        <v>664.99</v>
      </c>
      <c r="N115" s="1">
        <f t="shared" si="39"/>
        <v>27.707916666666666</v>
      </c>
    </row>
    <row r="116" spans="1:14" x14ac:dyDescent="0.25">
      <c r="A116">
        <v>1</v>
      </c>
      <c r="B116" t="s">
        <v>22</v>
      </c>
      <c r="C116" t="s">
        <v>19</v>
      </c>
      <c r="D116" t="s">
        <v>16</v>
      </c>
      <c r="E116" t="s">
        <v>5</v>
      </c>
      <c r="F116" s="1">
        <v>900</v>
      </c>
      <c r="G116" s="1">
        <v>0</v>
      </c>
      <c r="H116" s="1">
        <v>15</v>
      </c>
      <c r="M116" s="1">
        <f t="shared" si="41"/>
        <v>915</v>
      </c>
      <c r="N116" s="1">
        <f t="shared" si="39"/>
        <v>38.125</v>
      </c>
    </row>
    <row r="117" spans="1:14" x14ac:dyDescent="0.25">
      <c r="A117">
        <v>1</v>
      </c>
      <c r="B117" t="s">
        <v>22</v>
      </c>
      <c r="C117" t="s">
        <v>19</v>
      </c>
      <c r="D117" t="s">
        <v>0</v>
      </c>
      <c r="E117" t="s">
        <v>6</v>
      </c>
      <c r="F117" s="1">
        <v>0</v>
      </c>
      <c r="G117" s="1">
        <v>0</v>
      </c>
      <c r="H117" s="1">
        <v>15</v>
      </c>
      <c r="M117" s="1">
        <f t="shared" si="41"/>
        <v>15</v>
      </c>
      <c r="N117" s="1">
        <f t="shared" si="39"/>
        <v>0.625</v>
      </c>
    </row>
    <row r="118" spans="1:14" x14ac:dyDescent="0.25">
      <c r="A118">
        <v>1</v>
      </c>
      <c r="B118" t="s">
        <v>22</v>
      </c>
      <c r="C118" t="s">
        <v>19</v>
      </c>
      <c r="D118" t="s">
        <v>1</v>
      </c>
      <c r="E118" t="s">
        <v>6</v>
      </c>
      <c r="F118" s="1">
        <v>649.99</v>
      </c>
      <c r="G118" s="1">
        <v>0</v>
      </c>
      <c r="H118" s="1">
        <v>15</v>
      </c>
      <c r="M118" s="1">
        <f t="shared" si="41"/>
        <v>664.99</v>
      </c>
      <c r="N118" s="1">
        <f t="shared" si="39"/>
        <v>27.707916666666666</v>
      </c>
    </row>
    <row r="119" spans="1:14" x14ac:dyDescent="0.25">
      <c r="A119">
        <v>1</v>
      </c>
      <c r="B119" t="s">
        <v>22</v>
      </c>
      <c r="C119" t="s">
        <v>19</v>
      </c>
      <c r="D119" t="s">
        <v>16</v>
      </c>
      <c r="E119" t="s">
        <v>6</v>
      </c>
      <c r="F119" s="1">
        <v>900</v>
      </c>
      <c r="G119" s="1">
        <v>0</v>
      </c>
      <c r="H119" s="1">
        <v>15</v>
      </c>
      <c r="M119" s="1">
        <f t="shared" si="41"/>
        <v>915</v>
      </c>
      <c r="N119" s="1">
        <f t="shared" si="39"/>
        <v>38.125</v>
      </c>
    </row>
    <row r="120" spans="1:14" x14ac:dyDescent="0.25">
      <c r="A120">
        <v>1</v>
      </c>
      <c r="B120" t="s">
        <v>22</v>
      </c>
      <c r="C120" t="s">
        <v>19</v>
      </c>
      <c r="D120" t="s">
        <v>0</v>
      </c>
      <c r="E120" t="s">
        <v>8</v>
      </c>
      <c r="F120" s="1">
        <v>0</v>
      </c>
      <c r="G120" s="1">
        <v>0</v>
      </c>
      <c r="H120" s="1">
        <v>15</v>
      </c>
      <c r="M120" s="1">
        <f t="shared" si="41"/>
        <v>15</v>
      </c>
      <c r="N120" s="1">
        <f t="shared" si="39"/>
        <v>0.625</v>
      </c>
    </row>
    <row r="121" spans="1:14" x14ac:dyDescent="0.25">
      <c r="A121">
        <v>1</v>
      </c>
      <c r="B121" t="s">
        <v>22</v>
      </c>
      <c r="C121" t="s">
        <v>19</v>
      </c>
      <c r="D121" t="s">
        <v>1</v>
      </c>
      <c r="E121" t="s">
        <v>8</v>
      </c>
      <c r="F121" s="1">
        <v>649.99</v>
      </c>
      <c r="G121" s="1">
        <v>0</v>
      </c>
      <c r="H121" s="1">
        <v>15</v>
      </c>
      <c r="M121" s="1">
        <f t="shared" si="41"/>
        <v>664.99</v>
      </c>
      <c r="N121" s="1">
        <f t="shared" si="39"/>
        <v>27.707916666666666</v>
      </c>
    </row>
    <row r="122" spans="1:14" x14ac:dyDescent="0.25">
      <c r="A122">
        <v>1</v>
      </c>
      <c r="B122" t="s">
        <v>22</v>
      </c>
      <c r="C122" t="s">
        <v>19</v>
      </c>
      <c r="D122" t="s">
        <v>16</v>
      </c>
      <c r="E122" t="s">
        <v>8</v>
      </c>
      <c r="F122" s="1">
        <v>900</v>
      </c>
      <c r="G122" s="1">
        <v>0</v>
      </c>
      <c r="H122" s="1">
        <v>15</v>
      </c>
      <c r="M122" s="1">
        <f t="shared" ref="M122:M153" si="44">SUM(F122:L122)</f>
        <v>915</v>
      </c>
      <c r="N122" s="1">
        <f t="shared" si="39"/>
        <v>38.125</v>
      </c>
    </row>
    <row r="123" spans="1:14" x14ac:dyDescent="0.25">
      <c r="A123">
        <v>1</v>
      </c>
      <c r="B123" t="s">
        <v>22</v>
      </c>
      <c r="C123" t="s">
        <v>19</v>
      </c>
      <c r="D123" t="s">
        <v>0</v>
      </c>
      <c r="E123" t="s">
        <v>10</v>
      </c>
      <c r="F123" s="1">
        <v>0</v>
      </c>
      <c r="G123" s="1">
        <v>0</v>
      </c>
      <c r="H123" s="1">
        <v>15</v>
      </c>
      <c r="M123" s="1">
        <f t="shared" si="44"/>
        <v>15</v>
      </c>
      <c r="N123" s="1">
        <f t="shared" ref="N123:N155" si="45">M123/24</f>
        <v>0.625</v>
      </c>
    </row>
    <row r="124" spans="1:14" x14ac:dyDescent="0.25">
      <c r="A124">
        <v>1</v>
      </c>
      <c r="B124" t="s">
        <v>22</v>
      </c>
      <c r="C124" t="s">
        <v>19</v>
      </c>
      <c r="D124" t="s">
        <v>1</v>
      </c>
      <c r="E124" t="s">
        <v>10</v>
      </c>
      <c r="F124" s="1">
        <v>649.99</v>
      </c>
      <c r="G124" s="1">
        <v>0</v>
      </c>
      <c r="H124" s="1">
        <v>15</v>
      </c>
      <c r="M124" s="1">
        <f t="shared" si="44"/>
        <v>664.99</v>
      </c>
      <c r="N124" s="1">
        <f t="shared" si="45"/>
        <v>27.707916666666666</v>
      </c>
    </row>
    <row r="125" spans="1:14" x14ac:dyDescent="0.25">
      <c r="A125">
        <v>1</v>
      </c>
      <c r="B125" t="s">
        <v>22</v>
      </c>
      <c r="C125" t="s">
        <v>19</v>
      </c>
      <c r="D125" t="s">
        <v>16</v>
      </c>
      <c r="E125" t="s">
        <v>10</v>
      </c>
      <c r="F125" s="1">
        <v>1000</v>
      </c>
      <c r="G125" s="1">
        <v>0</v>
      </c>
      <c r="H125" s="1">
        <v>15</v>
      </c>
      <c r="M125" s="1">
        <f t="shared" si="44"/>
        <v>1015</v>
      </c>
      <c r="N125" s="1">
        <f t="shared" si="45"/>
        <v>42.291666666666664</v>
      </c>
    </row>
    <row r="126" spans="1:14" x14ac:dyDescent="0.25">
      <c r="A126">
        <v>2</v>
      </c>
      <c r="B126" t="s">
        <v>22</v>
      </c>
      <c r="C126" t="s">
        <v>19</v>
      </c>
      <c r="D126" t="s">
        <v>0</v>
      </c>
      <c r="E126" t="s">
        <v>6</v>
      </c>
      <c r="F126" s="1">
        <v>0</v>
      </c>
      <c r="G126" s="1">
        <v>0</v>
      </c>
      <c r="H126" s="1">
        <f>15*2</f>
        <v>30</v>
      </c>
      <c r="M126" s="1">
        <f t="shared" si="44"/>
        <v>30</v>
      </c>
      <c r="N126" s="1">
        <f t="shared" si="45"/>
        <v>1.25</v>
      </c>
    </row>
    <row r="127" spans="1:14" x14ac:dyDescent="0.25">
      <c r="A127">
        <v>2</v>
      </c>
      <c r="B127" t="s">
        <v>22</v>
      </c>
      <c r="C127" t="s">
        <v>19</v>
      </c>
      <c r="D127" t="s">
        <v>1</v>
      </c>
      <c r="E127" t="s">
        <v>6</v>
      </c>
      <c r="F127" s="1">
        <f>649.99*2</f>
        <v>1299.98</v>
      </c>
      <c r="G127" s="1">
        <v>0</v>
      </c>
      <c r="H127" s="1">
        <f t="shared" ref="H127:H134" si="46">15*2</f>
        <v>30</v>
      </c>
      <c r="M127" s="1">
        <f t="shared" si="44"/>
        <v>1329.98</v>
      </c>
      <c r="N127" s="1">
        <f t="shared" si="45"/>
        <v>55.415833333333332</v>
      </c>
    </row>
    <row r="128" spans="1:14" x14ac:dyDescent="0.25">
      <c r="A128">
        <v>2</v>
      </c>
      <c r="B128" t="s">
        <v>22</v>
      </c>
      <c r="C128" t="s">
        <v>19</v>
      </c>
      <c r="D128" t="s">
        <v>16</v>
      </c>
      <c r="E128" t="s">
        <v>6</v>
      </c>
      <c r="F128" s="1">
        <f>900*2</f>
        <v>1800</v>
      </c>
      <c r="G128" s="1">
        <v>0</v>
      </c>
      <c r="H128" s="1">
        <f t="shared" si="46"/>
        <v>30</v>
      </c>
      <c r="M128" s="1">
        <f t="shared" si="44"/>
        <v>1830</v>
      </c>
      <c r="N128" s="1">
        <f t="shared" si="45"/>
        <v>76.25</v>
      </c>
    </row>
    <row r="129" spans="1:14" x14ac:dyDescent="0.25">
      <c r="A129">
        <v>2</v>
      </c>
      <c r="B129" t="s">
        <v>22</v>
      </c>
      <c r="C129" t="s">
        <v>19</v>
      </c>
      <c r="D129" t="s">
        <v>0</v>
      </c>
      <c r="E129" t="s">
        <v>8</v>
      </c>
      <c r="F129" s="1">
        <v>0</v>
      </c>
      <c r="G129" s="1">
        <v>0</v>
      </c>
      <c r="H129" s="1">
        <f t="shared" si="46"/>
        <v>30</v>
      </c>
      <c r="M129" s="1">
        <f t="shared" si="44"/>
        <v>30</v>
      </c>
      <c r="N129" s="1">
        <f t="shared" si="45"/>
        <v>1.25</v>
      </c>
    </row>
    <row r="130" spans="1:14" x14ac:dyDescent="0.25">
      <c r="A130">
        <v>2</v>
      </c>
      <c r="B130" t="s">
        <v>22</v>
      </c>
      <c r="C130" t="s">
        <v>19</v>
      </c>
      <c r="D130" t="s">
        <v>1</v>
      </c>
      <c r="E130" t="s">
        <v>8</v>
      </c>
      <c r="F130" s="1">
        <f>649.99*2</f>
        <v>1299.98</v>
      </c>
      <c r="G130" s="1">
        <v>0</v>
      </c>
      <c r="H130" s="1">
        <f t="shared" si="46"/>
        <v>30</v>
      </c>
      <c r="M130" s="1">
        <f t="shared" si="44"/>
        <v>1329.98</v>
      </c>
      <c r="N130" s="1">
        <f t="shared" si="45"/>
        <v>55.415833333333332</v>
      </c>
    </row>
    <row r="131" spans="1:14" x14ac:dyDescent="0.25">
      <c r="A131">
        <v>2</v>
      </c>
      <c r="B131" t="s">
        <v>22</v>
      </c>
      <c r="C131" t="s">
        <v>19</v>
      </c>
      <c r="D131" t="s">
        <v>16</v>
      </c>
      <c r="E131" t="s">
        <v>8</v>
      </c>
      <c r="F131" s="1">
        <f>900*2</f>
        <v>1800</v>
      </c>
      <c r="G131" s="1">
        <v>0</v>
      </c>
      <c r="H131" s="1">
        <f t="shared" si="46"/>
        <v>30</v>
      </c>
      <c r="M131" s="1">
        <f t="shared" si="44"/>
        <v>1830</v>
      </c>
      <c r="N131" s="1">
        <f t="shared" si="45"/>
        <v>76.25</v>
      </c>
    </row>
    <row r="132" spans="1:14" x14ac:dyDescent="0.25">
      <c r="A132">
        <v>2</v>
      </c>
      <c r="B132" t="s">
        <v>22</v>
      </c>
      <c r="C132" t="s">
        <v>19</v>
      </c>
      <c r="D132" t="s">
        <v>0</v>
      </c>
      <c r="E132" t="s">
        <v>10</v>
      </c>
      <c r="F132" s="1">
        <v>0</v>
      </c>
      <c r="G132" s="1">
        <v>0</v>
      </c>
      <c r="H132" s="1">
        <f t="shared" si="46"/>
        <v>30</v>
      </c>
      <c r="M132" s="1">
        <f t="shared" si="44"/>
        <v>30</v>
      </c>
      <c r="N132" s="1">
        <f t="shared" si="45"/>
        <v>1.25</v>
      </c>
    </row>
    <row r="133" spans="1:14" x14ac:dyDescent="0.25">
      <c r="A133">
        <v>2</v>
      </c>
      <c r="B133" t="s">
        <v>22</v>
      </c>
      <c r="C133" t="s">
        <v>19</v>
      </c>
      <c r="D133" t="s">
        <v>1</v>
      </c>
      <c r="E133" t="s">
        <v>10</v>
      </c>
      <c r="F133" s="1">
        <f>649.99*2</f>
        <v>1299.98</v>
      </c>
      <c r="G133" s="1">
        <v>0</v>
      </c>
      <c r="H133" s="1">
        <f t="shared" si="46"/>
        <v>30</v>
      </c>
      <c r="M133" s="1">
        <f t="shared" si="44"/>
        <v>1329.98</v>
      </c>
      <c r="N133" s="1">
        <f t="shared" si="45"/>
        <v>55.415833333333332</v>
      </c>
    </row>
    <row r="134" spans="1:14" x14ac:dyDescent="0.25">
      <c r="A134">
        <v>2</v>
      </c>
      <c r="B134" t="s">
        <v>22</v>
      </c>
      <c r="C134" t="s">
        <v>19</v>
      </c>
      <c r="D134" t="s">
        <v>16</v>
      </c>
      <c r="E134" t="s">
        <v>10</v>
      </c>
      <c r="F134" s="1">
        <f>900*2</f>
        <v>1800</v>
      </c>
      <c r="G134" s="1">
        <v>0</v>
      </c>
      <c r="H134" s="1">
        <f t="shared" si="46"/>
        <v>30</v>
      </c>
      <c r="M134" s="1">
        <f t="shared" si="44"/>
        <v>1830</v>
      </c>
      <c r="N134" s="1">
        <f t="shared" si="45"/>
        <v>76.25</v>
      </c>
    </row>
    <row r="135" spans="1:14" x14ac:dyDescent="0.25">
      <c r="A135">
        <v>3</v>
      </c>
      <c r="B135" t="s">
        <v>22</v>
      </c>
      <c r="C135" t="s">
        <v>19</v>
      </c>
      <c r="D135" t="s">
        <v>0</v>
      </c>
      <c r="E135" t="s">
        <v>8</v>
      </c>
      <c r="F135" s="1">
        <v>0</v>
      </c>
      <c r="G135" s="1">
        <v>0</v>
      </c>
      <c r="H135" s="1">
        <f>15*3</f>
        <v>45</v>
      </c>
      <c r="M135" s="1">
        <f t="shared" si="44"/>
        <v>45</v>
      </c>
      <c r="N135" s="1">
        <f t="shared" si="45"/>
        <v>1.875</v>
      </c>
    </row>
    <row r="136" spans="1:14" x14ac:dyDescent="0.25">
      <c r="A136">
        <v>3</v>
      </c>
      <c r="B136" t="s">
        <v>22</v>
      </c>
      <c r="C136" t="s">
        <v>19</v>
      </c>
      <c r="D136" t="s">
        <v>1</v>
      </c>
      <c r="E136" t="s">
        <v>8</v>
      </c>
      <c r="F136" s="1">
        <f>649.99*3</f>
        <v>1949.97</v>
      </c>
      <c r="G136" s="1">
        <v>0</v>
      </c>
      <c r="H136" s="1">
        <f t="shared" ref="H136:H143" si="47">15*3</f>
        <v>45</v>
      </c>
      <c r="M136" s="1">
        <f t="shared" si="44"/>
        <v>1994.97</v>
      </c>
      <c r="N136" s="1">
        <f t="shared" si="45"/>
        <v>83.123750000000001</v>
      </c>
    </row>
    <row r="137" spans="1:14" x14ac:dyDescent="0.25">
      <c r="A137">
        <v>3</v>
      </c>
      <c r="B137" t="s">
        <v>22</v>
      </c>
      <c r="C137" t="s">
        <v>19</v>
      </c>
      <c r="D137" t="s">
        <v>16</v>
      </c>
      <c r="E137" t="s">
        <v>8</v>
      </c>
      <c r="F137" s="1">
        <f>900*3</f>
        <v>2700</v>
      </c>
      <c r="G137" s="1">
        <v>0</v>
      </c>
      <c r="H137" s="1">
        <f t="shared" si="47"/>
        <v>45</v>
      </c>
      <c r="M137" s="1">
        <f t="shared" si="44"/>
        <v>2745</v>
      </c>
      <c r="N137" s="1">
        <f t="shared" si="45"/>
        <v>114.375</v>
      </c>
    </row>
    <row r="138" spans="1:14" x14ac:dyDescent="0.25">
      <c r="A138">
        <v>3</v>
      </c>
      <c r="B138" t="s">
        <v>22</v>
      </c>
      <c r="C138" t="s">
        <v>19</v>
      </c>
      <c r="D138" t="s">
        <v>0</v>
      </c>
      <c r="E138" t="s">
        <v>10</v>
      </c>
      <c r="F138" s="1">
        <v>0</v>
      </c>
      <c r="G138" s="1">
        <v>0</v>
      </c>
      <c r="H138" s="1">
        <f t="shared" si="47"/>
        <v>45</v>
      </c>
      <c r="M138" s="1">
        <f t="shared" si="44"/>
        <v>45</v>
      </c>
      <c r="N138" s="1">
        <f t="shared" si="45"/>
        <v>1.875</v>
      </c>
    </row>
    <row r="139" spans="1:14" x14ac:dyDescent="0.25">
      <c r="A139">
        <v>3</v>
      </c>
      <c r="B139" t="s">
        <v>22</v>
      </c>
      <c r="C139" t="s">
        <v>19</v>
      </c>
      <c r="D139" t="s">
        <v>1</v>
      </c>
      <c r="E139" t="s">
        <v>10</v>
      </c>
      <c r="F139" s="1">
        <f>649.99*3</f>
        <v>1949.97</v>
      </c>
      <c r="G139" s="1">
        <v>0</v>
      </c>
      <c r="H139" s="1">
        <f t="shared" si="47"/>
        <v>45</v>
      </c>
      <c r="M139" s="1">
        <f t="shared" si="44"/>
        <v>1994.97</v>
      </c>
      <c r="N139" s="1">
        <f t="shared" si="45"/>
        <v>83.123750000000001</v>
      </c>
    </row>
    <row r="140" spans="1:14" x14ac:dyDescent="0.25">
      <c r="A140">
        <v>3</v>
      </c>
      <c r="B140" t="s">
        <v>22</v>
      </c>
      <c r="C140" t="s">
        <v>19</v>
      </c>
      <c r="D140" t="s">
        <v>16</v>
      </c>
      <c r="E140" t="s">
        <v>10</v>
      </c>
      <c r="F140" s="1">
        <f>900*3</f>
        <v>2700</v>
      </c>
      <c r="G140" s="1">
        <v>0</v>
      </c>
      <c r="H140" s="1">
        <f t="shared" si="47"/>
        <v>45</v>
      </c>
      <c r="M140" s="1">
        <f t="shared" si="44"/>
        <v>2745</v>
      </c>
      <c r="N140" s="1">
        <f t="shared" si="45"/>
        <v>114.375</v>
      </c>
    </row>
    <row r="141" spans="1:14" x14ac:dyDescent="0.25">
      <c r="A141">
        <v>3</v>
      </c>
      <c r="B141" t="s">
        <v>22</v>
      </c>
      <c r="C141" t="s">
        <v>19</v>
      </c>
      <c r="D141" t="s">
        <v>0</v>
      </c>
      <c r="E141" t="s">
        <v>14</v>
      </c>
      <c r="F141" s="1">
        <v>0</v>
      </c>
      <c r="G141" s="1">
        <v>0</v>
      </c>
      <c r="H141" s="1">
        <f t="shared" si="47"/>
        <v>45</v>
      </c>
      <c r="M141" s="1">
        <f t="shared" si="44"/>
        <v>45</v>
      </c>
      <c r="N141" s="1">
        <f t="shared" si="45"/>
        <v>1.875</v>
      </c>
    </row>
    <row r="142" spans="1:14" x14ac:dyDescent="0.25">
      <c r="A142">
        <v>3</v>
      </c>
      <c r="B142" t="s">
        <v>22</v>
      </c>
      <c r="C142" t="s">
        <v>19</v>
      </c>
      <c r="D142" t="s">
        <v>1</v>
      </c>
      <c r="E142" t="s">
        <v>14</v>
      </c>
      <c r="F142" s="1">
        <f>649.99*3</f>
        <v>1949.97</v>
      </c>
      <c r="G142" s="1">
        <v>0</v>
      </c>
      <c r="H142" s="1">
        <f t="shared" si="47"/>
        <v>45</v>
      </c>
      <c r="M142" s="1">
        <f t="shared" si="44"/>
        <v>1994.97</v>
      </c>
      <c r="N142" s="1">
        <f t="shared" si="45"/>
        <v>83.123750000000001</v>
      </c>
    </row>
    <row r="143" spans="1:14" x14ac:dyDescent="0.25">
      <c r="A143">
        <v>3</v>
      </c>
      <c r="B143" t="s">
        <v>22</v>
      </c>
      <c r="C143" t="s">
        <v>19</v>
      </c>
      <c r="D143" t="s">
        <v>16</v>
      </c>
      <c r="E143" t="s">
        <v>14</v>
      </c>
      <c r="F143" s="1">
        <f>900*3</f>
        <v>2700</v>
      </c>
      <c r="G143" s="1">
        <v>0</v>
      </c>
      <c r="H143" s="1">
        <f t="shared" si="47"/>
        <v>45</v>
      </c>
      <c r="M143" s="1">
        <f t="shared" si="44"/>
        <v>2745</v>
      </c>
      <c r="N143" s="1">
        <f t="shared" si="45"/>
        <v>114.375</v>
      </c>
    </row>
    <row r="144" spans="1:14" x14ac:dyDescent="0.25">
      <c r="A144">
        <v>4</v>
      </c>
      <c r="B144" t="s">
        <v>22</v>
      </c>
      <c r="C144" t="s">
        <v>19</v>
      </c>
      <c r="D144" t="s">
        <v>0</v>
      </c>
      <c r="E144" t="s">
        <v>8</v>
      </c>
      <c r="F144" s="1">
        <v>0</v>
      </c>
      <c r="G144" s="1">
        <v>0</v>
      </c>
      <c r="H144" s="1">
        <f>15*4</f>
        <v>60</v>
      </c>
      <c r="M144" s="1">
        <f t="shared" si="44"/>
        <v>60</v>
      </c>
      <c r="N144" s="1">
        <f t="shared" si="45"/>
        <v>2.5</v>
      </c>
    </row>
    <row r="145" spans="1:14" x14ac:dyDescent="0.25">
      <c r="A145">
        <v>4</v>
      </c>
      <c r="B145" t="s">
        <v>22</v>
      </c>
      <c r="C145" t="s">
        <v>19</v>
      </c>
      <c r="D145" t="s">
        <v>1</v>
      </c>
      <c r="E145" t="s">
        <v>8</v>
      </c>
      <c r="F145" s="1">
        <f>649.99*4</f>
        <v>2599.96</v>
      </c>
      <c r="G145" s="1">
        <v>0</v>
      </c>
      <c r="H145" s="1">
        <f t="shared" ref="H145:H155" si="48">15*4</f>
        <v>60</v>
      </c>
      <c r="M145" s="1">
        <f t="shared" si="44"/>
        <v>2659.96</v>
      </c>
      <c r="N145" s="1">
        <f t="shared" si="45"/>
        <v>110.83166666666666</v>
      </c>
    </row>
    <row r="146" spans="1:14" x14ac:dyDescent="0.25">
      <c r="A146">
        <v>4</v>
      </c>
      <c r="B146" t="s">
        <v>22</v>
      </c>
      <c r="C146" t="s">
        <v>19</v>
      </c>
      <c r="D146" t="s">
        <v>16</v>
      </c>
      <c r="E146" t="s">
        <v>8</v>
      </c>
      <c r="F146" s="1">
        <f>900*4</f>
        <v>3600</v>
      </c>
      <c r="G146" s="1">
        <v>0</v>
      </c>
      <c r="H146" s="1">
        <f t="shared" si="48"/>
        <v>60</v>
      </c>
      <c r="M146" s="1">
        <f t="shared" si="44"/>
        <v>3660</v>
      </c>
      <c r="N146" s="1">
        <f t="shared" si="45"/>
        <v>152.5</v>
      </c>
    </row>
    <row r="147" spans="1:14" x14ac:dyDescent="0.25">
      <c r="A147">
        <v>4</v>
      </c>
      <c r="B147" t="s">
        <v>22</v>
      </c>
      <c r="C147" t="s">
        <v>19</v>
      </c>
      <c r="D147" t="s">
        <v>0</v>
      </c>
      <c r="E147" t="s">
        <v>10</v>
      </c>
      <c r="F147" s="1">
        <v>0</v>
      </c>
      <c r="G147" s="1">
        <v>0</v>
      </c>
      <c r="H147" s="1">
        <f t="shared" si="48"/>
        <v>60</v>
      </c>
      <c r="M147" s="1">
        <f t="shared" si="44"/>
        <v>60</v>
      </c>
      <c r="N147" s="1">
        <f t="shared" si="45"/>
        <v>2.5</v>
      </c>
    </row>
    <row r="148" spans="1:14" x14ac:dyDescent="0.25">
      <c r="A148">
        <v>4</v>
      </c>
      <c r="B148" t="s">
        <v>22</v>
      </c>
      <c r="C148" t="s">
        <v>19</v>
      </c>
      <c r="D148" t="s">
        <v>1</v>
      </c>
      <c r="E148" t="s">
        <v>10</v>
      </c>
      <c r="F148" s="1">
        <f>649.99*4</f>
        <v>2599.96</v>
      </c>
      <c r="G148" s="1">
        <v>0</v>
      </c>
      <c r="H148" s="1">
        <f t="shared" si="48"/>
        <v>60</v>
      </c>
      <c r="M148" s="1">
        <f t="shared" si="44"/>
        <v>2659.96</v>
      </c>
      <c r="N148" s="1">
        <f t="shared" si="45"/>
        <v>110.83166666666666</v>
      </c>
    </row>
    <row r="149" spans="1:14" x14ac:dyDescent="0.25">
      <c r="A149">
        <v>4</v>
      </c>
      <c r="B149" t="s">
        <v>22</v>
      </c>
      <c r="C149" t="s">
        <v>19</v>
      </c>
      <c r="D149" t="s">
        <v>16</v>
      </c>
      <c r="E149" t="s">
        <v>10</v>
      </c>
      <c r="F149" s="1">
        <f>900*4</f>
        <v>3600</v>
      </c>
      <c r="G149" s="1">
        <v>0</v>
      </c>
      <c r="H149" s="1">
        <f t="shared" si="48"/>
        <v>60</v>
      </c>
      <c r="M149" s="1">
        <f t="shared" si="44"/>
        <v>3660</v>
      </c>
      <c r="N149" s="1">
        <f t="shared" si="45"/>
        <v>152.5</v>
      </c>
    </row>
    <row r="150" spans="1:14" x14ac:dyDescent="0.25">
      <c r="A150">
        <v>4</v>
      </c>
      <c r="B150" t="s">
        <v>22</v>
      </c>
      <c r="C150" t="s">
        <v>19</v>
      </c>
      <c r="D150" t="s">
        <v>0</v>
      </c>
      <c r="E150" t="s">
        <v>14</v>
      </c>
      <c r="F150" s="1">
        <v>0</v>
      </c>
      <c r="G150" s="1">
        <v>0</v>
      </c>
      <c r="H150" s="1">
        <f t="shared" si="48"/>
        <v>60</v>
      </c>
      <c r="M150" s="1">
        <f t="shared" si="44"/>
        <v>60</v>
      </c>
      <c r="N150" s="1">
        <f t="shared" si="45"/>
        <v>2.5</v>
      </c>
    </row>
    <row r="151" spans="1:14" x14ac:dyDescent="0.25">
      <c r="A151">
        <v>4</v>
      </c>
      <c r="B151" t="s">
        <v>22</v>
      </c>
      <c r="C151" t="s">
        <v>19</v>
      </c>
      <c r="D151" t="s">
        <v>1</v>
      </c>
      <c r="E151" t="s">
        <v>14</v>
      </c>
      <c r="F151" s="1">
        <f>649.99*4</f>
        <v>2599.96</v>
      </c>
      <c r="G151" s="1">
        <v>0</v>
      </c>
      <c r="H151" s="1">
        <f t="shared" si="48"/>
        <v>60</v>
      </c>
      <c r="M151" s="1">
        <f t="shared" si="44"/>
        <v>2659.96</v>
      </c>
      <c r="N151" s="1">
        <f t="shared" si="45"/>
        <v>110.83166666666666</v>
      </c>
    </row>
    <row r="152" spans="1:14" x14ac:dyDescent="0.25">
      <c r="A152">
        <v>4</v>
      </c>
      <c r="B152" t="s">
        <v>22</v>
      </c>
      <c r="C152" t="s">
        <v>19</v>
      </c>
      <c r="D152" t="s">
        <v>16</v>
      </c>
      <c r="E152" t="s">
        <v>14</v>
      </c>
      <c r="F152" s="1">
        <f>900*4</f>
        <v>3600</v>
      </c>
      <c r="G152" s="1">
        <v>0</v>
      </c>
      <c r="H152" s="1">
        <f t="shared" si="48"/>
        <v>60</v>
      </c>
      <c r="M152" s="1">
        <f t="shared" si="44"/>
        <v>3660</v>
      </c>
      <c r="N152" s="1">
        <f t="shared" si="45"/>
        <v>152.5</v>
      </c>
    </row>
    <row r="153" spans="1:14" x14ac:dyDescent="0.25">
      <c r="A153">
        <v>4</v>
      </c>
      <c r="B153" t="s">
        <v>22</v>
      </c>
      <c r="C153" t="s">
        <v>19</v>
      </c>
      <c r="D153" t="s">
        <v>0</v>
      </c>
      <c r="E153" t="s">
        <v>15</v>
      </c>
      <c r="F153" s="1">
        <v>0</v>
      </c>
      <c r="G153" s="1">
        <v>0</v>
      </c>
      <c r="H153" s="1">
        <f t="shared" si="48"/>
        <v>60</v>
      </c>
      <c r="M153" s="1">
        <f t="shared" si="44"/>
        <v>60</v>
      </c>
      <c r="N153" s="1">
        <f t="shared" si="45"/>
        <v>2.5</v>
      </c>
    </row>
    <row r="154" spans="1:14" x14ac:dyDescent="0.25">
      <c r="A154">
        <v>4</v>
      </c>
      <c r="B154" t="s">
        <v>22</v>
      </c>
      <c r="C154" t="s">
        <v>19</v>
      </c>
      <c r="D154" t="s">
        <v>1</v>
      </c>
      <c r="E154" t="s">
        <v>15</v>
      </c>
      <c r="F154" s="1">
        <f>649.99*4</f>
        <v>2599.96</v>
      </c>
      <c r="G154" s="1">
        <v>0</v>
      </c>
      <c r="H154" s="1">
        <f t="shared" si="48"/>
        <v>60</v>
      </c>
      <c r="M154" s="1">
        <f t="shared" ref="M154:M155" si="49">SUM(F154:L154)</f>
        <v>2659.96</v>
      </c>
      <c r="N154" s="1">
        <f t="shared" si="45"/>
        <v>110.83166666666666</v>
      </c>
    </row>
    <row r="155" spans="1:14" x14ac:dyDescent="0.25">
      <c r="A155">
        <v>4</v>
      </c>
      <c r="B155" t="s">
        <v>22</v>
      </c>
      <c r="C155" t="s">
        <v>19</v>
      </c>
      <c r="D155" t="s">
        <v>16</v>
      </c>
      <c r="E155" t="s">
        <v>15</v>
      </c>
      <c r="F155" s="1">
        <f>900*4</f>
        <v>3600</v>
      </c>
      <c r="G155" s="1">
        <v>0</v>
      </c>
      <c r="H155" s="1">
        <f t="shared" si="48"/>
        <v>60</v>
      </c>
      <c r="M155" s="1">
        <f t="shared" si="49"/>
        <v>3660</v>
      </c>
      <c r="N155" s="1">
        <f t="shared" si="45"/>
        <v>152.5</v>
      </c>
    </row>
  </sheetData>
  <autoFilter ref="A1:A15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C17" sqref="C17"/>
    </sheetView>
  </sheetViews>
  <sheetFormatPr defaultRowHeight="15" x14ac:dyDescent="0.25"/>
  <cols>
    <col min="1" max="1" width="20.42578125" customWidth="1"/>
    <col min="3" max="3" width="92" bestFit="1" customWidth="1"/>
    <col min="4" max="4" width="16" bestFit="1" customWidth="1"/>
    <col min="5" max="5" width="31" bestFit="1" customWidth="1"/>
  </cols>
  <sheetData>
    <row r="1" spans="1:6" x14ac:dyDescent="0.25">
      <c r="A1" s="32" t="s">
        <v>235</v>
      </c>
      <c r="B1" s="32" t="s">
        <v>227</v>
      </c>
      <c r="C1" s="32" t="s">
        <v>222</v>
      </c>
      <c r="D1" s="32" t="s">
        <v>223</v>
      </c>
      <c r="E1" s="32" t="s">
        <v>224</v>
      </c>
    </row>
    <row r="2" spans="1:6" ht="15" customHeight="1" x14ac:dyDescent="0.25">
      <c r="A2" s="8" t="s">
        <v>232</v>
      </c>
      <c r="B2" s="8" t="s">
        <v>230</v>
      </c>
      <c r="C2" s="31" t="s">
        <v>218</v>
      </c>
      <c r="D2" s="28" t="s">
        <v>219</v>
      </c>
      <c r="E2" s="8" t="s">
        <v>231</v>
      </c>
    </row>
    <row r="3" spans="1:6" ht="15" customHeight="1" x14ac:dyDescent="0.25">
      <c r="A3" s="152" t="s">
        <v>233</v>
      </c>
      <c r="B3" s="8" t="s">
        <v>229</v>
      </c>
      <c r="C3" s="31" t="s">
        <v>220</v>
      </c>
      <c r="D3" s="28" t="s">
        <v>221</v>
      </c>
      <c r="E3" s="8" t="s">
        <v>226</v>
      </c>
    </row>
    <row r="4" spans="1:6" ht="15" customHeight="1" x14ac:dyDescent="0.25">
      <c r="A4" s="153"/>
      <c r="B4" s="8" t="s">
        <v>230</v>
      </c>
      <c r="C4" s="30" t="s">
        <v>215</v>
      </c>
      <c r="D4" s="28" t="s">
        <v>216</v>
      </c>
      <c r="E4" s="8" t="s">
        <v>226</v>
      </c>
    </row>
    <row r="5" spans="1:6" ht="15" customHeight="1" x14ac:dyDescent="0.25">
      <c r="A5" s="153"/>
      <c r="B5" s="8" t="s">
        <v>230</v>
      </c>
      <c r="C5" s="30" t="s">
        <v>291</v>
      </c>
      <c r="D5" s="28" t="s">
        <v>147</v>
      </c>
      <c r="E5" s="8" t="s">
        <v>226</v>
      </c>
    </row>
    <row r="6" spans="1:6" ht="15" customHeight="1" x14ac:dyDescent="0.25">
      <c r="A6" s="153"/>
      <c r="B6" s="8" t="s">
        <v>228</v>
      </c>
      <c r="C6" s="31" t="s">
        <v>260</v>
      </c>
      <c r="D6" s="28" t="s">
        <v>147</v>
      </c>
      <c r="E6" s="8" t="s">
        <v>226</v>
      </c>
    </row>
    <row r="7" spans="1:6" ht="15" customHeight="1" x14ac:dyDescent="0.25">
      <c r="A7" s="154"/>
      <c r="B7" s="8" t="s">
        <v>228</v>
      </c>
      <c r="C7" s="31" t="s">
        <v>261</v>
      </c>
      <c r="D7" s="28" t="s">
        <v>147</v>
      </c>
      <c r="E7" s="8" t="s">
        <v>226</v>
      </c>
    </row>
    <row r="8" spans="1:6" ht="15" customHeight="1" x14ac:dyDescent="0.25">
      <c r="A8" s="155" t="s">
        <v>237</v>
      </c>
      <c r="B8" s="10" t="s">
        <v>229</v>
      </c>
      <c r="C8" s="36" t="s">
        <v>76</v>
      </c>
      <c r="D8" s="37" t="s">
        <v>44</v>
      </c>
      <c r="E8" s="10" t="s">
        <v>262</v>
      </c>
    </row>
    <row r="9" spans="1:6" ht="15" customHeight="1" x14ac:dyDescent="0.25">
      <c r="A9" s="156"/>
      <c r="B9" s="8" t="s">
        <v>230</v>
      </c>
      <c r="C9" s="31" t="s">
        <v>217</v>
      </c>
      <c r="D9" s="28" t="s">
        <v>144</v>
      </c>
      <c r="E9" s="8" t="s">
        <v>225</v>
      </c>
    </row>
    <row r="10" spans="1:6" ht="15" customHeight="1" x14ac:dyDescent="0.25">
      <c r="A10" s="157"/>
      <c r="B10" s="8" t="s">
        <v>229</v>
      </c>
      <c r="C10" s="30" t="s">
        <v>207</v>
      </c>
      <c r="D10" s="29" t="s">
        <v>161</v>
      </c>
      <c r="E10" s="8" t="s">
        <v>225</v>
      </c>
    </row>
    <row r="11" spans="1:6" ht="15" customHeight="1" x14ac:dyDescent="0.25">
      <c r="A11" s="152" t="s">
        <v>236</v>
      </c>
      <c r="B11" s="8" t="s">
        <v>228</v>
      </c>
      <c r="C11" s="30" t="s">
        <v>249</v>
      </c>
      <c r="D11" s="29" t="s">
        <v>160</v>
      </c>
      <c r="E11" s="8" t="s">
        <v>248</v>
      </c>
    </row>
    <row r="12" spans="1:6" ht="15" customHeight="1" x14ac:dyDescent="0.25">
      <c r="A12" s="154"/>
      <c r="B12" s="8" t="s">
        <v>228</v>
      </c>
      <c r="C12" s="30" t="s">
        <v>210</v>
      </c>
      <c r="D12" s="28" t="s">
        <v>147</v>
      </c>
      <c r="E12" s="8" t="s">
        <v>244</v>
      </c>
    </row>
    <row r="13" spans="1:6" ht="15" customHeight="1" x14ac:dyDescent="0.25">
      <c r="A13" s="152" t="s">
        <v>234</v>
      </c>
      <c r="B13" s="8" t="s">
        <v>229</v>
      </c>
      <c r="C13" s="30" t="s">
        <v>206</v>
      </c>
      <c r="D13" s="28">
        <v>1</v>
      </c>
      <c r="E13" s="8" t="s">
        <v>238</v>
      </c>
    </row>
    <row r="14" spans="1:6" ht="15" customHeight="1" x14ac:dyDescent="0.25">
      <c r="A14" s="153"/>
      <c r="B14" s="8" t="s">
        <v>229</v>
      </c>
      <c r="C14" s="30" t="s">
        <v>213</v>
      </c>
      <c r="D14" s="28" t="s">
        <v>214</v>
      </c>
      <c r="E14" s="8" t="s">
        <v>243</v>
      </c>
      <c r="F14" t="s">
        <v>263</v>
      </c>
    </row>
    <row r="15" spans="1:6" ht="15" customHeight="1" x14ac:dyDescent="0.25">
      <c r="A15" s="153"/>
      <c r="B15" s="8" t="s">
        <v>229</v>
      </c>
      <c r="C15" s="30" t="s">
        <v>208</v>
      </c>
      <c r="D15" s="28">
        <v>0</v>
      </c>
      <c r="E15" s="8" t="s">
        <v>239</v>
      </c>
    </row>
    <row r="16" spans="1:6" ht="15.75" customHeight="1" x14ac:dyDescent="0.25">
      <c r="A16" s="153"/>
      <c r="B16" s="8" t="s">
        <v>229</v>
      </c>
      <c r="C16" s="30" t="s">
        <v>209</v>
      </c>
      <c r="D16" s="28" t="s">
        <v>147</v>
      </c>
      <c r="E16" s="8" t="s">
        <v>240</v>
      </c>
    </row>
    <row r="17" spans="1:5" ht="15" customHeight="1" x14ac:dyDescent="0.25">
      <c r="A17" s="153"/>
      <c r="B17" s="8" t="s">
        <v>230</v>
      </c>
      <c r="C17" s="30" t="s">
        <v>241</v>
      </c>
      <c r="D17" s="28" t="s">
        <v>245</v>
      </c>
      <c r="E17" s="8" t="s">
        <v>242</v>
      </c>
    </row>
    <row r="18" spans="1:5" x14ac:dyDescent="0.25">
      <c r="A18" s="154"/>
      <c r="B18" s="8" t="s">
        <v>228</v>
      </c>
      <c r="C18" s="30" t="s">
        <v>211</v>
      </c>
      <c r="D18" s="28" t="s">
        <v>212</v>
      </c>
      <c r="E18" s="8" t="s">
        <v>242</v>
      </c>
    </row>
    <row r="20" spans="1:5" x14ac:dyDescent="0.25">
      <c r="A20" s="32"/>
    </row>
    <row r="21" spans="1:5" x14ac:dyDescent="0.25">
      <c r="A21" t="s">
        <v>325</v>
      </c>
    </row>
    <row r="22" spans="1:5" x14ac:dyDescent="0.25">
      <c r="A22" t="s">
        <v>326</v>
      </c>
    </row>
    <row r="23" spans="1:5" x14ac:dyDescent="0.25">
      <c r="A23" t="s">
        <v>327</v>
      </c>
    </row>
  </sheetData>
  <mergeCells count="4">
    <mergeCell ref="A13:A18"/>
    <mergeCell ref="A3:A7"/>
    <mergeCell ref="A8:A10"/>
    <mergeCell ref="A11: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1"/>
  <sheetViews>
    <sheetView tabSelected="1" zoomScaleNormal="100" workbookViewId="0">
      <selection activeCell="C3" sqref="C3"/>
    </sheetView>
  </sheetViews>
  <sheetFormatPr defaultRowHeight="15" x14ac:dyDescent="0.25"/>
  <cols>
    <col min="1" max="1" width="21" bestFit="1" customWidth="1"/>
    <col min="2" max="2" width="32.42578125" bestFit="1" customWidth="1"/>
    <col min="3" max="3" width="27.85546875" bestFit="1" customWidth="1"/>
    <col min="4" max="4" width="16.28515625" bestFit="1" customWidth="1"/>
    <col min="6" max="6" width="11.85546875" bestFit="1" customWidth="1"/>
    <col min="7" max="7" width="12.28515625" bestFit="1" customWidth="1"/>
  </cols>
  <sheetData>
    <row r="1" spans="1:15" ht="18.75" x14ac:dyDescent="0.3">
      <c r="A1" s="104" t="s">
        <v>246</v>
      </c>
      <c r="B1" s="104"/>
      <c r="C1" s="97"/>
      <c r="D1" s="18"/>
      <c r="E1" s="96"/>
      <c r="F1" s="96"/>
      <c r="G1" s="96"/>
      <c r="H1" s="96"/>
      <c r="I1" s="96"/>
      <c r="J1" s="96"/>
      <c r="K1" s="96"/>
      <c r="L1" s="96"/>
      <c r="M1" s="96"/>
      <c r="N1" s="18"/>
      <c r="O1" s="18"/>
    </row>
    <row r="2" spans="1:15" ht="18.75" x14ac:dyDescent="0.3">
      <c r="A2" s="105" t="s">
        <v>9</v>
      </c>
      <c r="B2" s="108">
        <v>3</v>
      </c>
      <c r="C2" s="97"/>
      <c r="D2" s="18"/>
      <c r="E2" s="96"/>
      <c r="F2" s="96" t="s">
        <v>9</v>
      </c>
      <c r="G2" s="96">
        <v>1</v>
      </c>
      <c r="H2" s="96">
        <v>2</v>
      </c>
      <c r="I2" s="96">
        <v>3</v>
      </c>
      <c r="J2" s="96">
        <v>4</v>
      </c>
      <c r="K2" s="96">
        <v>5</v>
      </c>
      <c r="L2" s="96">
        <v>6</v>
      </c>
      <c r="M2" s="96"/>
      <c r="N2" s="18"/>
      <c r="O2" s="18"/>
    </row>
    <row r="3" spans="1:15" ht="18.75" x14ac:dyDescent="0.3">
      <c r="A3" s="106" t="s">
        <v>197</v>
      </c>
      <c r="B3" s="109" t="s">
        <v>156</v>
      </c>
      <c r="C3" s="97"/>
      <c r="D3" s="18"/>
      <c r="E3" s="96"/>
      <c r="F3" s="96" t="s">
        <v>197</v>
      </c>
      <c r="G3" s="96" t="s">
        <v>156</v>
      </c>
      <c r="H3" s="96" t="s">
        <v>157</v>
      </c>
      <c r="I3" s="96"/>
      <c r="J3" s="96"/>
      <c r="K3" s="96"/>
      <c r="L3" s="96"/>
      <c r="M3" s="96"/>
      <c r="N3" s="18"/>
      <c r="O3" s="18"/>
    </row>
    <row r="4" spans="1:15" ht="18.75" x14ac:dyDescent="0.3">
      <c r="A4" s="107" t="s">
        <v>198</v>
      </c>
      <c r="B4" s="110" t="s">
        <v>230</v>
      </c>
      <c r="C4" s="97"/>
      <c r="D4" s="18"/>
      <c r="E4" s="96"/>
      <c r="F4" s="96" t="s">
        <v>198</v>
      </c>
      <c r="G4" s="96" t="s">
        <v>144</v>
      </c>
      <c r="H4" s="96" t="s">
        <v>228</v>
      </c>
      <c r="I4" s="96" t="s">
        <v>230</v>
      </c>
      <c r="J4" s="96" t="s">
        <v>229</v>
      </c>
      <c r="K4" s="96" t="s">
        <v>290</v>
      </c>
      <c r="L4" s="96"/>
      <c r="M4" s="96"/>
      <c r="N4" s="18"/>
      <c r="O4" s="18"/>
    </row>
    <row r="5" spans="1:15" ht="18.75" x14ac:dyDescent="0.3">
      <c r="A5" s="106" t="s">
        <v>344</v>
      </c>
      <c r="B5" s="109" t="s">
        <v>147</v>
      </c>
      <c r="C5" s="97"/>
      <c r="D5" s="18"/>
      <c r="E5" s="96"/>
      <c r="F5" s="96" t="s">
        <v>200</v>
      </c>
      <c r="G5" s="96" t="s">
        <v>195</v>
      </c>
      <c r="H5" s="96" t="s">
        <v>147</v>
      </c>
      <c r="I5" s="96"/>
      <c r="J5" s="96"/>
      <c r="K5" s="96"/>
      <c r="L5" s="96"/>
      <c r="M5" s="96"/>
      <c r="N5" s="18"/>
      <c r="O5" s="18"/>
    </row>
    <row r="6" spans="1:15" ht="18.75" x14ac:dyDescent="0.3">
      <c r="A6" s="107" t="s">
        <v>343</v>
      </c>
      <c r="B6" s="110">
        <v>1</v>
      </c>
      <c r="C6" s="97" t="s">
        <v>373</v>
      </c>
      <c r="D6" s="18"/>
      <c r="E6" s="96"/>
      <c r="F6" s="96" t="s">
        <v>201</v>
      </c>
      <c r="G6" s="96" t="s">
        <v>139</v>
      </c>
      <c r="H6" s="96" t="s">
        <v>361</v>
      </c>
      <c r="I6" s="96" t="s">
        <v>362</v>
      </c>
      <c r="J6" s="96" t="s">
        <v>363</v>
      </c>
      <c r="K6" s="96" t="s">
        <v>364</v>
      </c>
      <c r="L6" s="96"/>
      <c r="M6" s="96"/>
      <c r="N6" s="18"/>
      <c r="O6" s="18"/>
    </row>
    <row r="7" spans="1:15" ht="18.75" x14ac:dyDescent="0.3">
      <c r="A7" s="106" t="s">
        <v>355</v>
      </c>
      <c r="B7" s="109" t="s">
        <v>379</v>
      </c>
      <c r="C7" s="97"/>
      <c r="D7" s="18"/>
      <c r="E7" s="96"/>
      <c r="F7" s="96" t="s">
        <v>330</v>
      </c>
      <c r="G7" s="96" t="str">
        <f>A23</f>
        <v>ATT</v>
      </c>
      <c r="H7" s="96" t="str">
        <f>A29</f>
        <v>Verizon</v>
      </c>
      <c r="I7" s="96" t="str">
        <f>A20</f>
        <v>T-Mobile</v>
      </c>
      <c r="J7" s="96" t="str">
        <f>A26</f>
        <v>Sprint</v>
      </c>
      <c r="K7" s="96" t="s">
        <v>205</v>
      </c>
      <c r="L7" s="96" t="s">
        <v>341</v>
      </c>
      <c r="M7" s="96"/>
      <c r="N7" s="18"/>
      <c r="O7" s="18"/>
    </row>
    <row r="8" spans="1:15" ht="18.75" x14ac:dyDescent="0.3">
      <c r="A8" s="107" t="s">
        <v>356</v>
      </c>
      <c r="B8" s="110" t="s">
        <v>380</v>
      </c>
      <c r="C8" s="97" t="s">
        <v>373</v>
      </c>
      <c r="D8" s="18"/>
      <c r="E8" s="96"/>
      <c r="F8" s="96" t="s">
        <v>331</v>
      </c>
      <c r="G8" s="96" t="s">
        <v>195</v>
      </c>
      <c r="H8" s="96" t="s">
        <v>147</v>
      </c>
      <c r="I8" s="96" t="s">
        <v>366</v>
      </c>
      <c r="J8" s="96"/>
      <c r="K8" s="96"/>
      <c r="L8" s="96"/>
      <c r="M8" s="96"/>
      <c r="N8" s="18"/>
      <c r="O8" s="18"/>
    </row>
    <row r="9" spans="1:15" ht="18.75" x14ac:dyDescent="0.3">
      <c r="A9" s="106" t="s">
        <v>357</v>
      </c>
      <c r="B9" s="109" t="s">
        <v>384</v>
      </c>
      <c r="C9" s="97" t="s">
        <v>373</v>
      </c>
      <c r="D9" s="18"/>
      <c r="E9" s="96"/>
      <c r="F9" s="96" t="s">
        <v>343</v>
      </c>
      <c r="G9" s="96">
        <v>1</v>
      </c>
      <c r="H9" s="96">
        <v>2</v>
      </c>
      <c r="I9" s="96">
        <v>3</v>
      </c>
      <c r="J9" s="96">
        <v>4</v>
      </c>
      <c r="K9" s="96">
        <v>5</v>
      </c>
      <c r="L9" s="96">
        <v>6</v>
      </c>
      <c r="M9" s="96"/>
      <c r="N9" s="18"/>
      <c r="O9" s="18"/>
    </row>
    <row r="10" spans="1:15" ht="18.75" x14ac:dyDescent="0.3">
      <c r="A10" s="107" t="s">
        <v>358</v>
      </c>
      <c r="B10" s="110" t="s">
        <v>382</v>
      </c>
      <c r="C10" s="97" t="s">
        <v>373</v>
      </c>
      <c r="D10" s="18"/>
      <c r="E10" s="96"/>
      <c r="F10" s="96"/>
      <c r="G10" s="96"/>
      <c r="H10" s="96"/>
      <c r="I10" s="96"/>
      <c r="J10" s="96"/>
      <c r="K10" s="96"/>
      <c r="L10" s="96"/>
      <c r="M10" s="96"/>
      <c r="N10" s="18"/>
      <c r="O10" s="18"/>
    </row>
    <row r="11" spans="1:15" ht="18.75" x14ac:dyDescent="0.3">
      <c r="A11" s="106" t="s">
        <v>359</v>
      </c>
      <c r="B11" s="109" t="s">
        <v>392</v>
      </c>
      <c r="C11" s="97" t="s">
        <v>373</v>
      </c>
      <c r="D11" s="18"/>
      <c r="E11" s="96"/>
      <c r="F11" s="96"/>
      <c r="G11" s="96"/>
      <c r="H11" s="96"/>
      <c r="I11" s="96"/>
      <c r="J11" s="96"/>
      <c r="K11" s="96"/>
      <c r="L11" s="96"/>
      <c r="M11" s="96"/>
      <c r="N11" s="18"/>
      <c r="O11" s="18"/>
    </row>
    <row r="12" spans="1:15" ht="18.75" x14ac:dyDescent="0.3">
      <c r="A12" s="107" t="s">
        <v>360</v>
      </c>
      <c r="B12" s="110" t="s">
        <v>394</v>
      </c>
      <c r="C12" s="97" t="s">
        <v>373</v>
      </c>
      <c r="D12" s="18"/>
      <c r="E12" s="96"/>
      <c r="F12" s="96"/>
      <c r="G12" s="96"/>
      <c r="H12" s="96"/>
      <c r="I12" s="96"/>
      <c r="J12" s="96"/>
      <c r="K12" s="96"/>
      <c r="L12" s="96"/>
      <c r="M12" s="96"/>
      <c r="N12" s="18"/>
      <c r="O12" s="18"/>
    </row>
    <row r="13" spans="1:15" ht="18.75" x14ac:dyDescent="0.3">
      <c r="A13" s="106" t="s">
        <v>330</v>
      </c>
      <c r="B13" s="109" t="s">
        <v>305</v>
      </c>
      <c r="C13" s="97"/>
      <c r="D13" s="18"/>
      <c r="E13" s="96"/>
      <c r="F13" s="96"/>
      <c r="G13" s="96"/>
      <c r="H13" s="96"/>
      <c r="I13" s="96"/>
      <c r="J13" s="96"/>
      <c r="K13" s="96"/>
      <c r="L13" s="96"/>
      <c r="M13" s="96"/>
      <c r="N13" s="18"/>
      <c r="O13" s="18"/>
    </row>
    <row r="14" spans="1:15" ht="18.75" x14ac:dyDescent="0.3">
      <c r="A14" s="130" t="s">
        <v>331</v>
      </c>
      <c r="B14" s="131" t="s">
        <v>195</v>
      </c>
      <c r="C14" s="9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ht="18.75" x14ac:dyDescent="0.3">
      <c r="A15" s="132" t="s">
        <v>410</v>
      </c>
      <c r="B15" s="133"/>
      <c r="C15" s="9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ht="18.75" x14ac:dyDescent="0.3">
      <c r="A16" s="97"/>
      <c r="B16" s="97"/>
      <c r="C16" s="97"/>
      <c r="D16" s="18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</row>
    <row r="17" spans="1:15" ht="18.75" x14ac:dyDescent="0.25">
      <c r="A17" s="98" t="s">
        <v>337</v>
      </c>
      <c r="B17" s="99" t="s">
        <v>11</v>
      </c>
      <c r="C17" s="100" t="s">
        <v>63</v>
      </c>
      <c r="D17" s="139" t="str">
        <f>'Calculator detail'!E30</f>
        <v>Upfront Pmt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8.75" x14ac:dyDescent="0.25">
      <c r="A18" s="111">
        <f>'Calculator detail'!B31</f>
        <v>110</v>
      </c>
      <c r="B18" s="111" t="str">
        <f>'Calculator detail'!C31</f>
        <v>T-Mobile</v>
      </c>
      <c r="C18" s="112" t="str">
        <f>'Calculator detail'!D31</f>
        <v xml:space="preserve">Bring your Own </v>
      </c>
      <c r="D18" s="140">
        <f>'Calculator detail'!E31</f>
        <v>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8.75" x14ac:dyDescent="0.3">
      <c r="A19" s="101"/>
      <c r="B19" s="102"/>
      <c r="C19" s="9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8.75" x14ac:dyDescent="0.3">
      <c r="A20" s="103" t="str">
        <f>'Calculator detail'!B33</f>
        <v>T-Mobile</v>
      </c>
      <c r="B20" s="120">
        <f>'Calculator detail'!B34</f>
        <v>110</v>
      </c>
      <c r="C20" s="123">
        <f>'Calculator detail'!M31</f>
        <v>175</v>
      </c>
      <c r="D20" s="123">
        <f>'Calculator detail'!E34</f>
        <v>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8.75" x14ac:dyDescent="0.3">
      <c r="A21" s="103" t="s">
        <v>63</v>
      </c>
      <c r="B21" s="121" t="str">
        <f>IF(ISERROR(IF('Calculator detail'!D34="",'Calculator detail'!C34,CONCATENATE('Calculator detail'!C34," or ",'Calculator detail'!D34))),"N/A",IF('Calculator detail'!D34="",'Calculator detail'!C34,CONCATENATE('Calculator detail'!C34," or ",'Calculator detail'!D34)))</f>
        <v xml:space="preserve">Bring your Own </v>
      </c>
      <c r="C21" s="124" t="s">
        <v>400</v>
      </c>
      <c r="D21" s="124" t="s">
        <v>409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8.75" x14ac:dyDescent="0.3">
      <c r="A22" s="97"/>
      <c r="B22" s="122"/>
      <c r="C22" s="125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8.75" x14ac:dyDescent="0.3">
      <c r="A23" s="103" t="str">
        <f>'Calculator detail'!B35</f>
        <v>ATT</v>
      </c>
      <c r="B23" s="120">
        <f>'Calculator detail'!B36</f>
        <v>150</v>
      </c>
      <c r="C23" s="123">
        <f>'Calculator detail'!M34</f>
        <v>215</v>
      </c>
      <c r="D23" s="123">
        <f>'Calculator detail'!E36</f>
        <v>120</v>
      </c>
    </row>
    <row r="24" spans="1:15" ht="18.75" x14ac:dyDescent="0.3">
      <c r="A24" s="103" t="s">
        <v>63</v>
      </c>
      <c r="B24" s="121" t="str">
        <f>IF(ISERROR(IF('Calculator detail'!D36="",'Calculator detail'!C36,CONCATENATE('Calculator detail'!C36," or ",'Calculator detail'!D36))),"N/A",IF('Calculator detail'!D36="",'Calculator detail'!C36,CONCATENATE('Calculator detail'!C36," or ",'Calculator detail'!D36)))</f>
        <v xml:space="preserve">Bring your Own </v>
      </c>
      <c r="C24" s="124" t="s">
        <v>400</v>
      </c>
      <c r="D24" s="124" t="s">
        <v>409</v>
      </c>
    </row>
    <row r="25" spans="1:15" ht="18.75" x14ac:dyDescent="0.3">
      <c r="A25" s="97"/>
      <c r="B25" s="122"/>
      <c r="C25" s="125"/>
    </row>
    <row r="26" spans="1:15" ht="18.75" x14ac:dyDescent="0.3">
      <c r="A26" s="103" t="str">
        <f>'Calculator detail'!B37</f>
        <v>Sprint</v>
      </c>
      <c r="B26" s="120">
        <f>'Calculator detail'!B38</f>
        <v>219.49875</v>
      </c>
      <c r="C26" s="123">
        <f>'Calculator detail'!M37</f>
        <v>214.5</v>
      </c>
      <c r="D26" s="123">
        <f>'Calculator detail'!E38</f>
        <v>707.97</v>
      </c>
    </row>
    <row r="27" spans="1:15" ht="18.75" x14ac:dyDescent="0.3">
      <c r="A27" s="103" t="s">
        <v>63</v>
      </c>
      <c r="B27" s="121" t="str">
        <f>IF(ISERROR(IF('Calculator detail'!D38="",'Calculator detail'!C38,CONCATENATE('Calculator detail'!C38," or ",'Calculator detail'!D38))),"",IF('Calculator detail'!D38="",'Calculator detail'!C38,CONCATENATE('Calculator detail'!C38," or ",'Calculator detail'!D38)))</f>
        <v>Discount</v>
      </c>
      <c r="C27" s="124" t="s">
        <v>400</v>
      </c>
      <c r="D27" s="124" t="s">
        <v>409</v>
      </c>
    </row>
    <row r="28" spans="1:15" ht="18.75" x14ac:dyDescent="0.3">
      <c r="A28" s="97"/>
      <c r="B28" s="122"/>
      <c r="C28" s="125"/>
    </row>
    <row r="29" spans="1:15" ht="18.75" x14ac:dyDescent="0.3">
      <c r="A29" s="103" t="str">
        <f>'Calculator detail'!B39</f>
        <v>Verizon</v>
      </c>
      <c r="B29" s="120">
        <f>'Calculator detail'!B40</f>
        <v>183.74874999999997</v>
      </c>
      <c r="C29" s="123">
        <f>'Calculator detail'!M40</f>
        <v>260</v>
      </c>
      <c r="D29" s="123">
        <f>'Calculator detail'!E40</f>
        <v>0</v>
      </c>
    </row>
    <row r="30" spans="1:15" ht="18.75" x14ac:dyDescent="0.3">
      <c r="A30" s="103" t="s">
        <v>63</v>
      </c>
      <c r="B30" s="121" t="str">
        <f>IF(ISERROR(IF('Calculator detail'!D40="",'Calculator detail'!C40,CONCATENATE('Calculator detail'!C40," or ",'Calculator detail'!D40))),"",IF('Calculator detail'!D40="",'Calculator detail'!C40,CONCATENATE('Calculator detail'!C40," or ",'Calculator detail'!D40)))</f>
        <v>Finance</v>
      </c>
      <c r="C30" s="124" t="s">
        <v>400</v>
      </c>
      <c r="D30" s="124" t="s">
        <v>409</v>
      </c>
    </row>
    <row r="31" spans="1:15" ht="18.75" x14ac:dyDescent="0.3">
      <c r="A31" s="97"/>
      <c r="B31" s="97"/>
      <c r="C31" s="97"/>
    </row>
  </sheetData>
  <dataValidations count="7">
    <dataValidation type="list" allowBlank="1" showInputMessage="1" showErrorMessage="1" sqref="B2">
      <formula1>$G$2:$L$2</formula1>
    </dataValidation>
    <dataValidation type="list" allowBlank="1" showInputMessage="1" showErrorMessage="1" sqref="B3">
      <formula1>$G$3:$H$3</formula1>
    </dataValidation>
    <dataValidation type="list" allowBlank="1" showInputMessage="1" showErrorMessage="1" sqref="B4">
      <formula1>$G$4:$K$4</formula1>
    </dataValidation>
    <dataValidation type="list" allowBlank="1" showInputMessage="1" showErrorMessage="1" sqref="B5">
      <formula1>$G$5:$H$5</formula1>
    </dataValidation>
    <dataValidation type="list" allowBlank="1" showInputMessage="1" showErrorMessage="1" sqref="B13">
      <formula1>$G$7:$L$7</formula1>
    </dataValidation>
    <dataValidation type="list" allowBlank="1" showInputMessage="1" showErrorMessage="1" sqref="B14:B15">
      <formula1>$G$8:$H$8</formula1>
    </dataValidation>
    <dataValidation type="list" allowBlank="1" showInputMessage="1" showErrorMessage="1" sqref="B6">
      <formula1>$G$9:$L$9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'Phone Pricing'!$K$3:$Y$3</xm:f>
          </x14:formula1>
          <xm:sqref>B7:B12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J45"/>
  <sheetViews>
    <sheetView zoomScaleNormal="100" workbookViewId="0">
      <selection activeCell="G36" sqref="G36"/>
    </sheetView>
  </sheetViews>
  <sheetFormatPr defaultRowHeight="15" x14ac:dyDescent="0.25"/>
  <cols>
    <col min="1" max="1" width="1.140625" customWidth="1"/>
    <col min="2" max="2" width="20.85546875" bestFit="1" customWidth="1"/>
    <col min="3" max="3" width="25" bestFit="1" customWidth="1"/>
    <col min="4" max="4" width="16.28515625" bestFit="1" customWidth="1"/>
    <col min="5" max="5" width="14.5703125" customWidth="1"/>
    <col min="6" max="6" width="10" customWidth="1"/>
    <col min="7" max="7" width="14" customWidth="1"/>
    <col min="10" max="10" width="20.85546875" bestFit="1" customWidth="1"/>
    <col min="11" max="11" width="12.7109375" bestFit="1" customWidth="1"/>
    <col min="12" max="14" width="11.140625" bestFit="1" customWidth="1"/>
    <col min="15" max="15" width="12.7109375" bestFit="1" customWidth="1"/>
    <col min="17" max="17" width="20.85546875" bestFit="1" customWidth="1"/>
    <col min="18" max="18" width="11.42578125" bestFit="1" customWidth="1"/>
    <col min="19" max="21" width="11.140625" bestFit="1" customWidth="1"/>
    <col min="22" max="22" width="11.85546875" bestFit="1" customWidth="1"/>
    <col min="24" max="24" width="20.85546875" bestFit="1" customWidth="1"/>
    <col min="25" max="25" width="11.7109375" bestFit="1" customWidth="1"/>
    <col min="26" max="28" width="11.140625" bestFit="1" customWidth="1"/>
    <col min="29" max="29" width="11.85546875" bestFit="1" customWidth="1"/>
    <col min="31" max="31" width="20.85546875" bestFit="1" customWidth="1"/>
    <col min="32" max="32" width="19.7109375" bestFit="1" customWidth="1"/>
    <col min="33" max="35" width="11.140625" bestFit="1" customWidth="1"/>
    <col min="36" max="36" width="19.7109375" bestFit="1" customWidth="1"/>
  </cols>
  <sheetData>
    <row r="1" spans="2:35" ht="4.5" customHeight="1" thickBot="1" x14ac:dyDescent="0.3">
      <c r="B1" s="50"/>
      <c r="C1" s="50"/>
    </row>
    <row r="2" spans="2:35" ht="15.75" x14ac:dyDescent="0.25">
      <c r="B2" s="58" t="s">
        <v>246</v>
      </c>
      <c r="C2" s="59"/>
    </row>
    <row r="3" spans="2:35" ht="15.75" x14ac:dyDescent="0.25">
      <c r="B3" s="60" t="s">
        <v>9</v>
      </c>
      <c r="C3" s="61">
        <f>'Input-Output summary'!B2</f>
        <v>3</v>
      </c>
    </row>
    <row r="4" spans="2:35" ht="15.75" x14ac:dyDescent="0.25">
      <c r="B4" s="62" t="s">
        <v>197</v>
      </c>
      <c r="C4" s="63" t="str">
        <f>'Input-Output summary'!B3</f>
        <v>Smartphone</v>
      </c>
    </row>
    <row r="5" spans="2:35" ht="15.75" x14ac:dyDescent="0.25">
      <c r="B5" s="64" t="s">
        <v>198</v>
      </c>
      <c r="C5" s="65" t="str">
        <f>'Input-Output summary'!B4</f>
        <v>Medium</v>
      </c>
    </row>
    <row r="6" spans="2:35" ht="15.75" x14ac:dyDescent="0.25">
      <c r="B6" s="62" t="s">
        <v>344</v>
      </c>
      <c r="C6" s="63" t="str">
        <f>'Input-Output summary'!B5</f>
        <v>No</v>
      </c>
    </row>
    <row r="7" spans="2:35" ht="15.75" x14ac:dyDescent="0.25">
      <c r="B7" s="64" t="s">
        <v>343</v>
      </c>
      <c r="C7" s="65">
        <f>'Input-Output summary'!B6</f>
        <v>1</v>
      </c>
    </row>
    <row r="8" spans="2:35" ht="15.75" x14ac:dyDescent="0.25">
      <c r="B8" s="62" t="s">
        <v>355</v>
      </c>
      <c r="C8" s="63" t="str">
        <f>'Input-Output summary'!B7</f>
        <v>iPhone 6 16GB</v>
      </c>
    </row>
    <row r="9" spans="2:35" ht="15.75" x14ac:dyDescent="0.25">
      <c r="B9" s="64" t="s">
        <v>356</v>
      </c>
      <c r="C9" s="65" t="str">
        <f>'Input-Output summary'!B8</f>
        <v>iPhone 6 Plus 16GB</v>
      </c>
    </row>
    <row r="10" spans="2:35" ht="15.75" x14ac:dyDescent="0.25">
      <c r="B10" s="62" t="s">
        <v>357</v>
      </c>
      <c r="C10" s="63" t="str">
        <f>'Input-Output summary'!B9</f>
        <v>HTC One M9</v>
      </c>
    </row>
    <row r="11" spans="2:35" ht="15.75" x14ac:dyDescent="0.25">
      <c r="B11" s="64" t="s">
        <v>358</v>
      </c>
      <c r="C11" s="65" t="str">
        <f>'Input-Output summary'!B10</f>
        <v>Google Nexus 6 32GB</v>
      </c>
    </row>
    <row r="12" spans="2:35" ht="15.75" x14ac:dyDescent="0.25">
      <c r="B12" s="62" t="s">
        <v>359</v>
      </c>
      <c r="C12" s="63" t="str">
        <f>'Input-Output summary'!B11</f>
        <v xml:space="preserve">Samsung Galaxy S6 Edge </v>
      </c>
    </row>
    <row r="13" spans="2:35" ht="15.75" x14ac:dyDescent="0.25">
      <c r="B13" s="64" t="s">
        <v>360</v>
      </c>
      <c r="C13" s="65" t="str">
        <f>'Input-Output summary'!B12</f>
        <v>Sample Basic Phone</v>
      </c>
      <c r="AI13" s="68"/>
    </row>
    <row r="14" spans="2:35" ht="31.5" x14ac:dyDescent="0.25">
      <c r="B14" s="93" t="s">
        <v>372</v>
      </c>
      <c r="C14" s="63" t="str">
        <f>'Input-Output summary'!B13</f>
        <v>T-Mobile</v>
      </c>
    </row>
    <row r="15" spans="2:35" ht="15.75" x14ac:dyDescent="0.25">
      <c r="B15" s="64" t="s">
        <v>331</v>
      </c>
      <c r="C15" s="65" t="str">
        <f>'Input-Output summary'!B14</f>
        <v>Yes</v>
      </c>
    </row>
    <row r="16" spans="2:35" ht="15.75" x14ac:dyDescent="0.25">
      <c r="B16" s="93"/>
      <c r="C16" s="63"/>
    </row>
    <row r="17" spans="2:36" ht="16.5" thickBot="1" x14ac:dyDescent="0.3">
      <c r="B17" s="66"/>
      <c r="C17" s="67"/>
    </row>
    <row r="18" spans="2:36" ht="18" thickBot="1" x14ac:dyDescent="0.3">
      <c r="B18" s="56" t="s">
        <v>342</v>
      </c>
      <c r="C18" s="94" t="str">
        <f>IF(ISERROR(C21+C22-C24-C25/24+C26/24),"not available",C21+C22*VLOOKUP(C$20&amp;""&amp;$C$3&amp;""&amp;$C$5,'Plan Database'!$M$2:$P$261,4,FALSE)+C23*VLOOKUP(C$20&amp;""&amp;$C$3&amp;""&amp;$C$5,'Plan Database'!$M$2:$P$261,4,FALSE)-C24-C25*VLOOKUP(C$20&amp;""&amp;$C$3&amp;""&amp;$C$5,'Plan Database'!$M$2:$P$261,4,FALSE)/24+C26*VLOOKUP(C$20&amp;""&amp;$C$3&amp;""&amp;$C$5,'Plan Database'!$M$2:$P$261,4,FALSE)/24)</f>
        <v>not available</v>
      </c>
      <c r="D18" s="53">
        <f>IF(ISERROR(D21+D22-D24-D25/24+D26/24),"not available",D21+D22*VLOOKUP(D$20&amp;""&amp;$C$3&amp;""&amp;$C$5,'Plan Database'!$M$2:$P$261,4,FALSE)+D23*VLOOKUP(D$20&amp;""&amp;$C$3&amp;""&amp;$C$5,'Plan Database'!$M$2:$P$261,4,FALSE)-D24-D25*VLOOKUP(D$20&amp;""&amp;$C$3&amp;""&amp;$C$5,'Plan Database'!$M$2:$P$261,4,FALSE)/24+D26*VLOOKUP(D$20&amp;""&amp;$C$3&amp;""&amp;$C$5,'Plan Database'!$M$2:$P$261,4,FALSE)/24)</f>
        <v>219.99875</v>
      </c>
      <c r="E18" s="53">
        <f>IF(ISERROR(E21+E22-E24-E25/24+E26/24),"not available",E21+E22*VLOOKUP(E$20&amp;""&amp;$C$3&amp;""&amp;$C$5,'Plan Database'!$M$2:$P$261,4,FALSE)+E23*VLOOKUP(E$20&amp;""&amp;$C$3&amp;""&amp;$C$5,'Plan Database'!$M$2:$P$261,4,FALSE)-E24-E25*VLOOKUP(E$20&amp;""&amp;$C$3&amp;""&amp;$C$5,'Plan Database'!$M$2:$P$261,4,FALSE)/24+E26*VLOOKUP(E$20&amp;""&amp;$C$3&amp;""&amp;$C$5,'Plan Database'!$M$2:$P$261,4,FALSE)/24)</f>
        <v>219.49875</v>
      </c>
      <c r="F18" s="53">
        <f>IF(ISERROR(F21+F22-F24-F25/24+F26/24),"not available",F21+F22*VLOOKUP(F$20&amp;""&amp;$C$3&amp;""&amp;$C$5,'Plan Database'!$M$2:$P$261,4,FALSE)+F23*VLOOKUP(F$20&amp;""&amp;$C$3&amp;""&amp;$C$5,'Plan Database'!$M$2:$P$261,4,FALSE)-F24-F25*VLOOKUP(F$20&amp;""&amp;$C$3&amp;""&amp;$C$5,'Plan Database'!$M$2:$P$261,4,FALSE)/24+F26*VLOOKUP(F$20&amp;""&amp;$C$3&amp;""&amp;$C$5,'Plan Database'!$M$2:$P$261,4,FALSE)/24)</f>
        <v>219.99875</v>
      </c>
      <c r="G18" s="53" t="str">
        <f>IF(ISERROR(G21+G22-G24-G25/24+G26/24),"not available",G21+G22*VLOOKUP(G$20&amp;""&amp;$C$3&amp;""&amp;$C$5,'Plan Database'!$M$2:$P$261,4,FALSE)+G23*VLOOKUP(G$20&amp;""&amp;$C$3&amp;""&amp;$C$5,'Plan Database'!$M$2:$P$261,4,FALSE)-G24-G25*VLOOKUP(G$20&amp;""&amp;$C$3&amp;""&amp;$C$5,'Plan Database'!$M$2:$P$261,4,FALSE)/24+G26*VLOOKUP(G$20&amp;""&amp;$C$3&amp;""&amp;$C$5,'Plan Database'!$M$2:$P$261,4,FALSE)/24)</f>
        <v>not available</v>
      </c>
      <c r="H18" s="54"/>
      <c r="I18" s="54"/>
      <c r="J18" s="55"/>
      <c r="K18" s="53">
        <f>IF(ISERROR(K21+K22-K24-K25/24+K26/24),"not available",K21+K22*VLOOKUP(K$20&amp;""&amp;$C$3&amp;""&amp;$C$5,'Plan Database'!$M$2:$P$261,4,FALSE)+K23*VLOOKUP(K$20&amp;""&amp;$C$3&amp;""&amp;$C$5,'Plan Database'!$M$2:$P$261,4,FALSE)-K24-K25*VLOOKUP(K$20&amp;""&amp;$C$3&amp;""&amp;$C$5,'Plan Database'!$M$2:$P$261,4,FALSE)/24+K26*VLOOKUP(K$20&amp;""&amp;$C$3&amp;""&amp;$C$5,'Plan Database'!$M$2:$P$261,4,FALSE)/24)</f>
        <v>191.24</v>
      </c>
      <c r="L18" s="53">
        <f>IF(ISERROR(L21+L22-L24-L25/24+L26/24),"not available",L21+L22*VLOOKUP(L$20&amp;""&amp;$C$3&amp;""&amp;$C$5,'Plan Database'!$M$2:$P$261,4,FALSE)+L23*VLOOKUP(L$20&amp;""&amp;$C$3&amp;""&amp;$C$5,'Plan Database'!$M$2:$P$261,4,FALSE)-L24-L25*VLOOKUP(L$20&amp;""&amp;$C$3&amp;""&amp;$C$5,'Plan Database'!$M$2:$P$261,4,FALSE)/24+L26*VLOOKUP(L$20&amp;""&amp;$C$3&amp;""&amp;$C$5,'Plan Database'!$M$2:$P$261,4,FALSE)/24)</f>
        <v>231.24874999999997</v>
      </c>
      <c r="M18" s="53">
        <f>IF(ISERROR(M21+M22-M24-M25/24+M26/24),"not available",M21+M22*VLOOKUP(M$20&amp;""&amp;$C$3&amp;""&amp;$C$5,'Plan Database'!$M$2:$P$261,4,FALSE)+M23*VLOOKUP(M$20&amp;""&amp;$C$3&amp;""&amp;$C$5,'Plan Database'!$M$2:$P$261,4,FALSE)-M24-M25*VLOOKUP(M$20&amp;""&amp;$C$3&amp;""&amp;$C$5,'Plan Database'!$M$2:$P$261,4,FALSE)/24+M26*VLOOKUP(M$20&amp;""&amp;$C$3&amp;""&amp;$C$5,'Plan Database'!$M$2:$P$261,4,FALSE)/24)</f>
        <v>230.74874999999997</v>
      </c>
      <c r="N18" s="53">
        <f>IF(ISERROR(N21+N22-N24-N25/24+N26/24),"not available",N21+N22*VLOOKUP(N$20&amp;""&amp;$C$3&amp;""&amp;$C$5,'Plan Database'!$M$2:$P$261,4,FALSE)+N23*VLOOKUP(N$20&amp;""&amp;$C$3&amp;""&amp;$C$5,'Plan Database'!$M$2:$P$261,4,FALSE)-N24-N25*VLOOKUP(N$20&amp;""&amp;$C$3&amp;""&amp;$C$5,'Plan Database'!$M$2:$P$261,4,FALSE)/24+N26*VLOOKUP(N$20&amp;""&amp;$C$3&amp;""&amp;$C$5,'Plan Database'!$M$2:$P$261,4,FALSE)/24)</f>
        <v>276.24874999999997</v>
      </c>
      <c r="O18" s="53" t="str">
        <f>IF(ISERROR(O21+O22-O24-O25/24+O26/24),"not available",O21+O22*VLOOKUP(O$20&amp;""&amp;$C$3&amp;""&amp;$C$5,'Plan Database'!$M$2:$P$261,4,FALSE)+O23*VLOOKUP(O$20&amp;""&amp;$C$3&amp;""&amp;$C$5,'Plan Database'!$M$2:$P$261,4,FALSE)-O24-O25*VLOOKUP(O$20&amp;""&amp;$C$3&amp;""&amp;$C$5,'Plan Database'!$M$2:$P$261,4,FALSE)/24+O26*VLOOKUP(O$20&amp;""&amp;$C$3&amp;""&amp;$C$5,'Plan Database'!$M$2:$P$261,4,FALSE)/24)</f>
        <v>not available</v>
      </c>
      <c r="P18" s="54"/>
      <c r="Q18" s="55"/>
      <c r="R18" s="53">
        <f>IF(ISERROR(R21+R22-R24-R25/24+R26/24),"not available",R21+R22*VLOOKUP(R$20&amp;""&amp;$C$3&amp;""&amp;$C$5,'Plan Database'!$M$2:$P$261,4,FALSE)+R23*VLOOKUP(R$20&amp;""&amp;$C$3&amp;""&amp;$C$5,'Plan Database'!$M$2:$P$261,4,FALSE)-R24-R25*VLOOKUP(R$20&amp;""&amp;$C$3&amp;""&amp;$C$5,'Plan Database'!$M$2:$P$261,4,FALSE)/24+R26*VLOOKUP(R$20&amp;""&amp;$C$3&amp;""&amp;$C$5,'Plan Database'!$M$2:$P$261,4,FALSE)/24)</f>
        <v>191.24</v>
      </c>
      <c r="S18" s="53">
        <f>IF(ISERROR(S21+S22-S24-S25/24+S26/24),"not available",S21+S22*VLOOKUP(S$20&amp;""&amp;$C$3&amp;""&amp;$C$5,'Plan Database'!$M$2:$P$261,4,FALSE)+S23*VLOOKUP(S$20&amp;""&amp;$C$3&amp;""&amp;$C$5,'Plan Database'!$M$2:$P$261,4,FALSE)-S24-S25*VLOOKUP(S$20&amp;""&amp;$C$3&amp;""&amp;$C$5,'Plan Database'!$M$2:$P$261,4,FALSE)/24+S26*VLOOKUP(S$20&amp;""&amp;$C$3&amp;""&amp;$C$5,'Plan Database'!$M$2:$P$261,4,FALSE)/24)</f>
        <v>226.24874999999997</v>
      </c>
      <c r="T18" s="53">
        <f>IF(ISERROR(T21+T22-T24-T25/24+T26/24),"not available",T21+T22*VLOOKUP(T$20&amp;""&amp;$C$3&amp;""&amp;$C$5,'Plan Database'!$M$2:$P$261,4,FALSE)+T23*VLOOKUP(T$20&amp;""&amp;$C$3&amp;""&amp;$C$5,'Plan Database'!$M$2:$P$261,4,FALSE)-T24-T25*VLOOKUP(T$20&amp;""&amp;$C$3&amp;""&amp;$C$5,'Plan Database'!$M$2:$P$261,4,FALSE)/24+T26*VLOOKUP(T$20&amp;""&amp;$C$3&amp;""&amp;$C$5,'Plan Database'!$M$2:$P$261,4,FALSE)/24)</f>
        <v>230.74874999999997</v>
      </c>
      <c r="U18" s="53">
        <f>IF(ISERROR(U21+U22-U24-U25/24+U26/24),"not available",U21+U22*VLOOKUP(U$20&amp;""&amp;$C$3&amp;""&amp;$C$5,'Plan Database'!$M$2:$P$261,4,FALSE)+U23*VLOOKUP(U$20&amp;""&amp;$C$3&amp;""&amp;$C$5,'Plan Database'!$M$2:$P$261,4,FALSE)-U24-U25*VLOOKUP(U$20&amp;""&amp;$C$3&amp;""&amp;$C$5,'Plan Database'!$M$2:$P$261,4,FALSE)/24+U26*VLOOKUP(U$20&amp;""&amp;$C$3&amp;""&amp;$C$5,'Plan Database'!$M$2:$P$261,4,FALSE)/24)</f>
        <v>183.74874999999997</v>
      </c>
      <c r="V18" s="53" t="str">
        <f>IF(ISERROR(V21+V22-V24-V25/24+V26/24),"not available",V21+V22*VLOOKUP(V$20&amp;""&amp;$C$3&amp;""&amp;$C$5,'Plan Database'!$M$2:$P$261,4,FALSE)+V23*VLOOKUP(V$20&amp;""&amp;$C$3&amp;""&amp;$C$5,'Plan Database'!$M$2:$P$261,4,FALSE)-V24-V25*VLOOKUP(V$20&amp;""&amp;$C$3&amp;""&amp;$C$5,'Plan Database'!$M$2:$P$261,4,FALSE)/24+V26*VLOOKUP(V$20&amp;""&amp;$C$3&amp;""&amp;$C$5,'Plan Database'!$M$2:$P$261,4,FALSE)/24)</f>
        <v>not available</v>
      </c>
      <c r="W18" s="54"/>
      <c r="X18" s="55"/>
      <c r="Y18" s="53">
        <f>IF(ISERROR(Y21+Y22-Y24-Y25/24+Y26/24),"not available",Y21+Y22*VLOOKUP(Y$20&amp;""&amp;$C$3&amp;""&amp;$C$5,'Plan Database'!$M$2:$P$261,4,FALSE)+Y23*VLOOKUP(Y$20&amp;""&amp;$C$3&amp;""&amp;$C$5,'Plan Database'!$M$2:$P$261,4,FALSE)-Y24-Y25*VLOOKUP(Y$20&amp;""&amp;$C$3&amp;""&amp;$C$5,'Plan Database'!$M$2:$P$261,4,FALSE)/24+Y26*VLOOKUP(Y$20&amp;""&amp;$C$3&amp;""&amp;$C$5,'Plan Database'!$M$2:$P$261,4,FALSE)/24)</f>
        <v>175</v>
      </c>
      <c r="Z18" s="53">
        <f>IF(ISERROR(Z21+Z22-Z24-Z25/24+Z26/24),"not available",Z21+Z22*VLOOKUP(Z$20&amp;""&amp;$C$3&amp;""&amp;$C$5,'Plan Database'!$M$2:$P$261,4,FALSE)+Z23*VLOOKUP(Z$20&amp;""&amp;$C$3&amp;""&amp;$C$5,'Plan Database'!$M$2:$P$261,4,FALSE)-Z24-Z25*VLOOKUP(Z$20&amp;""&amp;$C$3&amp;""&amp;$C$5,'Plan Database'!$M$2:$P$261,4,FALSE)/24+Z26*VLOOKUP(Z$20&amp;""&amp;$C$3&amp;""&amp;$C$5,'Plan Database'!$M$2:$P$261,4,FALSE)/24)</f>
        <v>215</v>
      </c>
      <c r="AA18" s="53">
        <f>IF(ISERROR(AA21+AA22-AA24-AA25/24+AA26/24),"not available",AA21+AA22*VLOOKUP(AA$20&amp;""&amp;$C$3&amp;""&amp;$C$5,'Plan Database'!$M$2:$P$261,4,FALSE)+AA23*VLOOKUP(AA$20&amp;""&amp;$C$3&amp;""&amp;$C$5,'Plan Database'!$M$2:$P$261,4,FALSE)-AA24-AA25*VLOOKUP(AA$20&amp;""&amp;$C$3&amp;""&amp;$C$5,'Plan Database'!$M$2:$P$261,4,FALSE)/24+AA26*VLOOKUP(AA$20&amp;""&amp;$C$3&amp;""&amp;$C$5,'Plan Database'!$M$2:$P$261,4,FALSE)/24)</f>
        <v>214.5</v>
      </c>
      <c r="AB18" s="53">
        <f>IF(ISERROR(AB21+AB22-AB24-AB25/24+AB26/24),"not available",AB21+AB22*VLOOKUP(AB$20&amp;""&amp;$C$3&amp;""&amp;$C$5,'Plan Database'!$M$2:$P$261,4,FALSE)+AB23*VLOOKUP(AB$20&amp;""&amp;$C$3&amp;""&amp;$C$5,'Plan Database'!$M$2:$P$261,4,FALSE)-AB24-AB25*VLOOKUP(AB$20&amp;""&amp;$C$3&amp;""&amp;$C$5,'Plan Database'!$M$2:$P$261,4,FALSE)/24+AB26*VLOOKUP(AB$20&amp;""&amp;$C$3&amp;""&amp;$C$5,'Plan Database'!$M$2:$P$261,4,FALSE)/24)</f>
        <v>260</v>
      </c>
      <c r="AC18" s="53" t="str">
        <f>IF(ISERROR(AC21+AC22-AC24-AC25/24+AC26/24),"not available",AC21+AC22*VLOOKUP(AC$20&amp;""&amp;$C$3&amp;""&amp;$C$5,'Plan Database'!$M$2:$P$261,4,FALSE)+AC23*VLOOKUP(AC$20&amp;""&amp;$C$3&amp;""&amp;$C$5,'Plan Database'!$M$2:$P$261,4,FALSE)-AC24-AC25*VLOOKUP(AC$20&amp;""&amp;$C$3&amp;""&amp;$C$5,'Plan Database'!$M$2:$P$261,4,FALSE)/24+AC26*VLOOKUP(AC$20&amp;""&amp;$C$3&amp;""&amp;$C$5,'Plan Database'!$M$2:$P$261,4,FALSE)/24)</f>
        <v>not available</v>
      </c>
      <c r="AD18" s="54"/>
      <c r="AE18" s="55"/>
      <c r="AF18" s="53">
        <f>IF(ISERROR(AF21+AF22-AF24-AF25/24+AF26/24),"not available",AF21+AF22*VLOOKUP(AF$20&amp;""&amp;$C$3&amp;""&amp;$C$5,'Plan Database'!$M$2:$P$261,4,FALSE)+AF23*VLOOKUP(AF$20&amp;""&amp;$C$3&amp;""&amp;$C$5,'Plan Database'!$M$2:$P$261,4,FALSE)-AF24-AF25*VLOOKUP(AF$20&amp;""&amp;$C$3&amp;""&amp;$C$5,'Plan Database'!$M$2:$P$261,4,FALSE)/24+AF26*VLOOKUP(AF$20&amp;""&amp;$C$3&amp;""&amp;$C$5,'Plan Database'!$M$2:$P$261,4,FALSE)/24)</f>
        <v>110</v>
      </c>
      <c r="AG18" s="53">
        <f>IF(ISERROR(AG21+AG22-AG24-AG25/24+AG26/24),"not available",AG21+AG22*VLOOKUP(AG$20&amp;""&amp;$C$3&amp;""&amp;$C$5,'Plan Database'!$M$2:$P$261,4,FALSE)+AG23*VLOOKUP(AG$20&amp;""&amp;$C$3&amp;""&amp;$C$5,'Plan Database'!$M$2:$P$261,4,FALSE)-AG24-AG25*VLOOKUP(AG$20&amp;""&amp;$C$3&amp;""&amp;$C$5,'Plan Database'!$M$2:$P$261,4,FALSE)/24+AG26*VLOOKUP(AG$20&amp;""&amp;$C$3&amp;""&amp;$C$5,'Plan Database'!$M$2:$P$261,4,FALSE)/24)</f>
        <v>150</v>
      </c>
      <c r="AH18" s="53">
        <f>IF(ISERROR(AH21+AH22-AH24-AH25/24+AH26/24),"not available",AH21+AH22*VLOOKUP(AH$20&amp;""&amp;$C$3&amp;""&amp;$C$5,'Plan Database'!$M$2:$P$261,4,FALSE)+AH23*VLOOKUP(AH$20&amp;""&amp;$C$3&amp;""&amp;$C$5,'Plan Database'!$M$2:$P$261,4,FALSE)-AH24-AH25*VLOOKUP(AH$20&amp;""&amp;$C$3&amp;""&amp;$C$5,'Plan Database'!$M$2:$P$261,4,FALSE)/24+AH26*VLOOKUP(AH$20&amp;""&amp;$C$3&amp;""&amp;$C$5,'Plan Database'!$M$2:$P$261,4,FALSE)/24)</f>
        <v>149.5</v>
      </c>
      <c r="AI18" s="53">
        <f>IF(ISERROR(AI21+AI22-AI24-AI25/24+AI26/24),"not available",AI21+AI22*VLOOKUP(AI$20&amp;""&amp;$C$3&amp;""&amp;$C$5,'Plan Database'!$M$2:$P$261,4,FALSE)+AI23*VLOOKUP(AI$20&amp;""&amp;$C$3&amp;""&amp;$C$5,'Plan Database'!$M$2:$P$261,4,FALSE)-AI24-AI25*VLOOKUP(AI$20&amp;""&amp;$C$3&amp;""&amp;$C$5,'Plan Database'!$M$2:$P$261,4,FALSE)/24+AI26*VLOOKUP(AI$20&amp;""&amp;$C$3&amp;""&amp;$C$5,'Plan Database'!$M$2:$P$261,4,FALSE)/24)</f>
        <v>195</v>
      </c>
      <c r="AJ18" s="53" t="str">
        <f>IF(ISERROR(AJ21+AJ22-AJ24-AJ25/24+AJ26/24),"not available",AJ21+AJ22*VLOOKUP(AJ$20&amp;""&amp;$C$3&amp;""&amp;$C$5,'Plan Database'!$M$2:$P$261,4,FALSE)+AJ23*VLOOKUP(AJ$20&amp;""&amp;$C$3&amp;""&amp;$C$5,'Plan Database'!$M$2:$P$261,4,FALSE)-AJ24-AJ25*VLOOKUP(AJ$20&amp;""&amp;$C$3&amp;""&amp;$C$5,'Plan Database'!$M$2:$P$261,4,FALSE)/24+AJ26*VLOOKUP(AJ$20&amp;""&amp;$C$3&amp;""&amp;$C$5,'Plan Database'!$M$2:$P$261,4,FALSE)/24)</f>
        <v>not available</v>
      </c>
    </row>
    <row r="19" spans="2:36" ht="19.5" thickTop="1" x14ac:dyDescent="0.3">
      <c r="B19" s="6" t="s">
        <v>332</v>
      </c>
      <c r="C19" s="76" t="s">
        <v>161</v>
      </c>
      <c r="D19" s="77" t="s">
        <v>161</v>
      </c>
      <c r="E19" s="77" t="s">
        <v>161</v>
      </c>
      <c r="F19" s="77" t="s">
        <v>161</v>
      </c>
      <c r="G19" s="77" t="s">
        <v>161</v>
      </c>
      <c r="K19" s="75" t="s">
        <v>160</v>
      </c>
      <c r="L19" s="78" t="s">
        <v>160</v>
      </c>
      <c r="M19" s="78" t="s">
        <v>160</v>
      </c>
      <c r="N19" s="78" t="s">
        <v>160</v>
      </c>
      <c r="O19" s="78" t="s">
        <v>160</v>
      </c>
      <c r="R19" s="75" t="s">
        <v>0</v>
      </c>
      <c r="S19" s="78" t="s">
        <v>0</v>
      </c>
      <c r="T19" s="78" t="s">
        <v>0</v>
      </c>
      <c r="U19" s="78" t="s">
        <v>0</v>
      </c>
      <c r="V19" s="78" t="s">
        <v>0</v>
      </c>
      <c r="Y19" s="75" t="s">
        <v>193</v>
      </c>
      <c r="Z19" s="78" t="s">
        <v>193</v>
      </c>
      <c r="AA19" s="78" t="s">
        <v>193</v>
      </c>
      <c r="AB19" s="78" t="s">
        <v>193</v>
      </c>
      <c r="AC19" s="78" t="s">
        <v>193</v>
      </c>
      <c r="AF19" s="75" t="s">
        <v>196</v>
      </c>
      <c r="AG19" s="78" t="s">
        <v>196</v>
      </c>
      <c r="AH19" s="78" t="s">
        <v>196</v>
      </c>
      <c r="AI19" s="78" t="s">
        <v>196</v>
      </c>
      <c r="AJ19" s="78" t="s">
        <v>196</v>
      </c>
    </row>
    <row r="20" spans="2:36" x14ac:dyDescent="0.25">
      <c r="B20" s="44" t="s">
        <v>333</v>
      </c>
      <c r="C20" s="45" t="s">
        <v>305</v>
      </c>
      <c r="D20" s="45" t="s">
        <v>54</v>
      </c>
      <c r="E20" s="44" t="s">
        <v>133</v>
      </c>
      <c r="F20" s="44" t="s">
        <v>4</v>
      </c>
      <c r="G20" s="145" t="s">
        <v>205</v>
      </c>
      <c r="J20" s="44" t="s">
        <v>333</v>
      </c>
      <c r="K20" s="45" t="s">
        <v>305</v>
      </c>
      <c r="L20" s="45" t="s">
        <v>54</v>
      </c>
      <c r="M20" s="44" t="s">
        <v>133</v>
      </c>
      <c r="N20" s="44" t="s">
        <v>4</v>
      </c>
      <c r="O20" s="145" t="s">
        <v>205</v>
      </c>
      <c r="Q20" s="44" t="s">
        <v>333</v>
      </c>
      <c r="R20" s="45" t="s">
        <v>305</v>
      </c>
      <c r="S20" s="45" t="s">
        <v>54</v>
      </c>
      <c r="T20" s="44" t="s">
        <v>133</v>
      </c>
      <c r="U20" s="44" t="s">
        <v>4</v>
      </c>
      <c r="V20" s="145" t="s">
        <v>205</v>
      </c>
      <c r="X20" s="44" t="s">
        <v>333</v>
      </c>
      <c r="Y20" s="45" t="s">
        <v>305</v>
      </c>
      <c r="Z20" s="45" t="s">
        <v>54</v>
      </c>
      <c r="AA20" s="44" t="s">
        <v>133</v>
      </c>
      <c r="AB20" s="44" t="s">
        <v>4</v>
      </c>
      <c r="AC20" s="145" t="s">
        <v>205</v>
      </c>
      <c r="AE20" s="44" t="s">
        <v>333</v>
      </c>
      <c r="AF20" s="45" t="s">
        <v>305</v>
      </c>
      <c r="AG20" s="45" t="s">
        <v>54</v>
      </c>
      <c r="AH20" s="44" t="s">
        <v>133</v>
      </c>
      <c r="AI20" s="44" t="s">
        <v>4</v>
      </c>
      <c r="AJ20" s="145" t="s">
        <v>205</v>
      </c>
    </row>
    <row r="21" spans="2:36" x14ac:dyDescent="0.25">
      <c r="B21" s="43" t="s">
        <v>323</v>
      </c>
      <c r="C21" s="46">
        <f>VLOOKUP($C$20&amp;""&amp;$C$3&amp;""&amp;$C$5,'Plan Database'!$M$2:$N$261,2,FALSE)</f>
        <v>110</v>
      </c>
      <c r="D21" s="46">
        <f>VLOOKUP($D$20&amp;""&amp;$C$3&amp;""&amp;$C$5,'Plan Database'!$M$2:$N$261,2,FALSE)</f>
        <v>70</v>
      </c>
      <c r="E21" s="46">
        <f>VLOOKUP($E$20&amp;""&amp;$C$3&amp;""&amp;$C$5,'Plan Database'!$M$2:$N$261,2,FALSE)</f>
        <v>70</v>
      </c>
      <c r="F21" s="46">
        <f>VLOOKUP($F$20&amp;""&amp;$C$3&amp;""&amp;$C$5,'Plan Database'!$M$2:$N$261,2,FALSE)</f>
        <v>70</v>
      </c>
      <c r="G21" s="141" t="e">
        <f>VLOOKUP(G20&amp;""&amp;$C$3&amp;""&amp;$C$5,'Plan Database'!$M$2:$N$261,2,FALSE)</f>
        <v>#N/A</v>
      </c>
      <c r="J21" s="43" t="s">
        <v>323</v>
      </c>
      <c r="K21" s="46">
        <f>VLOOKUP($C$20&amp;""&amp;$C$3&amp;""&amp;$C$5,'Plan Database'!$M$2:$N$261,2,FALSE)</f>
        <v>110</v>
      </c>
      <c r="L21" s="46">
        <f>VLOOKUP($D$20&amp;""&amp;$C$3&amp;""&amp;$C$5,'Plan Database'!$M$2:$N$261,2,FALSE)</f>
        <v>70</v>
      </c>
      <c r="M21" s="46">
        <f>VLOOKUP($E$20&amp;""&amp;$C$3&amp;""&amp;$C$5,'Plan Database'!$M$2:$N$261,2,FALSE)</f>
        <v>70</v>
      </c>
      <c r="N21" s="46">
        <f>VLOOKUP($F$20&amp;""&amp;$C$3&amp;""&amp;$C$5,'Plan Database'!$M$2:$N$261,2,FALSE)</f>
        <v>70</v>
      </c>
      <c r="O21" s="141" t="e">
        <f>VLOOKUP(O20&amp;""&amp;$C$3&amp;""&amp;$C$5,'Plan Database'!$M$2:$N$261,2,FALSE)</f>
        <v>#N/A</v>
      </c>
      <c r="Q21" s="43" t="s">
        <v>323</v>
      </c>
      <c r="R21" s="46">
        <f>VLOOKUP($C$20&amp;""&amp;$C$3&amp;""&amp;$C$5,'Plan Database'!$M$2:$N$261,2,FALSE)</f>
        <v>110</v>
      </c>
      <c r="S21" s="46">
        <f>VLOOKUP($D$20&amp;""&amp;$C$3&amp;""&amp;$C$5,'Plan Database'!$M$2:$N$261,2,FALSE)</f>
        <v>70</v>
      </c>
      <c r="T21" s="46">
        <f>VLOOKUP($E$20&amp;""&amp;$C$3&amp;""&amp;$C$5,'Plan Database'!$M$2:$N$261,2,FALSE)</f>
        <v>70</v>
      </c>
      <c r="U21" s="46">
        <f>VLOOKUP($F$20&amp;""&amp;$C$3&amp;""&amp;$C$5,'Plan Database'!$M$2:$N$261,2,FALSE)</f>
        <v>70</v>
      </c>
      <c r="V21" s="141" t="e">
        <f>VLOOKUP(V20&amp;""&amp;$C$3&amp;""&amp;$C$5,'Plan Database'!$M$2:$N$261,2,FALSE)</f>
        <v>#N/A</v>
      </c>
      <c r="X21" s="43" t="s">
        <v>323</v>
      </c>
      <c r="Y21" s="46">
        <f>VLOOKUP($C$20&amp;""&amp;$C$3&amp;""&amp;$C$5,'Plan Database'!$M$2:$N$261,2,FALSE)</f>
        <v>110</v>
      </c>
      <c r="Z21" s="46">
        <f>VLOOKUP($D$20&amp;""&amp;$C$3&amp;""&amp;$C$5,'Plan Database'!$M$2:$N$261,2,FALSE)</f>
        <v>70</v>
      </c>
      <c r="AA21" s="46">
        <f>VLOOKUP($E$20&amp;""&amp;$C$3&amp;""&amp;$C$5,'Plan Database'!$M$2:$N$261,2,FALSE)</f>
        <v>70</v>
      </c>
      <c r="AB21" s="46">
        <f>VLOOKUP($F$20&amp;""&amp;$C$3&amp;""&amp;$C$5,'Plan Database'!$M$2:$N$261,2,FALSE)</f>
        <v>70</v>
      </c>
      <c r="AC21" s="141" t="e">
        <f>VLOOKUP(AC20&amp;""&amp;$C$3&amp;""&amp;$C$5,'Plan Database'!$M$2:$N$261,2,FALSE)</f>
        <v>#N/A</v>
      </c>
      <c r="AE21" s="43" t="s">
        <v>323</v>
      </c>
      <c r="AF21" s="46">
        <f>VLOOKUP($C$20&amp;""&amp;$C$3&amp;""&amp;$C$5,'Plan Database'!$M$2:$N$261,2,FALSE)</f>
        <v>110</v>
      </c>
      <c r="AG21" s="46">
        <f>VLOOKUP($D$20&amp;""&amp;$C$3&amp;""&amp;$C$5,'Plan Database'!$M$2:$N$261,2,FALSE)</f>
        <v>70</v>
      </c>
      <c r="AH21" s="46">
        <f>VLOOKUP($E$20&amp;""&amp;$C$3&amp;""&amp;$C$5,'Plan Database'!$M$2:$N$261,2,FALSE)</f>
        <v>70</v>
      </c>
      <c r="AI21" s="46">
        <f>VLOOKUP($F$20&amp;""&amp;$C$3&amp;""&amp;$C$5,'Plan Database'!$M$2:$N$261,2,FALSE)</f>
        <v>70</v>
      </c>
      <c r="AJ21" s="141" t="e">
        <f>VLOOKUP(AJ20&amp;""&amp;$C$3&amp;""&amp;$C$5,'Plan Database'!$M$2:$N$261,2,FALSE)</f>
        <v>#N/A</v>
      </c>
    </row>
    <row r="22" spans="2:36" x14ac:dyDescent="0.25">
      <c r="B22" s="41" t="s">
        <v>334</v>
      </c>
      <c r="C22" s="47" t="str">
        <f>IF(ISNUMBER(HLOOKUP($C$8,'Phone Pricing'!$J$3:$Y$33,20,FALSE)),HLOOKUP($C$8,'Phone Pricing'!$J$3:$Y$33,20,FALSE)/24,HLOOKUP($C$8,'Phone Pricing'!$J$3:$Y$33,20,FALSE))</f>
        <v>N/A</v>
      </c>
      <c r="D22" s="47">
        <f>IF(ISNUMBER(HLOOKUP($C$8,'Phone Pricing'!$J$3:$Y$33,8,FALSE)),HLOOKUP($C$8,'Phone Pricing'!$J$3:$Y$33,8,FALSE)/24,HLOOKUP($C$8,'Phone Pricing'!$J$3:$Y$33,8,FALSE))</f>
        <v>8.3329166666666676</v>
      </c>
      <c r="E22" s="47">
        <f>IF(ISNUMBER(HLOOKUP($C$8,'Phone Pricing'!$J$3:$Y$33,14,FALSE)),HLOOKUP($C$8,'Phone Pricing'!$J$3:$Y$33,14,FALSE)/24,HLOOKUP($C$8,'Phone Pricing'!$J$3:$Y$33,14,FALSE))</f>
        <v>8.3329166666666676</v>
      </c>
      <c r="F22" s="47">
        <f>IF(ISNUMBER(HLOOKUP($C$8,'Phone Pricing'!$J$3:$Y$33,2,FALSE)),HLOOKUP($C$8,'Phone Pricing'!$J$3:$Y$33,2,FALSE)/24,HLOOKUP($C$8,'Phone Pricing'!$J$3:$Y$33,2,FALSE))</f>
        <v>8.3329166666666676</v>
      </c>
      <c r="G22" s="142" t="str">
        <f>IF(ISNUMBER(HLOOKUP($C$8,'Phone Pricing'!$J$3:$Y$33,26,FALSE)),HLOOKUP($C$8,'Phone Pricing'!$J$3:$Y$33,26,FALSE)/24,HLOOKUP($C$8,'Phone Pricing'!$J$3:$Y$33,26,FALSE))</f>
        <v>N/A</v>
      </c>
      <c r="J22" s="41" t="s">
        <v>334</v>
      </c>
      <c r="K22" s="47">
        <f>IF(ISNUMBER(HLOOKUP($C$8,'Phone Pricing'!$J$3:$Y$33,21,FALSE)),HLOOKUP($C$8,'Phone Pricing'!$J$3:$Y$33,21,FALSE)/24,HLOOKUP($C$8,'Phone Pricing'!$J$3:$Y$33,21,FALSE))</f>
        <v>27.08</v>
      </c>
      <c r="L22" s="47">
        <f>IF(ISNUMBER(HLOOKUP($C$8,'Phone Pricing'!$J$3:$Y$33,9,FALSE)),HLOOKUP($C$8,'Phone Pricing'!$J$3:$Y$33,9,FALSE)/24,HLOOKUP($C$8,'Phone Pricing'!$J$3:$Y$33,9,FALSE))</f>
        <v>27.082916666666666</v>
      </c>
      <c r="M22" s="47">
        <f>IF(ISNUMBER(HLOOKUP($C$8,'Phone Pricing'!$J$3:$Y$33,15,FALSE)),HLOOKUP($C$8,'Phone Pricing'!$J$3:$Y$33,15,FALSE)/24,HLOOKUP($C$8,'Phone Pricing'!$J$3:$Y$33,15,FALSE))</f>
        <v>27.082916666666666</v>
      </c>
      <c r="N22" s="47">
        <f>IF(ISNUMBER(HLOOKUP($C$8,'Phone Pricing'!$J$3:$Y$33,3,FALSE)),HLOOKUP($C$8,'Phone Pricing'!$J$3:$Y$33,3,FALSE)/24,HLOOKUP($C$8,'Phone Pricing'!$J$3:$Y$33,3,FALSE))</f>
        <v>27.082916666666666</v>
      </c>
      <c r="O22" s="142">
        <f>IF(ISNUMBER(HLOOKUP($C$8,'Phone Pricing'!$J$3:$Y$33,27,FALSE)),HLOOKUP($C$8,'Phone Pricing'!$J$3:$Y$33,27,FALSE)/24,HLOOKUP($C$8,'Phone Pricing'!$J$3:$Y$33,27,FALSE))</f>
        <v>27.083333333333332</v>
      </c>
      <c r="Q22" s="41" t="s">
        <v>334</v>
      </c>
      <c r="R22" s="47">
        <f>IF(ISNUMBER(HLOOKUP($C$8,'Phone Pricing'!$J$3:$Y$33,22,FALSE)),HLOOKUP($C$8,'Phone Pricing'!$J$3:$Y$33,22,FALSE)/24,HLOOKUP($C$8,'Phone Pricing'!$J$3:$Y$33,22,FALSE))</f>
        <v>27.08</v>
      </c>
      <c r="S22" s="47">
        <f>IF(ISNUMBER(HLOOKUP($C$8,'Phone Pricing'!$J$3:$Y$33,10,FALSE)),HLOOKUP($C$8,'Phone Pricing'!$J$3:$Y$33,10,FALSE)/24,HLOOKUP($C$8,'Phone Pricing'!$J$3:$Y$33,10,FALSE))</f>
        <v>27.082916666666666</v>
      </c>
      <c r="T22" s="47">
        <f>IF(ISNUMBER(HLOOKUP($C$8,'Phone Pricing'!$J$3:$Y$33,16,FALSE)),HLOOKUP($C$8,'Phone Pricing'!$J$3:$Y$33,16,FALSE)/24,HLOOKUP($C$8,'Phone Pricing'!$J$3:$Y$33,16,FALSE))</f>
        <v>27.082916666666666</v>
      </c>
      <c r="U22" s="47">
        <f>IF(ISNUMBER(HLOOKUP($C$8,'Phone Pricing'!$J$3:$Y$33,4,FALSE)),HLOOKUP($C$8,'Phone Pricing'!$J$3:$Y$33,4,FALSE)/24,HLOOKUP($C$8,'Phone Pricing'!$J$3:$Y$33,4,FALSE))</f>
        <v>27.082916666666666</v>
      </c>
      <c r="V22" s="142">
        <f>IF(ISNUMBER(HLOOKUP($C$8,'Phone Pricing'!$J$3:$Y$33,28,FALSE)),HLOOKUP($C$8,'Phone Pricing'!$J$3:$Y$33,28,FALSE)/24,HLOOKUP($C$8,'Phone Pricing'!$J$3:$Y$33,28,FALSE))</f>
        <v>35.208333333333336</v>
      </c>
      <c r="X22" s="41" t="s">
        <v>334</v>
      </c>
      <c r="Y22" s="47">
        <f>IF(ISNUMBER(HLOOKUP($C$8,'Phone Pricing'!$J$3:$Y$33,23,FALSE)),HLOOKUP($C$8,'Phone Pricing'!$J$3:$Y$33,23,FALSE)/24,HLOOKUP($C$8,'Phone Pricing'!$J$3:$Y$33,23,FALSE))</f>
        <v>21.666666666666668</v>
      </c>
      <c r="Z22" s="47">
        <f>IF(ISNUMBER(HLOOKUP($C$8,'Phone Pricing'!$J$3:$Y$33,11,FALSE)),HLOOKUP($C$8,'Phone Pricing'!$J$3:$Y$33,11,FALSE)/24,HLOOKUP($C$8,'Phone Pricing'!$J$3:$Y$33,11,FALSE))</f>
        <v>21.666666666666668</v>
      </c>
      <c r="AA22" s="47">
        <f>IF(ISNUMBER(HLOOKUP($C$8,'Phone Pricing'!$J$3:$Y$33,17,FALSE)),HLOOKUP($C$8,'Phone Pricing'!$J$3:$Y$33,17,FALSE)/24,HLOOKUP($C$8,'Phone Pricing'!$J$3:$Y$33,17,FALSE))</f>
        <v>21.666666666666668</v>
      </c>
      <c r="AB22" s="47">
        <f>IF(ISNUMBER(HLOOKUP($C$8,'Phone Pricing'!$J$3:$Y$33,5,FALSE)),HLOOKUP($C$8,'Phone Pricing'!$J$3:$Y$33,5,FALSE)/24,HLOOKUP($C$8,'Phone Pricing'!$J$3:$Y$33,5,FALSE))</f>
        <v>21.666666666666668</v>
      </c>
      <c r="AC22" s="142">
        <f>IF(ISNUMBER(HLOOKUP($C$8,'Phone Pricing'!$J$3:$Y$33,29,FALSE)),HLOOKUP($C$8,'Phone Pricing'!$J$3:$Y$33,29,FALSE)/24,HLOOKUP($C$8,'Phone Pricing'!$J$3:$Y$33,29,FALSE))</f>
        <v>21.666666666666668</v>
      </c>
      <c r="AE22" s="41" t="s">
        <v>334</v>
      </c>
      <c r="AF22" s="47">
        <f>IF(ISNUMBER(HLOOKUP($C$8,'Phone Pricing'!$J$3:$Y$33,24,FALSE)),HLOOKUP($C$8,'Phone Pricing'!$J$3:$Y$33,24,FALSE)/24,HLOOKUP($C$8,'Phone Pricing'!$J$3:$Y$33,24,FALSE))</f>
        <v>0</v>
      </c>
      <c r="AG22" s="47">
        <f>IF(ISNUMBER(HLOOKUP($C$8,'Phone Pricing'!$J$3:$Y$33,12,FALSE)),HLOOKUP($C$8,'Phone Pricing'!$J$3:$Y$33,12,FALSE)/24,HLOOKUP($C$8,'Phone Pricing'!$J$3:$Y$33,12,FALSE))</f>
        <v>0</v>
      </c>
      <c r="AH22" s="47">
        <f>IF(ISNUMBER(HLOOKUP($C$8,'Phone Pricing'!$J$3:$Y$33,18,FALSE)),HLOOKUP($C$8,'Phone Pricing'!$J$3:$Y$33,18,FALSE)/24,HLOOKUP($C$8,'Phone Pricing'!$J$3:$Y$33,18,FALSE))</f>
        <v>0</v>
      </c>
      <c r="AI22" s="47">
        <f>IF(ISNUMBER(HLOOKUP($C$8,'Phone Pricing'!$J$3:$Y$33,6,FALSE)),HLOOKUP($C$8,'Phone Pricing'!$J$3:$Y$33,6,FALSE)/24,HLOOKUP($C$8,'Phone Pricing'!$J$3:$Y$33,6,FALSE))</f>
        <v>0</v>
      </c>
      <c r="AJ22" s="142">
        <f>IF(ISNUMBER(HLOOKUP($C$8,'Phone Pricing'!$J$3:$Y$33,30,FALSE)),HLOOKUP($C$8,'Phone Pricing'!$J$3:$Y$33,30,FALSE)/24,HLOOKUP($C$8,'Phone Pricing'!$J$3:$Y$33,30,FALSE))</f>
        <v>0</v>
      </c>
    </row>
    <row r="23" spans="2:36" x14ac:dyDescent="0.25">
      <c r="B23" s="41" t="s">
        <v>354</v>
      </c>
      <c r="C23" s="47" t="str">
        <f>VLOOKUP(C$20&amp;" "&amp;$C$19&amp;" "&amp;$C$4,'Phone Purchase Database'!$L$2:$Q$61,6,FALSE)</f>
        <v>N/A</v>
      </c>
      <c r="D23" s="47">
        <f>VLOOKUP(D$20&amp;" "&amp;$C$19&amp;" "&amp;$C$4,'Phone Purchase Database'!$L$2:$Q$61,6,FALSE)</f>
        <v>40</v>
      </c>
      <c r="E23" s="47">
        <f>VLOOKUP(E$20&amp;" "&amp;$C$19&amp;" "&amp;$C$4,'Phone Purchase Database'!$L$2:$Q$61,6,FALSE)</f>
        <v>40</v>
      </c>
      <c r="F23" s="47">
        <f>VLOOKUP(F$20&amp;" "&amp;$C$19&amp;" "&amp;$C$4,'Phone Purchase Database'!$L$2:$Q$61,6,FALSE)</f>
        <v>40</v>
      </c>
      <c r="G23" s="142" t="str">
        <f>VLOOKUP(G$20&amp;" "&amp;$C$19&amp;" "&amp;$C$4,'Phone Purchase Database'!$L$2:$Q$61,6,FALSE)</f>
        <v>N/A</v>
      </c>
      <c r="J23" s="41" t="s">
        <v>354</v>
      </c>
      <c r="K23" s="47">
        <f>VLOOKUP(K$20&amp;" "&amp;$K$19&amp;" "&amp;$C$4,'Phone Purchase Database'!$L$2:$Q$61,6,FALSE)</f>
        <v>0</v>
      </c>
      <c r="L23" s="47">
        <f>VLOOKUP(L$20&amp;" "&amp;$K$19&amp;" "&amp;$C$4,'Phone Purchase Database'!$L$2:$Q$61,6,FALSE)</f>
        <v>40</v>
      </c>
      <c r="M23" s="47">
        <f>VLOOKUP(M$20&amp;" "&amp;$K$19&amp;" "&amp;$C$4,'Phone Purchase Database'!$L$2:$Q$61,6,FALSE)</f>
        <v>40</v>
      </c>
      <c r="N23" s="47">
        <f>VLOOKUP(N$20&amp;" "&amp;$K$19&amp;" "&amp;$C$4,'Phone Purchase Database'!$L$2:$Q$61,6,FALSE)</f>
        <v>40</v>
      </c>
      <c r="O23" s="142">
        <f>VLOOKUP(O$20&amp;" "&amp;$K$19&amp;" "&amp;$C$4,'Phone Purchase Database'!$L$2:$Q$61,6,FALSE)</f>
        <v>0</v>
      </c>
      <c r="Q23" s="41" t="s">
        <v>354</v>
      </c>
      <c r="R23" s="47">
        <f>VLOOKUP(R$20&amp;" "&amp;$R$19&amp;" "&amp;$C$4,'Phone Purchase Database'!$L$2:$Q$61,6,FALSE)</f>
        <v>0</v>
      </c>
      <c r="S23" s="47">
        <f>VLOOKUP(S$20&amp;" "&amp;$R$19&amp;" "&amp;$C$4,'Phone Purchase Database'!$L$2:$Q$61,6,FALSE)</f>
        <v>40</v>
      </c>
      <c r="T23" s="47">
        <f>VLOOKUP(T$20&amp;" "&amp;$R$19&amp;" "&amp;$C$4,'Phone Purchase Database'!$L$2:$Q$61,6,FALSE)</f>
        <v>40</v>
      </c>
      <c r="U23" s="47">
        <f>VLOOKUP(U$20&amp;" "&amp;$R$19&amp;" "&amp;$C$4,'Phone Purchase Database'!$L$2:$Q$61,6,FALSE)</f>
        <v>40</v>
      </c>
      <c r="V23" s="142">
        <f>VLOOKUP(V$20&amp;" "&amp;$R$19&amp;" "&amp;$C$4,'Phone Purchase Database'!$L$2:$Q$61,6,FALSE)</f>
        <v>0</v>
      </c>
      <c r="X23" s="41" t="s">
        <v>354</v>
      </c>
      <c r="Y23" s="47">
        <f>VLOOKUP(Y$20&amp;" "&amp;$Y$19&amp;" "&amp;$C$4,'Phone Purchase Database'!$L$2:$Q$61,6,FALSE)</f>
        <v>0</v>
      </c>
      <c r="Z23" s="47">
        <f>VLOOKUP(Z$20&amp;" "&amp;$Y$19&amp;" "&amp;$C$4,'Phone Purchase Database'!$L$2:$Q$61,6,FALSE)</f>
        <v>40</v>
      </c>
      <c r="AA23" s="47">
        <f>VLOOKUP(AA$20&amp;" "&amp;$Y$19&amp;" "&amp;$C$4,'Phone Purchase Database'!$L$2:$Q$61,6,FALSE)</f>
        <v>40</v>
      </c>
      <c r="AB23" s="47">
        <f>VLOOKUP(AB$20&amp;" "&amp;$Y$19&amp;" "&amp;$C$4,'Phone Purchase Database'!$L$2:$Q$61,6,FALSE)</f>
        <v>40</v>
      </c>
      <c r="AC23" s="142">
        <f>VLOOKUP(AC$20&amp;" "&amp;$Y$19&amp;" "&amp;$C$4,'Phone Purchase Database'!$L$2:$Q$61,6,FALSE)</f>
        <v>0</v>
      </c>
      <c r="AE23" s="41" t="s">
        <v>354</v>
      </c>
      <c r="AF23" s="47">
        <f>VLOOKUP(AF$20&amp;" "&amp;$AF$19&amp;" "&amp;$C$4,'Phone Purchase Database'!$L$2:$Q$61,6,FALSE)</f>
        <v>0</v>
      </c>
      <c r="AG23" s="47">
        <f>VLOOKUP(AG$20&amp;" "&amp;$AF$19&amp;" "&amp;$C$4,'Phone Purchase Database'!$L$2:$Q$61,6,FALSE)</f>
        <v>40</v>
      </c>
      <c r="AH23" s="47">
        <f>VLOOKUP(AH$20&amp;" "&amp;$AF$19&amp;" "&amp;$C$4,'Phone Purchase Database'!$L$2:$Q$61,6,FALSE)</f>
        <v>40</v>
      </c>
      <c r="AI23" s="47">
        <f>VLOOKUP(AI$20&amp;" "&amp;$AF$19&amp;" "&amp;$C$4,'Phone Purchase Database'!$L$2:$Q$61,6,FALSE)</f>
        <v>40</v>
      </c>
      <c r="AJ23" s="142">
        <f>VLOOKUP(AJ$20&amp;" "&amp;$AF$19&amp;" "&amp;$C$4,'Phone Purchase Database'!$L$2:$Q$61,6,FALSE)</f>
        <v>0</v>
      </c>
    </row>
    <row r="24" spans="2:36" x14ac:dyDescent="0.25">
      <c r="B24" s="40" t="s">
        <v>335</v>
      </c>
      <c r="C24" s="48">
        <f>IF((VLOOKUP(C$20&amp;" "&amp;$C$19&amp;" "&amp;$C$4,'Phone Purchase Database'!$L$2:$N$61,3,FALSE))="Yes",VLOOKUP(C$20&amp;""&amp;$C$3&amp;""&amp;$C$5,'Plan Database'!$M$2:$O$261,3,FALSE),0)</f>
        <v>0</v>
      </c>
      <c r="D24" s="48">
        <f>IF((VLOOKUP(D$20&amp;" "&amp;$C$19&amp;" "&amp;$C$4,'Phone Purchase Database'!$L$2:$N$61,3,FALSE))="Yes",VLOOKUP(D$20&amp;""&amp;$C$3&amp;""&amp;$C$5,'Plan Database'!$M$2:$O$261,3,FALSE),0)</f>
        <v>0</v>
      </c>
      <c r="E24" s="48">
        <f>IF((VLOOKUP(E$20&amp;" "&amp;$C$19&amp;" "&amp;$C$4,'Phone Purchase Database'!$L$2:$N$61,3,FALSE))="Yes",VLOOKUP(E$20&amp;""&amp;$C$3&amp;""&amp;$C$5,'Plan Database'!$M$2:$O$261,3,FALSE),0)</f>
        <v>0</v>
      </c>
      <c r="F24" s="48">
        <f>IF((VLOOKUP(F$20&amp;" "&amp;$C$19&amp;" "&amp;$C$4,'Phone Purchase Database'!$L$2:$N$61,3,FALSE))="Yes",VLOOKUP(F$20&amp;""&amp;$C$3&amp;""&amp;$C$5,'Plan Database'!$M$2:$O$261,3,FALSE),0)</f>
        <v>0</v>
      </c>
      <c r="G24" s="143">
        <f>IF((VLOOKUP(G$20&amp;" "&amp;$C$19&amp;" "&amp;$C$4,'Phone Purchase Database'!$L$2:$N$61,3,FALSE))="Yes",VLOOKUP(G$20&amp;""&amp;$C$3&amp;""&amp;$C$5,'Plan Database'!$M$2:$O$261,3,FALSE),0)</f>
        <v>0</v>
      </c>
      <c r="J24" s="40" t="s">
        <v>335</v>
      </c>
      <c r="K24" s="48">
        <f>IF((VLOOKUP(K$20&amp;" "&amp;$K$19&amp;" "&amp;$C$4,'Phone Purchase Database'!$L$2:$N$61,3,FALSE))="Yes",VLOOKUP(K$20&amp;""&amp;$C$3&amp;""&amp;$C$5,'Plan Database'!$M$2:$O$261,3,FALSE),0)</f>
        <v>0</v>
      </c>
      <c r="L24" s="48">
        <f>IF((VLOOKUP(L$20&amp;" "&amp;$K$19&amp;" "&amp;$C$4,'Phone Purchase Database'!$L$2:$N$61,3,FALSE))="Yes",VLOOKUP(L$20&amp;""&amp;$C$3&amp;""&amp;$C$5,'Plan Database'!$M$2:$O$261,3,FALSE),0)</f>
        <v>45</v>
      </c>
      <c r="M24" s="48">
        <f>IF((VLOOKUP(M$20&amp;" "&amp;$K$19&amp;" "&amp;$C$4,'Phone Purchase Database'!$L$2:$N$61,3,FALSE))="Yes",VLOOKUP(M$20&amp;""&amp;$C$3&amp;""&amp;$C$5,'Plan Database'!$M$2:$O$261,3,FALSE),0)</f>
        <v>45</v>
      </c>
      <c r="N24" s="48">
        <f>IF((VLOOKUP(N$20&amp;" "&amp;$K$19&amp;" "&amp;$C$4,'Phone Purchase Database'!$L$2:$N$61,3,FALSE))="Yes",VLOOKUP(N$20&amp;""&amp;$C$3&amp;""&amp;$C$5,'Plan Database'!$M$2:$O$261,3,FALSE),0)</f>
        <v>0</v>
      </c>
      <c r="O24" s="143">
        <f>IF((VLOOKUP(O$20&amp;" "&amp;$K$19&amp;" "&amp;$C$4,'Phone Purchase Database'!$L$2:$N$61,3,FALSE))="Yes",VLOOKUP(O$20&amp;""&amp;$C$3&amp;""&amp;$C$5,'Plan Database'!$M$2:$O$261,3,FALSE),0)</f>
        <v>0</v>
      </c>
      <c r="Q24" s="40" t="s">
        <v>335</v>
      </c>
      <c r="R24" s="48">
        <f>IF((VLOOKUP(R$20&amp;" "&amp;$R$19&amp;" "&amp;$C$4,'Phone Purchase Database'!$L$2:$N$61,3,FALSE))="Yes",VLOOKUP(R$20&amp;""&amp;$C$3&amp;""&amp;$C$5,'Plan Database'!$M$2:$O$261,3,FALSE),0)</f>
        <v>0</v>
      </c>
      <c r="S24" s="48">
        <f>IF((VLOOKUP(S$20&amp;" "&amp;$R$19&amp;" "&amp;$C$4,'Phone Purchase Database'!$L$2:$N$61,3,FALSE))="Yes",VLOOKUP(S$20&amp;""&amp;$C$3&amp;""&amp;$C$5,'Plan Database'!$M$2:$O$261,3,FALSE),0)</f>
        <v>45</v>
      </c>
      <c r="T24" s="48">
        <f>IF((VLOOKUP(T$20&amp;" "&amp;$R$19&amp;" "&amp;$C$4,'Phone Purchase Database'!$L$2:$N$61,3,FALSE))="Yes",VLOOKUP(T$20&amp;""&amp;$C$3&amp;""&amp;$C$5,'Plan Database'!$M$2:$O$261,3,FALSE),0)</f>
        <v>45</v>
      </c>
      <c r="U24" s="48">
        <f>IF((VLOOKUP(U$20&amp;" "&amp;$R$19&amp;" "&amp;$C$4,'Phone Purchase Database'!$L$2:$N$61,3,FALSE))="Yes",VLOOKUP(U$20&amp;""&amp;$C$3&amp;""&amp;$C$5,'Plan Database'!$M$2:$O$261,3,FALSE),0)</f>
        <v>75</v>
      </c>
      <c r="V24" s="143">
        <f>IF((VLOOKUP(V$20&amp;" "&amp;$R$19&amp;" "&amp;$C$4,'Phone Purchase Database'!$L$2:$N$61,3,FALSE))="Yes",VLOOKUP(V$20&amp;""&amp;$C$3&amp;""&amp;$C$5,'Plan Database'!$M$2:$O$261,3,FALSE),0)</f>
        <v>0</v>
      </c>
      <c r="X24" s="40" t="s">
        <v>335</v>
      </c>
      <c r="Y24" s="48">
        <f>IF((VLOOKUP(Y$20&amp;" "&amp;$Y$19&amp;" "&amp;$C$4,'Phone Purchase Database'!$L$2:$N$61,3,FALSE))="Yes",VLOOKUP(Y$20&amp;""&amp;$C$3&amp;""&amp;$C$5,'Plan Database'!$M$2:$O$261,3,FALSE),0)</f>
        <v>0</v>
      </c>
      <c r="Z24" s="48">
        <f>IF((VLOOKUP(Z$20&amp;" "&amp;$Y$19&amp;" "&amp;$C$4,'Phone Purchase Database'!$L$2:$N$61,3,FALSE))="Yes",VLOOKUP(Z$20&amp;""&amp;$C$3&amp;""&amp;$C$5,'Plan Database'!$M$2:$O$261,3,FALSE),0)</f>
        <v>45</v>
      </c>
      <c r="AA24" s="48">
        <f>IF((VLOOKUP(AA$20&amp;" "&amp;$Y$19&amp;" "&amp;$C$4,'Phone Purchase Database'!$L$2:$N$61,3,FALSE))="Yes",VLOOKUP(AA$20&amp;""&amp;$C$3&amp;""&amp;$C$5,'Plan Database'!$M$2:$O$261,3,FALSE),0)</f>
        <v>45</v>
      </c>
      <c r="AB24" s="48">
        <f>IF((VLOOKUP(AB$20&amp;" "&amp;$Y$19&amp;" "&amp;$C$4,'Phone Purchase Database'!$L$2:$N$61,3,FALSE))="Yes",VLOOKUP(AB$20&amp;""&amp;$C$3&amp;""&amp;$C$5,'Plan Database'!$M$2:$O$261,3,FALSE),0)</f>
        <v>0</v>
      </c>
      <c r="AC24" s="143">
        <f>IF((VLOOKUP(AC$20&amp;" "&amp;$Y$19&amp;" "&amp;$C$4,'Phone Purchase Database'!$L$2:$N$61,3,FALSE))="Yes",VLOOKUP(AC$20&amp;""&amp;$C$3&amp;""&amp;$C$5,'Plan Database'!$M$2:$O$261,3,FALSE),0)</f>
        <v>0</v>
      </c>
      <c r="AE24" s="40" t="s">
        <v>335</v>
      </c>
      <c r="AF24" s="48">
        <f>IF((VLOOKUP(AF$20&amp;" "&amp;$AF$19&amp;" "&amp;$C$4,'Phone Purchase Database'!$L$2:$N$61,3,FALSE))="Yes",VLOOKUP(AF$20&amp;""&amp;$C$3&amp;""&amp;$C$5,'Plan Database'!$M$2:$O$261,3,FALSE),0)</f>
        <v>0</v>
      </c>
      <c r="AG24" s="48">
        <f>IF((VLOOKUP(AG$20&amp;" "&amp;$AF$19&amp;" "&amp;$C$4,'Phone Purchase Database'!$L$2:$N$61,3,FALSE))="Yes",VLOOKUP(AG$20&amp;""&amp;$C$3&amp;""&amp;$C$5,'Plan Database'!$M$2:$O$261,3,FALSE),0)</f>
        <v>45</v>
      </c>
      <c r="AH24" s="48">
        <f>IF((VLOOKUP(AH$20&amp;" "&amp;$AF$19&amp;" "&amp;$C$4,'Phone Purchase Database'!$L$2:$N$61,3,FALSE))="Yes",VLOOKUP(AH$20&amp;""&amp;$C$3&amp;""&amp;$C$5,'Plan Database'!$M$2:$O$261,3,FALSE),0)</f>
        <v>45</v>
      </c>
      <c r="AI24" s="48">
        <f>IF((VLOOKUP(AI$20&amp;" "&amp;$AF$19&amp;" "&amp;$C$4,'Phone Purchase Database'!$L$2:$N$61,3,FALSE))="Yes",VLOOKUP(AI$20&amp;""&amp;$C$3&amp;""&amp;$C$5,'Plan Database'!$M$2:$O$261,3,FALSE),0)</f>
        <v>0</v>
      </c>
      <c r="AJ24" s="143">
        <f>IF((VLOOKUP(AJ$20&amp;" "&amp;$AF$19&amp;" "&amp;$C$4,'Phone Purchase Database'!$L$2:$N$61,3,FALSE))="Yes",VLOOKUP(AJ$20&amp;""&amp;$C$3&amp;""&amp;$C$5,'Plan Database'!$M$2:$O$261,3,FALSE),0)</f>
        <v>0</v>
      </c>
    </row>
    <row r="25" spans="2:36" x14ac:dyDescent="0.25">
      <c r="B25" s="41" t="s">
        <v>336</v>
      </c>
      <c r="C25" s="47" t="str">
        <f>VLOOKUP(C$20&amp;" "&amp;$C$19&amp;" "&amp;$C$4,'Phone Purchase Database'!$L$2:$P$61,4,FALSE)</f>
        <v>N/A</v>
      </c>
      <c r="D25" s="47">
        <f>VLOOKUP(D$20&amp;" "&amp;$C$19&amp;" "&amp;$C$4,'Phone Purchase Database'!$L$2:$P$61,4,FALSE)</f>
        <v>0</v>
      </c>
      <c r="E25" s="47">
        <f>VLOOKUP(E$20&amp;" "&amp;$C$19&amp;" "&amp;$C$4,'Phone Purchase Database'!$L$2:$P$61,4,FALSE)</f>
        <v>0</v>
      </c>
      <c r="F25" s="47">
        <f>VLOOKUP(F$20&amp;" "&amp;$C$19&amp;" "&amp;$C$4,'Phone Purchase Database'!$L$2:$P$61,4,FALSE)</f>
        <v>0</v>
      </c>
      <c r="G25" s="142" t="str">
        <f>VLOOKUP(G$20&amp;" "&amp;$C$19&amp;" "&amp;$C$4,'Phone Purchase Database'!$L$2:$P$61,4,FALSE)</f>
        <v>N/A</v>
      </c>
      <c r="J25" s="41" t="s">
        <v>336</v>
      </c>
      <c r="K25" s="47">
        <f>VLOOKUP(K$20&amp;" "&amp;$K$19&amp;" "&amp;$C$4,'Phone Purchase Database'!$L$2:$P$61,4,FALSE)</f>
        <v>0</v>
      </c>
      <c r="L25" s="47">
        <f>VLOOKUP(L$20&amp;" "&amp;$K$19&amp;" "&amp;$C$4,'Phone Purchase Database'!$L$2:$P$61,4,FALSE)</f>
        <v>0</v>
      </c>
      <c r="M25" s="47">
        <f>VLOOKUP(M$20&amp;" "&amp;$K$19&amp;" "&amp;$C$4,'Phone Purchase Database'!$L$2:$P$61,4,FALSE)</f>
        <v>0</v>
      </c>
      <c r="N25" s="47">
        <f>VLOOKUP(N$20&amp;" "&amp;$K$19&amp;" "&amp;$C$4,'Phone Purchase Database'!$L$2:$P$61,4,FALSE)</f>
        <v>0</v>
      </c>
      <c r="O25" s="142">
        <f>VLOOKUP(O$20&amp;" "&amp;$K$19&amp;" "&amp;$C$4,'Phone Purchase Database'!$L$2:$P$61,4,FALSE)</f>
        <v>0</v>
      </c>
      <c r="Q25" s="41" t="s">
        <v>336</v>
      </c>
      <c r="R25" s="47">
        <f>VLOOKUP(R$20&amp;" "&amp;$R$19&amp;" "&amp;$C$4,'Phone Purchase Database'!$L$2:$P$61,4,FALSE)</f>
        <v>0</v>
      </c>
      <c r="S25" s="47">
        <f>VLOOKUP(S$20&amp;" "&amp;$R$19&amp;" "&amp;$C$4,'Phone Purchase Database'!$L$2:$P$61,4,FALSE)</f>
        <v>0</v>
      </c>
      <c r="T25" s="47">
        <f>VLOOKUP(T$20&amp;" "&amp;$R$19&amp;" "&amp;$C$4,'Phone Purchase Database'!$L$2:$P$61,4,FALSE)</f>
        <v>0</v>
      </c>
      <c r="U25" s="47">
        <f>VLOOKUP(U$20&amp;" "&amp;$R$19&amp;" "&amp;$C$4,'Phone Purchase Database'!$L$2:$P$61,4,FALSE)</f>
        <v>100</v>
      </c>
      <c r="V25" s="142">
        <f>VLOOKUP(V$20&amp;" "&amp;$R$19&amp;" "&amp;$C$4,'Phone Purchase Database'!$L$2:$P$61,4,FALSE)</f>
        <v>0</v>
      </c>
      <c r="X25" s="41" t="s">
        <v>336</v>
      </c>
      <c r="Y25" s="47">
        <f>VLOOKUP(Y$20&amp;" "&amp;$Y$19&amp;" "&amp;$C$4,'Phone Purchase Database'!$L$2:$P$61,4,FALSE)</f>
        <v>0</v>
      </c>
      <c r="Z25" s="47">
        <f>VLOOKUP(Z$20&amp;" "&amp;$Y$19&amp;" "&amp;$C$4,'Phone Purchase Database'!$L$2:$P$61,4,FALSE)</f>
        <v>0</v>
      </c>
      <c r="AA25" s="47">
        <f>VLOOKUP(AA$20&amp;" "&amp;$Y$19&amp;" "&amp;$C$4,'Phone Purchase Database'!$L$2:$P$61,4,FALSE)</f>
        <v>0</v>
      </c>
      <c r="AB25" s="47">
        <f>VLOOKUP(AB$20&amp;" "&amp;$Y$19&amp;" "&amp;$C$4,'Phone Purchase Database'!$L$2:$P$61,4,FALSE)</f>
        <v>0</v>
      </c>
      <c r="AC25" s="142">
        <f>VLOOKUP(AC$20&amp;" "&amp;$Y$19&amp;" "&amp;$C$4,'Phone Purchase Database'!$L$2:$P$61,4,FALSE)</f>
        <v>0</v>
      </c>
      <c r="AE25" s="41" t="s">
        <v>336</v>
      </c>
      <c r="AF25" s="47">
        <f>VLOOKUP(AF$20&amp;" "&amp;$AF$19&amp;" "&amp;$C$4,'Phone Purchase Database'!$L$2:$P$61,4,FALSE)</f>
        <v>0</v>
      </c>
      <c r="AG25" s="47">
        <f>VLOOKUP(AG$20&amp;" "&amp;$AF$19&amp;" "&amp;$C$4,'Phone Purchase Database'!$L$2:$P$61,4,FALSE)</f>
        <v>0</v>
      </c>
      <c r="AH25" s="47">
        <f>VLOOKUP(AH$20&amp;" "&amp;$AF$19&amp;" "&amp;$C$4,'Phone Purchase Database'!$L$2:$P$61,4,FALSE)</f>
        <v>0</v>
      </c>
      <c r="AI25" s="47">
        <f>VLOOKUP(AI$20&amp;" "&amp;$AF$19&amp;" "&amp;$C$4,'Phone Purchase Database'!$L$2:$P$61,4,FALSE)</f>
        <v>0</v>
      </c>
      <c r="AJ25" s="142">
        <f>VLOOKUP(AJ$20&amp;" "&amp;$AF$19&amp;" "&amp;$C$4,'Phone Purchase Database'!$L$2:$P$61,4,FALSE)</f>
        <v>0</v>
      </c>
    </row>
    <row r="26" spans="2:36" x14ac:dyDescent="0.25">
      <c r="B26" s="42" t="s">
        <v>21</v>
      </c>
      <c r="C26" s="49" t="str">
        <f>IF(ISTEXT(VLOOKUP(C$20&amp;" "&amp;$C$19&amp;" "&amp;$C$4,'Phone Purchase Database'!$L$2:$P$61,5,FALSE)),VLOOKUP(C$20&amp;" "&amp;$C$19&amp;" "&amp;$C$4,'Phone Purchase Database'!$L$2:$P$61,5,FALSE),IF($C$14=C20,0,VLOOKUP(C$20&amp;" "&amp;$C$19&amp;" "&amp;$C$4,'Phone Purchase Database'!$L$2:$P$61,5,FALSE)))</f>
        <v>N/A</v>
      </c>
      <c r="D26" s="49">
        <f>IF(ISTEXT(VLOOKUP(D$20&amp;" "&amp;$C$19&amp;" "&amp;$C$4,'Phone Purchase Database'!$L$2:$P$61,5,FALSE)),VLOOKUP(D$20&amp;" "&amp;$C$19&amp;" "&amp;$C$4,'Phone Purchase Database'!$L$2:$P$61,5,FALSE),IF($C$14=D20,0,VLOOKUP(D$20&amp;" "&amp;$C$19&amp;" "&amp;$C$4,'Phone Purchase Database'!$L$2:$P$61,5,FALSE)))</f>
        <v>40</v>
      </c>
      <c r="E26" s="49">
        <f>IF(ISTEXT(VLOOKUP(E$20&amp;" "&amp;$C$19&amp;" "&amp;$C$4,'Phone Purchase Database'!$L$2:$P$61,5,FALSE)),VLOOKUP(E$20&amp;" "&amp;$C$19&amp;" "&amp;$C$4,'Phone Purchase Database'!$L$2:$P$61,5,FALSE),IF($C$14=E20,0,VLOOKUP(E$20&amp;" "&amp;$C$19&amp;" "&amp;$C$4,'Phone Purchase Database'!$L$2:$P$61,5,FALSE)))</f>
        <v>36</v>
      </c>
      <c r="F26" s="49">
        <f>IF(ISTEXT(VLOOKUP(F$20&amp;" "&amp;$C$19&amp;" "&amp;$C$4,'Phone Purchase Database'!$L$2:$P$61,5,FALSE)),VLOOKUP(F$20&amp;" "&amp;$C$19&amp;" "&amp;$C$4,'Phone Purchase Database'!$L$2:$P$61,5,FALSE),IF($C$14=F20,0,VLOOKUP(F$20&amp;" "&amp;$C$19&amp;" "&amp;$C$4,'Phone Purchase Database'!$L$2:$P$61,5,FALSE)))</f>
        <v>40</v>
      </c>
      <c r="G26" s="144" t="str">
        <f>IF(ISTEXT(VLOOKUP(G$20&amp;" "&amp;$C$19&amp;" "&amp;$C$4,'Phone Purchase Database'!$L$2:$P$61,5,FALSE)),VLOOKUP(G$20&amp;" "&amp;$C$19&amp;" "&amp;$C$4,'Phone Purchase Database'!$L$2:$P$61,5,FALSE),IF($C$14=G20,0,VLOOKUP(G$20&amp;" "&amp;$C$19&amp;" "&amp;$C$4,'Phone Purchase Database'!$L$2:$P$61,5,FALSE)))</f>
        <v>N/A</v>
      </c>
      <c r="J26" s="42" t="s">
        <v>21</v>
      </c>
      <c r="K26" s="49">
        <f>IF(ISTEXT(VLOOKUP(K$20&amp;" "&amp;$K$19&amp;" "&amp;$C$4,'Phone Purchase Database'!$L$2:$P$61,5,FALSE)),VLOOKUP(K$20&amp;" "&amp;$K$19&amp;" "&amp;$C$4,'Phone Purchase Database'!$L$2:$P$61,5,FALSE),IF($C$14=K20,0,VLOOKUP(K$20&amp;" "&amp;$K$19&amp;" "&amp;$C$4,'Phone Purchase Database'!$L$2:$P$61,5,FALSE)))</f>
        <v>0</v>
      </c>
      <c r="L26" s="49">
        <f>IF(ISTEXT(VLOOKUP(L$20&amp;" "&amp;$K$19&amp;" "&amp;$C$4,'Phone Purchase Database'!$L$2:$P$61,5,FALSE)),VLOOKUP(L$20&amp;" "&amp;$K$19&amp;" "&amp;$C$4,'Phone Purchase Database'!$L$2:$P$61,5,FALSE),IF($C$14=L20,0,VLOOKUP(L$20&amp;" "&amp;$K$19&amp;" "&amp;$C$4,'Phone Purchase Database'!$L$2:$P$61,5,FALSE)))</f>
        <v>40</v>
      </c>
      <c r="M26" s="49">
        <f>IF(ISTEXT(VLOOKUP(M$20&amp;" "&amp;$K$19&amp;" "&amp;$C$4,'Phone Purchase Database'!$L$2:$P$61,5,FALSE)),VLOOKUP(M$20&amp;" "&amp;$K$19&amp;" "&amp;$C$4,'Phone Purchase Database'!$L$2:$P$61,5,FALSE),IF($C$14=M20,0,VLOOKUP(M$20&amp;" "&amp;$K$19&amp;" "&amp;$C$4,'Phone Purchase Database'!$L$2:$P$61,5,FALSE)))</f>
        <v>36</v>
      </c>
      <c r="N26" s="49">
        <f>IF(ISTEXT(VLOOKUP(N$20&amp;" "&amp;$K$19&amp;" "&amp;$C$4,'Phone Purchase Database'!$L$2:$P$61,5,FALSE)),VLOOKUP(N$20&amp;" "&amp;$K$19&amp;" "&amp;$C$4,'Phone Purchase Database'!$L$2:$P$61,5,FALSE),IF($C$14=N20,0,VLOOKUP(N$20&amp;" "&amp;$K$19&amp;" "&amp;$C$4,'Phone Purchase Database'!$L$2:$P$61,5,FALSE)))</f>
        <v>40</v>
      </c>
      <c r="O26" s="144">
        <f>IF(ISTEXT(VLOOKUP(O$20&amp;" "&amp;$K$19&amp;" "&amp;$C$4,'Phone Purchase Database'!$L$2:$P$61,5,FALSE)),VLOOKUP(O$20&amp;" "&amp;$K$19&amp;" "&amp;$C$4,'Phone Purchase Database'!$L$2:$P$61,5,FALSE),IF($C$14=O20,0,VLOOKUP(O$20&amp;" "&amp;$K$19&amp;" "&amp;$C$4,'Phone Purchase Database'!$L$2:$P$61,5,FALSE)))</f>
        <v>0.99</v>
      </c>
      <c r="Q26" s="42" t="s">
        <v>21</v>
      </c>
      <c r="R26" s="49">
        <f>IF(ISTEXT(VLOOKUP(R$20&amp;" "&amp;$R$19&amp;" "&amp;$C$4,'Phone Purchase Database'!$L$2:$P$61,5,FALSE)),VLOOKUP(R$20&amp;" "&amp;$R$19&amp;" "&amp;$C$4,'Phone Purchase Database'!$L$2:$P$61,5,FALSE),IF($C$14=R20,0,VLOOKUP(R$20&amp;" "&amp;$R$19&amp;" "&amp;$C$4,'Phone Purchase Database'!$L$2:$P$61,5,FALSE)))</f>
        <v>0</v>
      </c>
      <c r="S26" s="49">
        <f>IF(ISTEXT(VLOOKUP(S$20&amp;" "&amp;$R$19&amp;" "&amp;$C$4,'Phone Purchase Database'!$L$2:$P$61,5,FALSE)),VLOOKUP(S$20&amp;" "&amp;$R$19&amp;" "&amp;$C$4,'Phone Purchase Database'!$L$2:$P$61,5,FALSE),IF($C$14=S20,0,VLOOKUP(S$20&amp;" "&amp;$R$19&amp;" "&amp;$C$4,'Phone Purchase Database'!$L$2:$P$61,5,FALSE)))</f>
        <v>0</v>
      </c>
      <c r="T26" s="49">
        <f>IF(ISTEXT(VLOOKUP(T$20&amp;" "&amp;$R$19&amp;" "&amp;$C$4,'Phone Purchase Database'!$L$2:$P$61,5,FALSE)),VLOOKUP(T$20&amp;" "&amp;$R$19&amp;" "&amp;$C$4,'Phone Purchase Database'!$L$2:$P$61,5,FALSE),IF($C$14=T20,0,VLOOKUP(T$20&amp;" "&amp;$R$19&amp;" "&amp;$C$4,'Phone Purchase Database'!$L$2:$P$61,5,FALSE)))</f>
        <v>36</v>
      </c>
      <c r="U26" s="49">
        <f>IF(ISTEXT(VLOOKUP(U$20&amp;" "&amp;$R$19&amp;" "&amp;$C$4,'Phone Purchase Database'!$L$2:$P$61,5,FALSE)),VLOOKUP(U$20&amp;" "&amp;$R$19&amp;" "&amp;$C$4,'Phone Purchase Database'!$L$2:$P$61,5,FALSE),IF($C$14=U20,0,VLOOKUP(U$20&amp;" "&amp;$R$19&amp;" "&amp;$C$4,'Phone Purchase Database'!$L$2:$P$61,5,FALSE)))</f>
        <v>0</v>
      </c>
      <c r="V26" s="144">
        <f>IF(ISTEXT(VLOOKUP(V$20&amp;" "&amp;$R$19&amp;" "&amp;$C$4,'Phone Purchase Database'!$L$2:$P$61,5,FALSE)),VLOOKUP(V$20&amp;" "&amp;$R$19&amp;" "&amp;$C$4,'Phone Purchase Database'!$L$2:$P$61,5,FALSE),IF($C$14=V20,0,VLOOKUP(V$20&amp;" "&amp;$R$19&amp;" "&amp;$C$4,'Phone Purchase Database'!$L$2:$P$61,5,FALSE)))</f>
        <v>0.99</v>
      </c>
      <c r="X26" s="42" t="s">
        <v>21</v>
      </c>
      <c r="Y26" s="49">
        <f>IF(ISTEXT(VLOOKUP(Y$20&amp;" "&amp;$Y$19&amp;" "&amp;$C$4,'Phone Purchase Database'!$L$2:$P$61,5,FALSE)),VLOOKUP(Y$20&amp;" "&amp;$Y$19&amp;" "&amp;$C$4,'Phone Purchase Database'!$L$2:$P$61,5,FALSE),IF($C$14=Y20,0,VLOOKUP(Y$20&amp;" "&amp;$Y$19&amp;" "&amp;$C$4,'Phone Purchase Database'!$L$2:$P$61,5,FALSE)))</f>
        <v>0</v>
      </c>
      <c r="Z26" s="49">
        <f>IF(ISTEXT(VLOOKUP(Z$20&amp;" "&amp;$Y$19&amp;" "&amp;$C$4,'Phone Purchase Database'!$L$2:$P$61,5,FALSE)),VLOOKUP(Z$20&amp;" "&amp;$Y$19&amp;" "&amp;$C$4,'Phone Purchase Database'!$L$2:$P$61,5,FALSE),IF($C$14=Z20,0,VLOOKUP(Z$20&amp;" "&amp;$Y$19&amp;" "&amp;$C$4,'Phone Purchase Database'!$L$2:$P$61,5,FALSE)))</f>
        <v>40</v>
      </c>
      <c r="AA26" s="49">
        <f>IF(ISTEXT(VLOOKUP(AA$20&amp;" "&amp;$Y$19&amp;" "&amp;$C$4,'Phone Purchase Database'!$L$2:$P$61,5,FALSE)),VLOOKUP(AA$20&amp;" "&amp;$Y$19&amp;" "&amp;$C$4,'Phone Purchase Database'!$L$2:$P$61,5,FALSE),IF($C$14=AA20,0,VLOOKUP(AA$20&amp;" "&amp;$Y$19&amp;" "&amp;$C$4,'Phone Purchase Database'!$L$2:$P$61,5,FALSE)))</f>
        <v>36</v>
      </c>
      <c r="AB26" s="49">
        <f>IF(ISTEXT(VLOOKUP(AB$20&amp;" "&amp;$Y$19&amp;" "&amp;$C$4,'Phone Purchase Database'!$L$2:$P$61,5,FALSE)),VLOOKUP(AB$20&amp;" "&amp;$Y$19&amp;" "&amp;$C$4,'Phone Purchase Database'!$L$2:$P$61,5,FALSE),IF($C$14=AB20,0,VLOOKUP(AB$20&amp;" "&amp;$Y$19&amp;" "&amp;$C$4,'Phone Purchase Database'!$L$2:$P$61,5,FALSE)))</f>
        <v>40</v>
      </c>
      <c r="AC26" s="144">
        <f>IF(ISTEXT(VLOOKUP(AC$20&amp;" "&amp;$Y$19&amp;" "&amp;$C$4,'Phone Purchase Database'!$L$2:$P$61,5,FALSE)),VLOOKUP(AC$20&amp;" "&amp;$Y$19&amp;" "&amp;$C$4,'Phone Purchase Database'!$L$2:$P$61,5,FALSE),IF($C$14=AC20,0,VLOOKUP(AC$20&amp;" "&amp;$Y$19&amp;" "&amp;$C$4,'Phone Purchase Database'!$L$2:$P$61,5,FALSE)))</f>
        <v>0.99</v>
      </c>
      <c r="AE26" s="42" t="s">
        <v>21</v>
      </c>
      <c r="AF26" s="49">
        <f>IF(ISTEXT(VLOOKUP(AF$20&amp;" "&amp;$AF$19&amp;" "&amp;$C$4,'Phone Purchase Database'!$L$2:$P$61,5,FALSE)),VLOOKUP(AF$20&amp;" "&amp;$AF$19&amp;" "&amp;$C$4,'Phone Purchase Database'!$L$2:$P$61,5,FALSE),IF($C$14=AF20,0,VLOOKUP(AF$20&amp;" "&amp;$AF$19&amp;" "&amp;$C$4,'Phone Purchase Database'!$L$2:$P$61,5,FALSE)))</f>
        <v>0</v>
      </c>
      <c r="AG26" s="49">
        <f>IF(ISTEXT(VLOOKUP(AG$20&amp;" "&amp;$AF$19&amp;" "&amp;$C$4,'Phone Purchase Database'!$L$2:$P$61,5,FALSE)),VLOOKUP(AG$20&amp;" "&amp;$AF$19&amp;" "&amp;$C$4,'Phone Purchase Database'!$L$2:$P$61,5,FALSE),IF($C$14=AG20,0,VLOOKUP(AG$20&amp;" "&amp;$AF$19&amp;" "&amp;$C$4,'Phone Purchase Database'!$L$2:$P$61,5,FALSE)))</f>
        <v>40</v>
      </c>
      <c r="AH26" s="49">
        <f>IF(ISTEXT(VLOOKUP(AH$20&amp;" "&amp;$AF$19&amp;" "&amp;$C$4,'Phone Purchase Database'!$L$2:$P$61,5,FALSE)),VLOOKUP(AH$20&amp;" "&amp;$AF$19&amp;" "&amp;$C$4,'Phone Purchase Database'!$L$2:$P$61,5,FALSE),IF($C$14=AH20,0,VLOOKUP(AH$20&amp;" "&amp;$AF$19&amp;" "&amp;$C$4,'Phone Purchase Database'!$L$2:$P$61,5,FALSE)))</f>
        <v>36</v>
      </c>
      <c r="AI26" s="49">
        <f>IF(ISTEXT(VLOOKUP(AI$20&amp;" "&amp;$AF$19&amp;" "&amp;$C$4,'Phone Purchase Database'!$L$2:$P$61,5,FALSE)),VLOOKUP(AI$20&amp;" "&amp;$AF$19&amp;" "&amp;$C$4,'Phone Purchase Database'!$L$2:$P$61,5,FALSE),IF($C$14=AI20,0,VLOOKUP(AI$20&amp;" "&amp;$AF$19&amp;" "&amp;$C$4,'Phone Purchase Database'!$L$2:$P$61,5,FALSE)))</f>
        <v>40</v>
      </c>
      <c r="AJ26" s="144">
        <f>IF(ISTEXT(VLOOKUP(AJ$20&amp;" "&amp;$AF$19&amp;" "&amp;$C$4,'Phone Purchase Database'!$L$2:$P$61,5,FALSE)),VLOOKUP(AJ$20&amp;" "&amp;$AF$19&amp;" "&amp;$C$4,'Phone Purchase Database'!$L$2:$P$61,5,FALSE),IF($C$14=AJ20,0,VLOOKUP(AJ$20&amp;" "&amp;$AF$19&amp;" "&amp;$C$4,'Phone Purchase Database'!$L$2:$P$61,5,FALSE)))</f>
        <v>0.99</v>
      </c>
    </row>
    <row r="29" spans="2:36" x14ac:dyDescent="0.25">
      <c r="E29" s="16"/>
      <c r="Q29" t="s">
        <v>409</v>
      </c>
      <c r="X29" t="s">
        <v>411</v>
      </c>
    </row>
    <row r="30" spans="2:36" ht="15.75" x14ac:dyDescent="0.25">
      <c r="B30" s="79" t="s">
        <v>337</v>
      </c>
      <c r="C30" s="80" t="s">
        <v>11</v>
      </c>
      <c r="D30" s="81" t="s">
        <v>63</v>
      </c>
      <c r="E30" s="81" t="s">
        <v>409</v>
      </c>
      <c r="J30" s="91" t="str">
        <f>C20</f>
        <v>T-Mobile</v>
      </c>
      <c r="K30" s="91"/>
      <c r="L30" s="91"/>
      <c r="M30" s="91"/>
      <c r="N30" s="91"/>
      <c r="Q30" s="91" t="str">
        <f>J30</f>
        <v>T-Mobile</v>
      </c>
      <c r="R30" s="91"/>
      <c r="S30" s="91"/>
      <c r="T30" s="91"/>
      <c r="U30" s="91"/>
      <c r="X30" s="91" t="str">
        <f>Q30</f>
        <v>T-Mobile</v>
      </c>
      <c r="Y30" s="91"/>
      <c r="Z30" s="91"/>
      <c r="AA30" s="91"/>
      <c r="AB30" s="91"/>
    </row>
    <row r="31" spans="2:36" ht="15.75" x14ac:dyDescent="0.25">
      <c r="B31" s="82">
        <f>MIN(B34,B36,B38,B40)</f>
        <v>110</v>
      </c>
      <c r="C31" s="82" t="str">
        <f>HLOOKUP(B31,J44:M45,2,FALSE)</f>
        <v>T-Mobile</v>
      </c>
      <c r="D31" s="83" t="str">
        <f>IF(VLOOKUP(B31,B33:D40,3,FALSE)="",VLOOKUP(B31,B33:D40,2,FALSE),CONCATENATE(VLOOKUP(B31,B33:D40,2,FALSE)," or ", VLOOKUP(B31,B33:D40,3,FALSE)))</f>
        <v xml:space="preserve">Bring your Own </v>
      </c>
      <c r="E31" s="135">
        <f>VLOOKUP(B31,B34:E40,4,FALSE)</f>
        <v>0</v>
      </c>
      <c r="J31" s="91" t="str">
        <f>C18</f>
        <v>not available</v>
      </c>
      <c r="K31" s="91">
        <f>K18</f>
        <v>191.24</v>
      </c>
      <c r="L31" s="91">
        <f>R18</f>
        <v>191.24</v>
      </c>
      <c r="M31" s="91">
        <f>Y18</f>
        <v>175</v>
      </c>
      <c r="N31" s="91">
        <f>AF18</f>
        <v>110</v>
      </c>
      <c r="Q31" s="91" t="str">
        <f>J32</f>
        <v>Discount</v>
      </c>
      <c r="R31" s="91" t="str">
        <f>K32</f>
        <v>Pay in Full</v>
      </c>
      <c r="S31" s="91" t="str">
        <f>L32</f>
        <v>Finance</v>
      </c>
      <c r="T31" s="91" t="str">
        <f>M32</f>
        <v>3rd Party</v>
      </c>
      <c r="U31" s="91" t="str">
        <f>N32</f>
        <v xml:space="preserve">Bring your Own </v>
      </c>
      <c r="X31" s="126"/>
      <c r="Y31" s="91"/>
      <c r="Z31" s="91"/>
      <c r="AA31" s="91"/>
      <c r="AB31" s="91"/>
    </row>
    <row r="32" spans="2:36" x14ac:dyDescent="0.25">
      <c r="B32" s="69"/>
      <c r="C32" s="69"/>
      <c r="D32" s="70"/>
      <c r="E32" s="35"/>
      <c r="J32" s="91" t="str">
        <f>C19</f>
        <v>Discount</v>
      </c>
      <c r="K32" s="91" t="str">
        <f>K19</f>
        <v>Pay in Full</v>
      </c>
      <c r="L32" s="91" t="str">
        <f>R19</f>
        <v>Finance</v>
      </c>
      <c r="M32" s="91" t="str">
        <f>Y19</f>
        <v>3rd Party</v>
      </c>
      <c r="N32" s="91" t="str">
        <f>AF19</f>
        <v xml:space="preserve">Bring your Own </v>
      </c>
      <c r="Q32" s="126" t="str">
        <f>IF(ISNUMBER(C22*24*$C$3+C26*$C$3),C22*24*$C$3+C26*$C$3,"not available")</f>
        <v>not available</v>
      </c>
      <c r="R32" s="91">
        <f>IF(ISNUMBER(K22*24*$C$3+K26*$C$3),K22*24*$C$3+K26*$C$3,"not available")</f>
        <v>1949.7599999999998</v>
      </c>
      <c r="S32" s="91">
        <f>IF(ISNUMBER(R26*$C$3),R26*$C$3,"not available")</f>
        <v>0</v>
      </c>
      <c r="T32" s="91">
        <f>Y26*C3+Y22*C3*24</f>
        <v>1560</v>
      </c>
      <c r="U32" s="91">
        <f>AF26</f>
        <v>0</v>
      </c>
      <c r="X32" s="91" t="str">
        <f>Q31</f>
        <v>Discount</v>
      </c>
      <c r="Y32" s="91" t="str">
        <f>R31</f>
        <v>Pay in Full</v>
      </c>
      <c r="Z32" s="91" t="str">
        <f>S31</f>
        <v>Finance</v>
      </c>
      <c r="AA32" s="91" t="str">
        <f>T31</f>
        <v>3rd Party</v>
      </c>
      <c r="AB32" s="91" t="str">
        <f>U31</f>
        <v xml:space="preserve">Bring your Own </v>
      </c>
    </row>
    <row r="33" spans="2:28" ht="15.75" x14ac:dyDescent="0.25">
      <c r="B33" s="84" t="str">
        <f>C20</f>
        <v>T-Mobile</v>
      </c>
      <c r="C33" s="158" t="s">
        <v>63</v>
      </c>
      <c r="D33" s="159"/>
      <c r="E33" s="136"/>
      <c r="J33" s="91" t="str">
        <f>D20</f>
        <v>ATT</v>
      </c>
      <c r="K33" s="91"/>
      <c r="L33" s="91"/>
      <c r="M33" s="91"/>
      <c r="N33" s="91"/>
      <c r="Q33" s="91" t="str">
        <f>J33</f>
        <v>ATT</v>
      </c>
      <c r="R33" s="91"/>
      <c r="S33" s="91"/>
      <c r="T33" s="91"/>
      <c r="U33" s="91"/>
      <c r="X33" s="91" t="str">
        <f>Q33</f>
        <v>ATT</v>
      </c>
      <c r="Y33" s="91"/>
      <c r="Z33" s="91"/>
      <c r="AA33" s="91"/>
      <c r="AB33" s="91"/>
    </row>
    <row r="34" spans="2:28" ht="15.75" x14ac:dyDescent="0.25">
      <c r="B34" s="85">
        <f>IF(IF(AND(C6="no",AND(C14&lt;&gt;E20,C14&lt;&gt;F20)),AF18,MIN(C18,K18,R18))=0,"not available",IF(AND(C6="no",AND(C14&lt;&gt;E20,C14&lt;&gt;F20)),AF18,MIN(C18,K18,R18)))</f>
        <v>110</v>
      </c>
      <c r="C34" s="85" t="str">
        <f t="array" ref="C34">INDEX(J31:N32,ROW(31:31)-ROW(29:29),SMALL(IF(J31:N31=B34,COLUMN(J31:N31)-COLUMN(I:I)),COLUMN(A:A)))</f>
        <v xml:space="preserve">Bring your Own </v>
      </c>
      <c r="D34" s="86" t="str">
        <f t="array" ref="D34">IF(ISERROR(INDEX(J31:N32,ROW(31:31)-ROW(29:29),SMALL(IF(J31:N31=B34,COLUMN(J31:N31)-COLUMN(I:I)),COLUMN(B:B)))),"",INDEX(J31:N32,ROW(31:31)-ROW(29:29),SMALL(IF(J31:N31=B34,COLUMN(J31:N31)-COLUMN(I:I)),COLUMN(B:B))))</f>
        <v/>
      </c>
      <c r="E34" s="137">
        <f>IF(ISERROR(IF(ISNUMBER(HLOOKUP(D34,Q31:U32,2,FALSE)),MIN(HLOOKUP(D34,Q31:U32,2,FALSE),HLOOKUP(C34,Q31:U32,2,FALSE)),HLOOKUP(C34,Q31:U32,2,FALSE))),"not available", IF(ISNUMBER(HLOOKUP(D34,Q31:U32,2,FALSE)),MIN(HLOOKUP(D34,Q31:U32,2,FALSE),HLOOKUP(C34,Q31:U32,2,FALSE)),HLOOKUP(C34,Q31:U32,2,FALSE)))</f>
        <v>0</v>
      </c>
      <c r="J34" s="91">
        <f>D18</f>
        <v>219.99875</v>
      </c>
      <c r="K34" s="91">
        <f>L18</f>
        <v>231.24874999999997</v>
      </c>
      <c r="L34" s="91">
        <f>S18</f>
        <v>226.24874999999997</v>
      </c>
      <c r="M34" s="91">
        <f>Z18</f>
        <v>215</v>
      </c>
      <c r="N34" s="91">
        <f>AG18</f>
        <v>150</v>
      </c>
      <c r="Q34" s="91" t="str">
        <f>J35</f>
        <v>Discount</v>
      </c>
      <c r="R34" s="91" t="str">
        <f>K35</f>
        <v>Pay in Full</v>
      </c>
      <c r="S34" s="91" t="str">
        <f>L35</f>
        <v>Finance</v>
      </c>
      <c r="T34" s="91" t="str">
        <f>M35</f>
        <v>3rd Party</v>
      </c>
      <c r="U34" s="91" t="str">
        <f>N35</f>
        <v xml:space="preserve">Bring your Own </v>
      </c>
      <c r="X34" s="91"/>
      <c r="Y34" s="91"/>
      <c r="Z34" s="91"/>
      <c r="AA34" s="91"/>
      <c r="AB34" s="91"/>
    </row>
    <row r="35" spans="2:28" ht="15.75" x14ac:dyDescent="0.25">
      <c r="B35" s="84" t="str">
        <f>D20</f>
        <v>ATT</v>
      </c>
      <c r="C35" s="87"/>
      <c r="D35" s="88"/>
      <c r="E35" s="136"/>
      <c r="F35" s="68"/>
      <c r="G35" s="68"/>
      <c r="J35" s="91" t="str">
        <f>C19</f>
        <v>Discount</v>
      </c>
      <c r="K35" s="91" t="str">
        <f>K19</f>
        <v>Pay in Full</v>
      </c>
      <c r="L35" s="91" t="str">
        <f>R19</f>
        <v>Finance</v>
      </c>
      <c r="M35" s="91" t="str">
        <f>Y19</f>
        <v>3rd Party</v>
      </c>
      <c r="N35" s="91" t="str">
        <f>AF19</f>
        <v xml:space="preserve">Bring your Own </v>
      </c>
      <c r="Q35" s="91">
        <f>D22*$C$3*24+D26*$C$3</f>
        <v>719.97</v>
      </c>
      <c r="R35" s="91">
        <f>L22*$C$3*24+L26*$C$3</f>
        <v>2069.9700000000003</v>
      </c>
      <c r="S35" s="91">
        <f>S26</f>
        <v>0</v>
      </c>
      <c r="T35" s="91">
        <f>Z26*$C$3+Z22*24*C3</f>
        <v>1680</v>
      </c>
      <c r="U35" s="91">
        <f>AG26*$C$3</f>
        <v>120</v>
      </c>
      <c r="X35" s="91" t="str">
        <f>Q34</f>
        <v>Discount</v>
      </c>
      <c r="Y35" s="91" t="str">
        <f>R34</f>
        <v>Pay in Full</v>
      </c>
      <c r="Z35" s="91" t="str">
        <f>S34</f>
        <v>Finance</v>
      </c>
      <c r="AA35" s="91" t="str">
        <f>T34</f>
        <v>3rd Party</v>
      </c>
      <c r="AB35" s="91" t="str">
        <f>U34</f>
        <v xml:space="preserve">Bring your Own </v>
      </c>
    </row>
    <row r="36" spans="2:28" ht="15.75" x14ac:dyDescent="0.25">
      <c r="B36" s="85">
        <f>IF(IF(AND(C6="no",C14&lt;&gt;B37,C14&lt;&gt;B39),AG18,MIN(D18,L18,S18))=0,"not available",IF(AND(C6="no",C14&lt;&gt;B37,C14&lt;&gt;B39),AG18,MIN(D18,L18,S18)))</f>
        <v>150</v>
      </c>
      <c r="C36" s="85" t="str">
        <f t="array" ref="C36">INDEX(J34:N35,ROW(33:33)-ROW(31:31),SMALL(IF(J34:N34=B36,COLUMN(J34:N34)-COLUMN(I:I)),COLUMN(A:A)))</f>
        <v xml:space="preserve">Bring your Own </v>
      </c>
      <c r="D36" s="86" t="str">
        <f t="array" ref="D36">IF(ISERROR(INDEX(J34:N35,ROW(33:33)-ROW(31:31),SMALL(IF(J34:N34=B36,COLUMN(J34:N34)-COLUMN(I:I)),COLUMN(B:B)))),"",INDEX(J34:N35,ROW(33:33)-ROW(31:31),SMALL(IF(J34:N34=B36,COLUMN(J34:N34)-COLUMN(I:I)),COLUMN(B:B))))</f>
        <v/>
      </c>
      <c r="E36" s="137">
        <f>HLOOKUP(C36,Q34:U35,2,FALSE)</f>
        <v>120</v>
      </c>
      <c r="J36" s="91" t="str">
        <f>E20</f>
        <v>Sprint</v>
      </c>
      <c r="K36" s="91"/>
      <c r="L36" s="91"/>
      <c r="M36" s="91"/>
      <c r="N36" s="91"/>
      <c r="Q36" s="91" t="str">
        <f>J36</f>
        <v>Sprint</v>
      </c>
      <c r="R36" s="91"/>
      <c r="S36" s="91"/>
      <c r="T36" s="91"/>
      <c r="U36" s="91"/>
      <c r="X36" s="91" t="str">
        <f>Q36</f>
        <v>Sprint</v>
      </c>
      <c r="Y36" s="91"/>
      <c r="Z36" s="91"/>
      <c r="AA36" s="91"/>
      <c r="AB36" s="91"/>
    </row>
    <row r="37" spans="2:28" ht="15.75" x14ac:dyDescent="0.25">
      <c r="B37" s="84" t="str">
        <f>E20</f>
        <v>Sprint</v>
      </c>
      <c r="C37" s="87"/>
      <c r="D37" s="88"/>
      <c r="E37" s="136"/>
      <c r="J37" s="91">
        <f>E18</f>
        <v>219.49875</v>
      </c>
      <c r="K37" s="91">
        <f>M18</f>
        <v>230.74874999999997</v>
      </c>
      <c r="L37" s="91">
        <f>T18</f>
        <v>230.74874999999997</v>
      </c>
      <c r="M37" s="91">
        <f>AA18</f>
        <v>214.5</v>
      </c>
      <c r="N37" s="91">
        <f>AH18</f>
        <v>149.5</v>
      </c>
      <c r="Q37" s="91" t="str">
        <f>J38</f>
        <v>Discount</v>
      </c>
      <c r="R37" s="91" t="str">
        <f>K38</f>
        <v>Pay in Full</v>
      </c>
      <c r="S37" s="91" t="str">
        <f>L38</f>
        <v>Finance</v>
      </c>
      <c r="T37" s="91" t="str">
        <f>M38</f>
        <v>3rd Party</v>
      </c>
      <c r="U37" s="91" t="str">
        <f>N38</f>
        <v xml:space="preserve">Bring your Own </v>
      </c>
      <c r="X37" s="91"/>
      <c r="Y37" s="91"/>
      <c r="Z37" s="91"/>
      <c r="AA37" s="129"/>
      <c r="AB37" s="129"/>
    </row>
    <row r="38" spans="2:28" ht="15.75" x14ac:dyDescent="0.25">
      <c r="B38" s="85">
        <f>IF(IF(AND(C6="no",C14=B37),AH18,MIN(E18,M18,T18))=0,"not available",IF(AND(C6="no",C14=B37),AH18,MIN(E18,M18,T18)))</f>
        <v>219.49875</v>
      </c>
      <c r="C38" s="85" t="str">
        <f t="array" ref="C38">INDEX(J37:N38,ROW(35:35)-ROW(33:33),SMALL(IF(J37:N37=B38,COLUMN(J37:N37)-COLUMN(I:I)),COLUMN(A:A)))</f>
        <v>Discount</v>
      </c>
      <c r="D38" s="86" t="str">
        <f t="array" ref="D38">IF(ISERROR(INDEX(J37:N38,ROW(35:35)-ROW(33:33),SMALL(IF(J37:N37=B38,COLUMN(J37:N37)-COLUMN(I:I)),COLUMN(B:B)))),"",INDEX(J37:N38,ROW(35:35)-ROW(33:33),SMALL(IF(J37:N37=B38,COLUMN(J37:N37)-COLUMN(I:I)),COLUMN(B:B))))</f>
        <v/>
      </c>
      <c r="E38" s="137">
        <f>IF(ISNUMBER(HLOOKUP(D38,Q37:U38,2,FALSE)),MIN(HLOOKUP(D38,Q37:U38,2,FALSE),HLOOKUP(C38,Q37:U38,2,FALSE)),HLOOKUP(C38,Q37:U38,2,FALSE))</f>
        <v>707.97</v>
      </c>
      <c r="J38" s="91" t="str">
        <f>C19</f>
        <v>Discount</v>
      </c>
      <c r="K38" s="91" t="str">
        <f>K19</f>
        <v>Pay in Full</v>
      </c>
      <c r="L38" s="91" t="str">
        <f>R19</f>
        <v>Finance</v>
      </c>
      <c r="M38" s="91" t="str">
        <f>Y19</f>
        <v>3rd Party</v>
      </c>
      <c r="N38" s="91" t="str">
        <f>AF19</f>
        <v xml:space="preserve">Bring your Own </v>
      </c>
      <c r="Q38" s="91">
        <f>E22*24*$C$3+E26*$C$3</f>
        <v>707.97</v>
      </c>
      <c r="R38" s="91">
        <f>M22*24*C3+M26*C3</f>
        <v>2057.9700000000003</v>
      </c>
      <c r="S38" s="91">
        <f>T26*C3</f>
        <v>108</v>
      </c>
      <c r="T38" s="129" t="s">
        <v>406</v>
      </c>
      <c r="U38" s="129" t="s">
        <v>406</v>
      </c>
      <c r="X38" s="91" t="str">
        <f>Q37</f>
        <v>Discount</v>
      </c>
      <c r="Y38" s="91" t="str">
        <f>R37</f>
        <v>Pay in Full</v>
      </c>
      <c r="Z38" s="91" t="str">
        <f>S37</f>
        <v>Finance</v>
      </c>
      <c r="AA38" s="91" t="str">
        <f>T37</f>
        <v>3rd Party</v>
      </c>
      <c r="AB38" s="91" t="str">
        <f>U37</f>
        <v xml:space="preserve">Bring your Own </v>
      </c>
    </row>
    <row r="39" spans="2:28" ht="15.75" x14ac:dyDescent="0.25">
      <c r="B39" s="84" t="str">
        <f>F20</f>
        <v>Verizon</v>
      </c>
      <c r="C39" s="87"/>
      <c r="D39" s="88"/>
      <c r="E39" s="136"/>
      <c r="J39" s="91" t="str">
        <f>F20</f>
        <v>Verizon</v>
      </c>
      <c r="K39" s="91"/>
      <c r="L39" s="91"/>
      <c r="M39" s="91"/>
      <c r="N39" s="91"/>
      <c r="Q39" s="91" t="str">
        <f>J39</f>
        <v>Verizon</v>
      </c>
      <c r="R39" s="91"/>
      <c r="S39" s="91"/>
      <c r="T39" s="91"/>
      <c r="U39" s="91"/>
      <c r="X39" s="91" t="str">
        <f>Q39</f>
        <v>Verizon</v>
      </c>
      <c r="Y39" s="91"/>
      <c r="Z39" s="91"/>
      <c r="AA39" s="91"/>
      <c r="AB39" s="91"/>
    </row>
    <row r="40" spans="2:28" ht="15.75" x14ac:dyDescent="0.25">
      <c r="B40" s="89">
        <f>IF(IF(AND(C6="no",C14=B39),AI18,MIN(F18,N18,U18))=0,"not available",IF(AND(C6="no",C14=B39),AI18,MIN(F18,N18,U18)))</f>
        <v>183.74874999999997</v>
      </c>
      <c r="C40" s="89" t="str">
        <f t="array" ref="C40">INDEX(J40:N41,ROW(37:37)-ROW(35:35),SMALL(IF(J40:N40=B40,COLUMN(J40:N40)-COLUMN(I:I)),COLUMN(A:A)))</f>
        <v>Finance</v>
      </c>
      <c r="D40" s="90" t="str">
        <f t="array" ref="D40">IF(ISERROR(INDEX(J40:N41,ROW(37:37)-ROW(35:35),SMALL(IF(J40:N40=B40,COLUMN(J40:N40)-COLUMN(I:I)),COLUMN(B:B)))),"",INDEX(J40:N41,ROW(37:37)-ROW(35:35),SMALL(IF(J40:N40=B40,COLUMN(J40:N40)-COLUMN(I:I)),COLUMN(B:B))))</f>
        <v/>
      </c>
      <c r="E40" s="138">
        <f>HLOOKUP(C40,Q40:U41,2,FALSE)</f>
        <v>0</v>
      </c>
      <c r="J40" s="91">
        <f>F18</f>
        <v>219.99875</v>
      </c>
      <c r="K40" s="91">
        <f>N18</f>
        <v>276.24874999999997</v>
      </c>
      <c r="L40" s="91">
        <f>U18</f>
        <v>183.74874999999997</v>
      </c>
      <c r="M40" s="91">
        <f>AB18</f>
        <v>260</v>
      </c>
      <c r="N40" s="91">
        <f>AI18</f>
        <v>195</v>
      </c>
      <c r="Q40" s="91" t="str">
        <f>J41</f>
        <v>Discount</v>
      </c>
      <c r="R40" s="91" t="str">
        <f>K41</f>
        <v>Pay in Full</v>
      </c>
      <c r="S40" s="91" t="str">
        <f>L41</f>
        <v>Finance</v>
      </c>
      <c r="T40" s="91" t="str">
        <f>M41</f>
        <v>3rd Party</v>
      </c>
      <c r="U40" s="91" t="str">
        <f>N41</f>
        <v xml:space="preserve">Bring your Own </v>
      </c>
      <c r="X40" s="91"/>
      <c r="Y40" s="91"/>
      <c r="Z40" s="91"/>
      <c r="AA40" s="91"/>
      <c r="AB40" s="91"/>
    </row>
    <row r="41" spans="2:28" x14ac:dyDescent="0.25">
      <c r="J41" s="91" t="str">
        <f>C19</f>
        <v>Discount</v>
      </c>
      <c r="K41" s="91" t="str">
        <f>K19</f>
        <v>Pay in Full</v>
      </c>
      <c r="L41" s="91" t="str">
        <f>R19</f>
        <v>Finance</v>
      </c>
      <c r="M41" s="91" t="str">
        <f>Y19</f>
        <v>3rd Party</v>
      </c>
      <c r="N41" s="91" t="str">
        <f>AF19</f>
        <v xml:space="preserve">Bring your Own </v>
      </c>
      <c r="Q41" s="91">
        <f>F22*24*$C$3+F26*$C$3</f>
        <v>719.97</v>
      </c>
      <c r="R41" s="91">
        <f>N22*24*$C$3+N26*$C$3</f>
        <v>2069.9700000000003</v>
      </c>
      <c r="S41" s="91">
        <f>U26</f>
        <v>0</v>
      </c>
      <c r="T41" s="91">
        <f>AB26*C3+AB22*24*C3</f>
        <v>1680</v>
      </c>
      <c r="U41" s="91">
        <f>AI26*C3</f>
        <v>120</v>
      </c>
      <c r="X41" s="91" t="str">
        <f>Q40</f>
        <v>Discount</v>
      </c>
      <c r="Y41" s="91" t="str">
        <f>R40</f>
        <v>Pay in Full</v>
      </c>
      <c r="Z41" s="91" t="str">
        <f>S40</f>
        <v>Finance</v>
      </c>
      <c r="AA41" s="91" t="str">
        <f>T40</f>
        <v>3rd Party</v>
      </c>
      <c r="AB41" s="91" t="str">
        <f>U40</f>
        <v xml:space="preserve">Bring your Own </v>
      </c>
    </row>
    <row r="44" spans="2:28" x14ac:dyDescent="0.25">
      <c r="J44" s="91">
        <f>B34</f>
        <v>110</v>
      </c>
      <c r="K44" s="91">
        <f>B36</f>
        <v>150</v>
      </c>
      <c r="L44" s="91">
        <f>B38</f>
        <v>219.49875</v>
      </c>
      <c r="M44" s="91">
        <f>B40</f>
        <v>183.74874999999997</v>
      </c>
      <c r="N44" s="91"/>
    </row>
    <row r="45" spans="2:28" x14ac:dyDescent="0.25">
      <c r="J45" s="91" t="str">
        <f>B33</f>
        <v>T-Mobile</v>
      </c>
      <c r="K45" s="91" t="str">
        <f>B35</f>
        <v>ATT</v>
      </c>
      <c r="L45" s="91" t="str">
        <f>B37</f>
        <v>Sprint</v>
      </c>
      <c r="M45" s="91" t="str">
        <f>B39</f>
        <v>Verizon</v>
      </c>
      <c r="N45" s="91"/>
    </row>
  </sheetData>
  <dataConsolidate function="product"/>
  <mergeCells count="1">
    <mergeCell ref="C33:D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zoomScale="175" zoomScaleNormal="175" workbookViewId="0">
      <selection activeCell="D10" sqref="D10"/>
    </sheetView>
  </sheetViews>
  <sheetFormatPr defaultRowHeight="15" x14ac:dyDescent="0.25"/>
  <sheetData>
    <row r="2" spans="1:13" x14ac:dyDescent="0.25">
      <c r="K2" t="s">
        <v>412</v>
      </c>
    </row>
    <row r="3" spans="1:13" x14ac:dyDescent="0.25">
      <c r="B3" s="95" t="s">
        <v>370</v>
      </c>
      <c r="K3" t="s">
        <v>413</v>
      </c>
      <c r="M3" s="92" t="s">
        <v>419</v>
      </c>
    </row>
    <row r="4" spans="1:13" x14ac:dyDescent="0.25">
      <c r="B4" s="95" t="s">
        <v>371</v>
      </c>
      <c r="K4" t="s">
        <v>414</v>
      </c>
      <c r="M4" t="s">
        <v>420</v>
      </c>
    </row>
    <row r="5" spans="1:13" x14ac:dyDescent="0.25">
      <c r="B5" s="95" t="s">
        <v>367</v>
      </c>
      <c r="K5" t="s">
        <v>415</v>
      </c>
    </row>
    <row r="6" spans="1:13" x14ac:dyDescent="0.25">
      <c r="A6" s="92" t="s">
        <v>345</v>
      </c>
      <c r="K6" s="92" t="s">
        <v>416</v>
      </c>
    </row>
    <row r="7" spans="1:13" x14ac:dyDescent="0.25">
      <c r="B7" s="95" t="s">
        <v>365</v>
      </c>
      <c r="K7" s="92" t="s">
        <v>417</v>
      </c>
    </row>
    <row r="8" spans="1:13" x14ac:dyDescent="0.25">
      <c r="K8" s="134" t="s">
        <v>418</v>
      </c>
    </row>
    <row r="9" spans="1:13" x14ac:dyDescent="0.25">
      <c r="F9" s="24" t="s">
        <v>401</v>
      </c>
      <c r="H9" s="128" t="s">
        <v>405</v>
      </c>
    </row>
    <row r="10" spans="1:13" x14ac:dyDescent="0.25">
      <c r="A10" t="s">
        <v>369</v>
      </c>
      <c r="F10" s="24" t="s">
        <v>397</v>
      </c>
      <c r="H10" s="92" t="s">
        <v>407</v>
      </c>
    </row>
    <row r="11" spans="1:13" x14ac:dyDescent="0.25">
      <c r="F11" s="92" t="s">
        <v>398</v>
      </c>
      <c r="H11" s="92" t="s">
        <v>408</v>
      </c>
      <c r="K11" t="s">
        <v>130</v>
      </c>
      <c r="M11" s="146" t="s">
        <v>421</v>
      </c>
    </row>
    <row r="12" spans="1:13" x14ac:dyDescent="0.25">
      <c r="A12" s="92" t="s">
        <v>346</v>
      </c>
      <c r="F12" s="92" t="s">
        <v>399</v>
      </c>
    </row>
    <row r="13" spans="1:13" x14ac:dyDescent="0.25">
      <c r="F13" s="24" t="s">
        <v>402</v>
      </c>
      <c r="G13" s="127" t="s">
        <v>403</v>
      </c>
    </row>
    <row r="14" spans="1:13" x14ac:dyDescent="0.25">
      <c r="F14" s="24" t="s">
        <v>404</v>
      </c>
    </row>
    <row r="15" spans="1:13" x14ac:dyDescent="0.25">
      <c r="A15" s="24" t="s">
        <v>368</v>
      </c>
    </row>
    <row r="21" spans="1:1" x14ac:dyDescent="0.25">
      <c r="A21" t="s">
        <v>422</v>
      </c>
    </row>
    <row r="22" spans="1:1" x14ac:dyDescent="0.25">
      <c r="A22" t="s">
        <v>423</v>
      </c>
    </row>
    <row r="23" spans="1:1" x14ac:dyDescent="0.25">
      <c r="A23" t="s">
        <v>424</v>
      </c>
    </row>
    <row r="24" spans="1:1" x14ac:dyDescent="0.25">
      <c r="A24" t="s">
        <v>425</v>
      </c>
    </row>
    <row r="26" spans="1:1" x14ac:dyDescent="0.25">
      <c r="A26" t="s">
        <v>426</v>
      </c>
    </row>
    <row r="27" spans="1:1" x14ac:dyDescent="0.25">
      <c r="A27" t="s">
        <v>427</v>
      </c>
    </row>
    <row r="28" spans="1:1" x14ac:dyDescent="0.25">
      <c r="A28" t="s">
        <v>428</v>
      </c>
    </row>
  </sheetData>
  <hyperlinks>
    <hyperlink ref="G1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Y39"/>
  <sheetViews>
    <sheetView topLeftCell="H1" workbookViewId="0">
      <selection activeCell="K10" sqref="K10"/>
    </sheetView>
  </sheetViews>
  <sheetFormatPr defaultRowHeight="15" x14ac:dyDescent="0.25"/>
  <cols>
    <col min="1" max="1" width="9.140625" customWidth="1"/>
    <col min="2" max="2" width="29.85546875" customWidth="1"/>
    <col min="3" max="7" width="16.5703125" customWidth="1"/>
    <col min="8" max="8" width="3.42578125" customWidth="1"/>
    <col min="9" max="9" width="11.85546875" bestFit="1" customWidth="1"/>
    <col min="10" max="10" width="18.85546875" customWidth="1"/>
    <col min="11" max="25" width="16.5703125" style="113" customWidth="1"/>
  </cols>
  <sheetData>
    <row r="1" spans="1:25" x14ac:dyDescent="0.25">
      <c r="B1" s="6" t="s">
        <v>32</v>
      </c>
      <c r="I1" s="32" t="s">
        <v>396</v>
      </c>
    </row>
    <row r="2" spans="1:25" x14ac:dyDescent="0.25">
      <c r="B2" s="4" t="s">
        <v>31</v>
      </c>
      <c r="C2">
        <v>1</v>
      </c>
      <c r="J2" s="114" t="s">
        <v>374</v>
      </c>
      <c r="K2" s="115" t="s">
        <v>376</v>
      </c>
      <c r="L2" s="115" t="s">
        <v>376</v>
      </c>
      <c r="M2" s="115" t="s">
        <v>376</v>
      </c>
      <c r="N2" s="115" t="s">
        <v>376</v>
      </c>
      <c r="O2" s="115" t="s">
        <v>381</v>
      </c>
      <c r="P2" s="115" t="s">
        <v>383</v>
      </c>
      <c r="Q2" s="115" t="s">
        <v>383</v>
      </c>
      <c r="R2" s="115" t="s">
        <v>385</v>
      </c>
      <c r="S2" s="115" t="s">
        <v>386</v>
      </c>
      <c r="T2" s="115" t="s">
        <v>386</v>
      </c>
      <c r="U2" s="115" t="s">
        <v>38</v>
      </c>
      <c r="V2" s="115" t="s">
        <v>38</v>
      </c>
      <c r="W2" s="115" t="s">
        <v>38</v>
      </c>
      <c r="X2" s="115" t="s">
        <v>38</v>
      </c>
      <c r="Y2" s="115" t="s">
        <v>393</v>
      </c>
    </row>
    <row r="3" spans="1:25" ht="30" x14ac:dyDescent="0.25">
      <c r="B3" s="4" t="s">
        <v>45</v>
      </c>
      <c r="I3" s="8" t="s">
        <v>11</v>
      </c>
      <c r="J3" s="114" t="s">
        <v>375</v>
      </c>
      <c r="K3" s="115" t="s">
        <v>377</v>
      </c>
      <c r="L3" s="115" t="s">
        <v>378</v>
      </c>
      <c r="M3" s="115" t="s">
        <v>379</v>
      </c>
      <c r="N3" s="115" t="s">
        <v>380</v>
      </c>
      <c r="O3" s="115" t="s">
        <v>382</v>
      </c>
      <c r="P3" s="115" t="s">
        <v>395</v>
      </c>
      <c r="Q3" s="115" t="s">
        <v>384</v>
      </c>
      <c r="R3" s="115" t="s">
        <v>36</v>
      </c>
      <c r="S3" s="115" t="s">
        <v>387</v>
      </c>
      <c r="T3" s="115" t="s">
        <v>388</v>
      </c>
      <c r="U3" s="115" t="s">
        <v>389</v>
      </c>
      <c r="V3" s="115" t="s">
        <v>390</v>
      </c>
      <c r="W3" s="115" t="s">
        <v>391</v>
      </c>
      <c r="X3" s="115" t="s">
        <v>392</v>
      </c>
      <c r="Y3" s="115" t="s">
        <v>394</v>
      </c>
    </row>
    <row r="4" spans="1:25" x14ac:dyDescent="0.25">
      <c r="B4" s="4" t="s">
        <v>28</v>
      </c>
      <c r="E4" t="s">
        <v>60</v>
      </c>
      <c r="I4" s="162" t="s">
        <v>4</v>
      </c>
      <c r="J4" s="10" t="s">
        <v>161</v>
      </c>
      <c r="K4" s="116">
        <v>0.99</v>
      </c>
      <c r="L4" s="116">
        <v>99.99</v>
      </c>
      <c r="M4" s="116">
        <v>199.99</v>
      </c>
      <c r="N4" s="116">
        <v>299.99</v>
      </c>
      <c r="O4" s="116">
        <v>199.99</v>
      </c>
      <c r="P4" s="116">
        <v>99.99</v>
      </c>
      <c r="Q4" s="116">
        <v>199.99</v>
      </c>
      <c r="R4" s="116">
        <v>99.99</v>
      </c>
      <c r="S4" s="116">
        <v>0</v>
      </c>
      <c r="T4" s="118">
        <v>0.99</v>
      </c>
      <c r="U4" s="116">
        <v>0.99</v>
      </c>
      <c r="V4" s="116">
        <v>99.99</v>
      </c>
      <c r="W4" s="116">
        <v>199.99</v>
      </c>
      <c r="X4" s="116">
        <v>299.99</v>
      </c>
      <c r="Y4" s="116">
        <v>0.99</v>
      </c>
    </row>
    <row r="5" spans="1:25" x14ac:dyDescent="0.25">
      <c r="B5" s="4" t="s">
        <v>29</v>
      </c>
      <c r="E5" t="s">
        <v>61</v>
      </c>
      <c r="I5" s="160"/>
      <c r="J5" s="10" t="s">
        <v>160</v>
      </c>
      <c r="K5" s="116">
        <v>449.99</v>
      </c>
      <c r="L5" s="116">
        <v>549.99</v>
      </c>
      <c r="M5" s="116">
        <v>649.99</v>
      </c>
      <c r="N5" s="116">
        <v>749.99</v>
      </c>
      <c r="O5" s="116">
        <v>599.99</v>
      </c>
      <c r="P5" s="116">
        <v>499.99</v>
      </c>
      <c r="Q5" s="116">
        <v>599.99</v>
      </c>
      <c r="R5" s="116">
        <v>449.99</v>
      </c>
      <c r="S5" s="116">
        <v>399.99</v>
      </c>
      <c r="T5" s="116">
        <v>499.99</v>
      </c>
      <c r="U5" s="116">
        <v>279.99</v>
      </c>
      <c r="V5" s="116">
        <v>499.99</v>
      </c>
      <c r="W5" s="116">
        <v>599.99</v>
      </c>
      <c r="X5" s="116">
        <v>699.99</v>
      </c>
      <c r="Y5" s="116">
        <v>149</v>
      </c>
    </row>
    <row r="6" spans="1:25" x14ac:dyDescent="0.25">
      <c r="B6" s="4" t="s">
        <v>30</v>
      </c>
      <c r="I6" s="160"/>
      <c r="J6" s="10" t="s">
        <v>0</v>
      </c>
      <c r="K6" s="116">
        <v>449.99</v>
      </c>
      <c r="L6" s="116">
        <v>549.99</v>
      </c>
      <c r="M6" s="116">
        <v>649.99</v>
      </c>
      <c r="N6" s="116">
        <v>749.99</v>
      </c>
      <c r="O6" s="116">
        <v>599.99</v>
      </c>
      <c r="P6" s="116">
        <v>499.99</v>
      </c>
      <c r="Q6" s="116">
        <v>599.99</v>
      </c>
      <c r="R6" s="116">
        <v>449.99</v>
      </c>
      <c r="S6" s="116">
        <v>399.99</v>
      </c>
      <c r="T6" s="116">
        <v>499.99</v>
      </c>
      <c r="U6" s="117" t="s">
        <v>202</v>
      </c>
      <c r="V6" s="116">
        <v>499.99</v>
      </c>
      <c r="W6" s="116">
        <v>599.99</v>
      </c>
      <c r="X6" s="116">
        <v>699.99</v>
      </c>
      <c r="Y6" s="116">
        <v>149</v>
      </c>
    </row>
    <row r="7" spans="1:25" x14ac:dyDescent="0.25">
      <c r="B7" s="4"/>
      <c r="I7" s="160"/>
      <c r="J7" s="10" t="s">
        <v>193</v>
      </c>
      <c r="K7" s="116">
        <v>250</v>
      </c>
      <c r="L7" s="116">
        <v>320</v>
      </c>
      <c r="M7" s="116">
        <v>520</v>
      </c>
      <c r="N7" s="116">
        <v>620</v>
      </c>
      <c r="O7" s="116">
        <v>560</v>
      </c>
      <c r="P7" s="116">
        <v>249</v>
      </c>
      <c r="Q7" s="116">
        <v>500</v>
      </c>
      <c r="R7" s="116">
        <v>260</v>
      </c>
      <c r="S7" s="116">
        <v>175</v>
      </c>
      <c r="T7" s="116">
        <v>200</v>
      </c>
      <c r="U7" s="116">
        <v>239</v>
      </c>
      <c r="V7" s="116">
        <v>369</v>
      </c>
      <c r="W7" s="116">
        <v>600</v>
      </c>
      <c r="X7" s="116">
        <v>700</v>
      </c>
      <c r="Y7" s="116">
        <v>85</v>
      </c>
    </row>
    <row r="8" spans="1:25" ht="15" customHeight="1" x14ac:dyDescent="0.25">
      <c r="C8" s="7" t="s">
        <v>31</v>
      </c>
      <c r="D8" s="7" t="s">
        <v>45</v>
      </c>
      <c r="E8" s="7" t="s">
        <v>34</v>
      </c>
      <c r="F8" s="7" t="s">
        <v>29</v>
      </c>
      <c r="G8" s="7" t="s">
        <v>30</v>
      </c>
      <c r="I8" s="160"/>
      <c r="J8" s="10" t="s">
        <v>196</v>
      </c>
      <c r="K8" s="116">
        <v>0</v>
      </c>
      <c r="L8" s="116">
        <v>0</v>
      </c>
      <c r="M8" s="116">
        <v>0</v>
      </c>
      <c r="N8" s="116">
        <v>0</v>
      </c>
      <c r="O8" s="116">
        <v>0</v>
      </c>
      <c r="P8" s="116">
        <v>0</v>
      </c>
      <c r="Q8" s="116">
        <v>0</v>
      </c>
      <c r="R8" s="116">
        <v>0</v>
      </c>
      <c r="S8" s="116">
        <v>0</v>
      </c>
      <c r="T8" s="116">
        <v>0</v>
      </c>
      <c r="U8" s="116">
        <v>0</v>
      </c>
      <c r="V8" s="116">
        <v>0</v>
      </c>
      <c r="W8" s="116">
        <v>0</v>
      </c>
      <c r="X8" s="116">
        <v>0</v>
      </c>
      <c r="Y8" s="116">
        <v>0</v>
      </c>
    </row>
    <row r="9" spans="1:25" x14ac:dyDescent="0.25">
      <c r="C9" s="7" t="s">
        <v>139</v>
      </c>
      <c r="D9" s="7" t="s">
        <v>361</v>
      </c>
      <c r="E9" s="7" t="s">
        <v>362</v>
      </c>
      <c r="F9" s="7" t="s">
        <v>363</v>
      </c>
      <c r="G9" s="7" t="s">
        <v>364</v>
      </c>
      <c r="I9" s="161"/>
      <c r="J9" s="10" t="s">
        <v>203</v>
      </c>
      <c r="K9" s="117" t="s">
        <v>202</v>
      </c>
      <c r="L9" s="117" t="s">
        <v>202</v>
      </c>
      <c r="M9" s="117" t="s">
        <v>202</v>
      </c>
      <c r="N9" s="117" t="s">
        <v>202</v>
      </c>
      <c r="O9" s="117" t="s">
        <v>202</v>
      </c>
      <c r="P9" s="117" t="s">
        <v>202</v>
      </c>
      <c r="Q9" s="117" t="s">
        <v>202</v>
      </c>
      <c r="R9" s="117" t="s">
        <v>202</v>
      </c>
      <c r="S9" s="117" t="s">
        <v>202</v>
      </c>
      <c r="T9" s="117" t="s">
        <v>202</v>
      </c>
      <c r="U9" s="117" t="s">
        <v>202</v>
      </c>
      <c r="V9" s="117" t="s">
        <v>202</v>
      </c>
      <c r="W9" s="117" t="s">
        <v>202</v>
      </c>
      <c r="X9" s="117" t="s">
        <v>202</v>
      </c>
      <c r="Y9" s="117" t="s">
        <v>202</v>
      </c>
    </row>
    <row r="10" spans="1:25" x14ac:dyDescent="0.25">
      <c r="A10" t="s">
        <v>44</v>
      </c>
      <c r="B10" s="8" t="s">
        <v>0</v>
      </c>
      <c r="C10" s="9">
        <v>649.99</v>
      </c>
      <c r="D10" s="9">
        <v>600</v>
      </c>
      <c r="E10" s="9">
        <v>500</v>
      </c>
      <c r="F10" s="9">
        <v>549.99</v>
      </c>
      <c r="G10" s="9">
        <v>499.99</v>
      </c>
      <c r="I10" s="162" t="s">
        <v>17</v>
      </c>
      <c r="J10" s="10" t="s">
        <v>161</v>
      </c>
      <c r="K10" s="116">
        <v>0</v>
      </c>
      <c r="L10" s="116">
        <v>99.99</v>
      </c>
      <c r="M10" s="116">
        <v>199.99</v>
      </c>
      <c r="N10" s="116">
        <v>299.99</v>
      </c>
      <c r="O10" s="117">
        <v>249.99</v>
      </c>
      <c r="P10" s="116">
        <v>199.99</v>
      </c>
      <c r="Q10" s="116">
        <v>199.99</v>
      </c>
      <c r="R10" s="116">
        <v>0</v>
      </c>
      <c r="S10" s="117" t="s">
        <v>202</v>
      </c>
      <c r="T10" s="116">
        <v>99.99</v>
      </c>
      <c r="U10" s="117" t="s">
        <v>202</v>
      </c>
      <c r="V10" s="116">
        <v>129.99</v>
      </c>
      <c r="W10" s="116">
        <v>199.99</v>
      </c>
      <c r="X10" s="116">
        <v>299.99</v>
      </c>
      <c r="Y10" s="116">
        <v>0</v>
      </c>
    </row>
    <row r="11" spans="1:25" x14ac:dyDescent="0.25">
      <c r="B11" s="8" t="s">
        <v>1</v>
      </c>
      <c r="C11" s="9">
        <v>649.99</v>
      </c>
      <c r="D11" s="9">
        <v>600</v>
      </c>
      <c r="E11" s="9">
        <v>500</v>
      </c>
      <c r="F11" s="9">
        <v>549.99</v>
      </c>
      <c r="G11" s="9">
        <v>499.99</v>
      </c>
      <c r="I11" s="160"/>
      <c r="J11" s="10" t="s">
        <v>160</v>
      </c>
      <c r="K11" s="116">
        <v>449.99</v>
      </c>
      <c r="L11" s="116">
        <v>549.99</v>
      </c>
      <c r="M11" s="116">
        <v>649.99</v>
      </c>
      <c r="N11" s="116">
        <v>749.99</v>
      </c>
      <c r="O11" s="117">
        <v>699.99</v>
      </c>
      <c r="P11" s="116">
        <v>689.99</v>
      </c>
      <c r="Q11" s="116">
        <v>708.99</v>
      </c>
      <c r="R11" s="116">
        <v>498.99</v>
      </c>
      <c r="S11" s="117" t="s">
        <v>202</v>
      </c>
      <c r="T11" s="116">
        <v>546.99</v>
      </c>
      <c r="U11" s="117" t="s">
        <v>202</v>
      </c>
      <c r="V11" s="116">
        <v>579.99</v>
      </c>
      <c r="W11" s="116">
        <v>684.99</v>
      </c>
      <c r="X11" s="116">
        <v>814.99</v>
      </c>
      <c r="Y11" s="116">
        <v>170.99</v>
      </c>
    </row>
    <row r="12" spans="1:25" x14ac:dyDescent="0.25">
      <c r="B12" s="8" t="s">
        <v>193</v>
      </c>
      <c r="C12" s="9">
        <v>900</v>
      </c>
      <c r="D12" s="9"/>
      <c r="E12" s="9"/>
      <c r="F12" s="9">
        <v>400</v>
      </c>
      <c r="G12" s="9">
        <v>400</v>
      </c>
      <c r="I12" s="160"/>
      <c r="J12" s="10" t="s">
        <v>0</v>
      </c>
      <c r="K12" s="116">
        <v>449.99</v>
      </c>
      <c r="L12" s="116">
        <v>549.99</v>
      </c>
      <c r="M12" s="116">
        <v>649.99</v>
      </c>
      <c r="N12" s="116">
        <v>749.99</v>
      </c>
      <c r="O12" s="117">
        <v>699.99</v>
      </c>
      <c r="P12" s="116">
        <v>689.99</v>
      </c>
      <c r="Q12" s="116">
        <v>708.99</v>
      </c>
      <c r="R12" s="116">
        <v>498.99</v>
      </c>
      <c r="S12" s="117" t="s">
        <v>202</v>
      </c>
      <c r="T12" s="116">
        <v>546.99</v>
      </c>
      <c r="U12" s="117" t="s">
        <v>202</v>
      </c>
      <c r="V12" s="116">
        <v>579.99</v>
      </c>
      <c r="W12" s="116">
        <v>684.99</v>
      </c>
      <c r="X12" s="116">
        <v>814.99</v>
      </c>
      <c r="Y12" s="117" t="s">
        <v>202</v>
      </c>
    </row>
    <row r="13" spans="1:25" x14ac:dyDescent="0.25">
      <c r="B13" s="8" t="s">
        <v>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I13" s="160"/>
      <c r="J13" s="10" t="s">
        <v>193</v>
      </c>
      <c r="K13" s="116">
        <v>250</v>
      </c>
      <c r="L13" s="116">
        <v>320</v>
      </c>
      <c r="M13" s="116">
        <v>520</v>
      </c>
      <c r="N13" s="116">
        <v>620</v>
      </c>
      <c r="O13" s="116">
        <v>560</v>
      </c>
      <c r="P13" s="116">
        <v>249</v>
      </c>
      <c r="Q13" s="116">
        <v>500</v>
      </c>
      <c r="R13" s="116">
        <v>260</v>
      </c>
      <c r="S13" s="116">
        <v>175</v>
      </c>
      <c r="T13" s="116">
        <v>200</v>
      </c>
      <c r="U13" s="116">
        <v>239</v>
      </c>
      <c r="V13" s="116">
        <v>369</v>
      </c>
      <c r="W13" s="116">
        <v>600</v>
      </c>
      <c r="X13" s="116">
        <v>700</v>
      </c>
      <c r="Y13" s="116">
        <v>85</v>
      </c>
    </row>
    <row r="14" spans="1:25" x14ac:dyDescent="0.25">
      <c r="B14" s="8" t="s">
        <v>2</v>
      </c>
      <c r="C14" s="9">
        <v>199.99</v>
      </c>
      <c r="D14" s="9">
        <v>200</v>
      </c>
      <c r="E14" s="9">
        <v>49</v>
      </c>
      <c r="F14" s="9">
        <v>0</v>
      </c>
      <c r="G14" s="9">
        <v>99.99</v>
      </c>
      <c r="I14" s="160"/>
      <c r="J14" s="10" t="s">
        <v>196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0</v>
      </c>
      <c r="Y14" s="116">
        <v>0</v>
      </c>
    </row>
    <row r="15" spans="1:25" x14ac:dyDescent="0.25">
      <c r="A15" t="s">
        <v>22</v>
      </c>
      <c r="B15" s="8" t="s">
        <v>0</v>
      </c>
      <c r="C15" s="9">
        <v>650</v>
      </c>
      <c r="D15" s="9">
        <v>610</v>
      </c>
      <c r="E15" s="10"/>
      <c r="F15" s="9">
        <v>449.76</v>
      </c>
      <c r="G15" s="9">
        <v>636</v>
      </c>
      <c r="I15" s="161"/>
      <c r="J15" s="10" t="s">
        <v>203</v>
      </c>
      <c r="K15" s="117" t="s">
        <v>202</v>
      </c>
      <c r="L15" s="117" t="s">
        <v>202</v>
      </c>
      <c r="M15" s="117" t="s">
        <v>202</v>
      </c>
      <c r="N15" s="117" t="s">
        <v>202</v>
      </c>
      <c r="O15" s="117" t="s">
        <v>202</v>
      </c>
      <c r="P15" s="117" t="s">
        <v>202</v>
      </c>
      <c r="Q15" s="117" t="s">
        <v>202</v>
      </c>
      <c r="R15" s="117" t="s">
        <v>202</v>
      </c>
      <c r="S15" s="117" t="s">
        <v>202</v>
      </c>
      <c r="T15" s="117" t="s">
        <v>202</v>
      </c>
      <c r="U15" s="117" t="s">
        <v>202</v>
      </c>
      <c r="V15" s="117" t="s">
        <v>202</v>
      </c>
      <c r="W15" s="117" t="s">
        <v>202</v>
      </c>
      <c r="X15" s="117" t="s">
        <v>202</v>
      </c>
      <c r="Y15" s="117" t="s">
        <v>202</v>
      </c>
    </row>
    <row r="16" spans="1:25" x14ac:dyDescent="0.25">
      <c r="B16" s="8" t="s">
        <v>1</v>
      </c>
      <c r="C16" s="9">
        <v>650</v>
      </c>
      <c r="D16" s="9">
        <v>610</v>
      </c>
      <c r="E16" s="10"/>
      <c r="F16" s="9">
        <v>449.76</v>
      </c>
      <c r="G16" s="9">
        <v>636</v>
      </c>
      <c r="I16" s="160" t="s">
        <v>133</v>
      </c>
      <c r="J16" s="10" t="s">
        <v>161</v>
      </c>
      <c r="K16" s="116">
        <v>0</v>
      </c>
      <c r="L16" s="116">
        <v>99.99</v>
      </c>
      <c r="M16" s="116">
        <v>199.99</v>
      </c>
      <c r="N16" s="116">
        <v>299.99</v>
      </c>
      <c r="O16" s="116">
        <v>199.99</v>
      </c>
      <c r="P16" s="116">
        <v>0</v>
      </c>
      <c r="Q16" s="116">
        <v>199.99</v>
      </c>
      <c r="R16" s="116">
        <v>49.99</v>
      </c>
      <c r="S16" s="117" t="s">
        <v>202</v>
      </c>
      <c r="T16" s="116">
        <v>0</v>
      </c>
      <c r="U16" s="116">
        <v>0</v>
      </c>
      <c r="V16" s="116">
        <v>99.99</v>
      </c>
      <c r="W16" s="116">
        <v>199.99</v>
      </c>
      <c r="X16" s="116">
        <v>299.99</v>
      </c>
      <c r="Y16" s="116">
        <v>0</v>
      </c>
    </row>
    <row r="17" spans="1:25" x14ac:dyDescent="0.25">
      <c r="B17" s="8" t="s">
        <v>193</v>
      </c>
      <c r="C17" s="9">
        <v>900</v>
      </c>
      <c r="D17" s="9"/>
      <c r="E17" s="9"/>
      <c r="F17" s="9">
        <v>400</v>
      </c>
      <c r="G17" s="9">
        <v>400</v>
      </c>
      <c r="I17" s="160"/>
      <c r="J17" s="10" t="s">
        <v>160</v>
      </c>
      <c r="K17" s="116">
        <v>449.99</v>
      </c>
      <c r="L17" s="116">
        <v>549.99</v>
      </c>
      <c r="M17" s="116">
        <v>649.99</v>
      </c>
      <c r="N17" s="116">
        <v>749.99</v>
      </c>
      <c r="O17" s="116">
        <v>648</v>
      </c>
      <c r="P17" s="116">
        <v>552</v>
      </c>
      <c r="Q17" s="116">
        <v>648</v>
      </c>
      <c r="R17" s="116">
        <v>599.99</v>
      </c>
      <c r="S17" s="117" t="s">
        <v>202</v>
      </c>
      <c r="T17" s="116">
        <v>399.99</v>
      </c>
      <c r="U17" s="116">
        <v>499.99</v>
      </c>
      <c r="V17" s="116">
        <v>552</v>
      </c>
      <c r="W17" s="116">
        <v>648</v>
      </c>
      <c r="X17" s="116">
        <v>768</v>
      </c>
      <c r="Y17" s="116">
        <v>96</v>
      </c>
    </row>
    <row r="18" spans="1:25" x14ac:dyDescent="0.25">
      <c r="B18" s="8" t="s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I18" s="160"/>
      <c r="J18" s="10" t="s">
        <v>0</v>
      </c>
      <c r="K18" s="116">
        <v>449.99</v>
      </c>
      <c r="L18" s="116">
        <v>549.99</v>
      </c>
      <c r="M18" s="116">
        <v>649.99</v>
      </c>
      <c r="N18" s="116">
        <v>749.99</v>
      </c>
      <c r="O18" s="116">
        <v>648</v>
      </c>
      <c r="P18" s="116">
        <v>552</v>
      </c>
      <c r="Q18" s="116">
        <v>648</v>
      </c>
      <c r="R18" s="116">
        <v>599.99</v>
      </c>
      <c r="S18" s="117" t="s">
        <v>202</v>
      </c>
      <c r="T18" s="116">
        <v>399.99</v>
      </c>
      <c r="U18" s="116">
        <f>17*24</f>
        <v>408</v>
      </c>
      <c r="V18" s="116">
        <v>552</v>
      </c>
      <c r="W18" s="116">
        <v>648</v>
      </c>
      <c r="X18" s="116">
        <v>768</v>
      </c>
      <c r="Y18" s="116">
        <v>96</v>
      </c>
    </row>
    <row r="19" spans="1:25" x14ac:dyDescent="0.25">
      <c r="B19" s="8" t="s">
        <v>16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I19" s="160"/>
      <c r="J19" s="10" t="s">
        <v>193</v>
      </c>
      <c r="K19" s="116">
        <v>250</v>
      </c>
      <c r="L19" s="116">
        <v>320</v>
      </c>
      <c r="M19" s="116">
        <v>520</v>
      </c>
      <c r="N19" s="116">
        <v>620</v>
      </c>
      <c r="O19" s="116">
        <v>560</v>
      </c>
      <c r="P19" s="116">
        <v>249</v>
      </c>
      <c r="Q19" s="116">
        <v>500</v>
      </c>
      <c r="R19" s="116">
        <v>260</v>
      </c>
      <c r="S19" s="116">
        <v>175</v>
      </c>
      <c r="T19" s="116">
        <v>200</v>
      </c>
      <c r="U19" s="116">
        <v>239</v>
      </c>
      <c r="V19" s="116">
        <v>369</v>
      </c>
      <c r="W19" s="116">
        <v>600</v>
      </c>
      <c r="X19" s="116">
        <v>700</v>
      </c>
      <c r="Y19" s="116">
        <v>20</v>
      </c>
    </row>
    <row r="20" spans="1:25" x14ac:dyDescent="0.25">
      <c r="B20" s="8" t="s">
        <v>2</v>
      </c>
      <c r="C20" s="9">
        <v>199.99</v>
      </c>
      <c r="D20" s="9">
        <v>200</v>
      </c>
      <c r="E20" s="9">
        <v>49</v>
      </c>
      <c r="F20" s="9">
        <v>0</v>
      </c>
      <c r="G20" s="9">
        <v>99.99</v>
      </c>
      <c r="I20" s="160"/>
      <c r="J20" s="10" t="s">
        <v>196</v>
      </c>
      <c r="K20" s="116">
        <v>0</v>
      </c>
      <c r="L20" s="116">
        <v>0</v>
      </c>
      <c r="M20" s="116">
        <v>0</v>
      </c>
      <c r="N20" s="116">
        <v>0</v>
      </c>
      <c r="O20" s="116">
        <v>0</v>
      </c>
      <c r="P20" s="116">
        <v>0</v>
      </c>
      <c r="Q20" s="116">
        <v>0</v>
      </c>
      <c r="R20" s="116">
        <v>0</v>
      </c>
      <c r="S20" s="116">
        <v>0</v>
      </c>
      <c r="T20" s="116">
        <v>0</v>
      </c>
      <c r="U20" s="116">
        <v>0</v>
      </c>
      <c r="V20" s="116">
        <v>0</v>
      </c>
      <c r="W20" s="116">
        <v>0</v>
      </c>
      <c r="X20" s="116">
        <v>0</v>
      </c>
      <c r="Y20" s="116">
        <v>0</v>
      </c>
    </row>
    <row r="21" spans="1:25" x14ac:dyDescent="0.25">
      <c r="A21" t="s">
        <v>22</v>
      </c>
      <c r="B21" s="8" t="s">
        <v>0</v>
      </c>
      <c r="C21" s="9">
        <v>650</v>
      </c>
      <c r="D21" s="9">
        <v>610</v>
      </c>
      <c r="E21" s="10"/>
      <c r="F21" s="9">
        <v>449.76</v>
      </c>
      <c r="G21" s="9">
        <v>636</v>
      </c>
      <c r="I21" s="161"/>
      <c r="J21" s="10" t="s">
        <v>203</v>
      </c>
      <c r="K21" s="117" t="s">
        <v>202</v>
      </c>
      <c r="L21" s="116">
        <f>18*24</f>
        <v>432</v>
      </c>
      <c r="M21" s="116">
        <f>20*24</f>
        <v>480</v>
      </c>
      <c r="N21" s="116">
        <f>25*24</f>
        <v>600</v>
      </c>
      <c r="O21" s="117" t="s">
        <v>202</v>
      </c>
      <c r="P21" s="117" t="s">
        <v>202</v>
      </c>
      <c r="Q21" s="116">
        <f>20*24</f>
        <v>480</v>
      </c>
      <c r="R21" s="116">
        <f>15*24</f>
        <v>360</v>
      </c>
      <c r="S21" s="117" t="s">
        <v>202</v>
      </c>
      <c r="T21" s="117" t="s">
        <v>202</v>
      </c>
      <c r="U21" s="117" t="s">
        <v>202</v>
      </c>
      <c r="V21" s="116">
        <f>15*24</f>
        <v>360</v>
      </c>
      <c r="W21" s="116">
        <f>20*24</f>
        <v>480</v>
      </c>
      <c r="X21" s="116">
        <f>25*24</f>
        <v>600</v>
      </c>
      <c r="Y21" s="117" t="s">
        <v>202</v>
      </c>
    </row>
    <row r="22" spans="1:25" x14ac:dyDescent="0.25">
      <c r="B22" s="8" t="s">
        <v>2</v>
      </c>
      <c r="C22" s="9">
        <v>199.99</v>
      </c>
      <c r="D22" s="9">
        <v>200</v>
      </c>
      <c r="E22" s="9">
        <v>99</v>
      </c>
      <c r="F22" s="9">
        <v>0</v>
      </c>
      <c r="G22" s="9">
        <v>200</v>
      </c>
      <c r="I22" s="162" t="s">
        <v>305</v>
      </c>
      <c r="J22" s="10" t="s">
        <v>161</v>
      </c>
      <c r="K22" s="117" t="s">
        <v>202</v>
      </c>
      <c r="L22" s="117" t="s">
        <v>202</v>
      </c>
      <c r="M22" s="117" t="s">
        <v>202</v>
      </c>
      <c r="N22" s="117" t="s">
        <v>202</v>
      </c>
      <c r="O22" s="117" t="s">
        <v>202</v>
      </c>
      <c r="P22" s="117" t="s">
        <v>202</v>
      </c>
      <c r="Q22" s="117" t="s">
        <v>202</v>
      </c>
      <c r="R22" s="117" t="s">
        <v>202</v>
      </c>
      <c r="S22" s="117" t="s">
        <v>202</v>
      </c>
      <c r="T22" s="117" t="s">
        <v>202</v>
      </c>
      <c r="U22" s="117" t="s">
        <v>202</v>
      </c>
      <c r="V22" s="117" t="s">
        <v>202</v>
      </c>
      <c r="W22" s="117" t="s">
        <v>202</v>
      </c>
      <c r="X22" s="117" t="s">
        <v>202</v>
      </c>
      <c r="Y22" s="117" t="s">
        <v>202</v>
      </c>
    </row>
    <row r="23" spans="1:25" x14ac:dyDescent="0.25">
      <c r="A23" t="s">
        <v>205</v>
      </c>
      <c r="B23" s="8" t="s">
        <v>0</v>
      </c>
      <c r="C23" s="9">
        <f>37*24</f>
        <v>888</v>
      </c>
      <c r="D23" s="8"/>
      <c r="E23" s="8"/>
      <c r="F23" s="8"/>
      <c r="G23" s="8"/>
      <c r="I23" s="160"/>
      <c r="J23" s="10" t="s">
        <v>160</v>
      </c>
      <c r="K23" s="116">
        <v>449.76</v>
      </c>
      <c r="L23" s="116">
        <v>549.84</v>
      </c>
      <c r="M23" s="116">
        <v>649.91999999999996</v>
      </c>
      <c r="N23" s="116">
        <v>749.76</v>
      </c>
      <c r="O23" s="116">
        <v>649.91999999999996</v>
      </c>
      <c r="P23" s="117" t="s">
        <v>202</v>
      </c>
      <c r="Q23" s="116">
        <v>649.91999999999996</v>
      </c>
      <c r="R23" s="116">
        <v>449.76</v>
      </c>
      <c r="S23" s="117" t="s">
        <v>202</v>
      </c>
      <c r="T23" s="117" t="s">
        <v>202</v>
      </c>
      <c r="U23" s="117" t="s">
        <v>202</v>
      </c>
      <c r="V23" s="116">
        <v>529.91999999999996</v>
      </c>
      <c r="W23" s="116">
        <v>679.92</v>
      </c>
      <c r="X23" s="116">
        <v>779.76</v>
      </c>
      <c r="Y23" s="116">
        <v>30</v>
      </c>
    </row>
    <row r="24" spans="1:25" x14ac:dyDescent="0.25">
      <c r="B24" s="8" t="s">
        <v>1</v>
      </c>
      <c r="C24" s="9">
        <v>649.99</v>
      </c>
      <c r="D24" s="8"/>
      <c r="E24" s="8"/>
      <c r="F24" s="8"/>
      <c r="G24" s="8"/>
      <c r="I24" s="160"/>
      <c r="J24" s="10" t="s">
        <v>0</v>
      </c>
      <c r="K24" s="116">
        <v>449.76</v>
      </c>
      <c r="L24" s="116">
        <v>549.84</v>
      </c>
      <c r="M24" s="116">
        <v>649.91999999999996</v>
      </c>
      <c r="N24" s="116">
        <v>749.76</v>
      </c>
      <c r="O24" s="116">
        <v>649.91999999999996</v>
      </c>
      <c r="P24" s="117" t="s">
        <v>202</v>
      </c>
      <c r="Q24" s="116">
        <v>649.91999999999996</v>
      </c>
      <c r="R24" s="116">
        <v>449.76</v>
      </c>
      <c r="S24" s="117" t="s">
        <v>202</v>
      </c>
      <c r="T24" s="117" t="s">
        <v>202</v>
      </c>
      <c r="U24" s="117" t="s">
        <v>202</v>
      </c>
      <c r="V24" s="116">
        <v>529.91999999999996</v>
      </c>
      <c r="W24" s="116">
        <v>679.92</v>
      </c>
      <c r="X24" s="116">
        <v>779.76</v>
      </c>
      <c r="Y24" s="117" t="s">
        <v>202</v>
      </c>
    </row>
    <row r="25" spans="1:25" x14ac:dyDescent="0.25">
      <c r="B25" s="8" t="s">
        <v>16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I25" s="160"/>
      <c r="J25" s="10" t="s">
        <v>193</v>
      </c>
      <c r="K25" s="116">
        <v>250</v>
      </c>
      <c r="L25" s="116">
        <v>320</v>
      </c>
      <c r="M25" s="116">
        <v>520</v>
      </c>
      <c r="N25" s="116">
        <v>620</v>
      </c>
      <c r="O25" s="116">
        <v>560</v>
      </c>
      <c r="P25" s="116">
        <v>249</v>
      </c>
      <c r="Q25" s="116">
        <v>500</v>
      </c>
      <c r="R25" s="116">
        <v>260</v>
      </c>
      <c r="S25" s="116">
        <v>175</v>
      </c>
      <c r="T25" s="116">
        <v>200</v>
      </c>
      <c r="U25" s="116">
        <v>239</v>
      </c>
      <c r="V25" s="116">
        <v>369</v>
      </c>
      <c r="W25" s="116">
        <v>600</v>
      </c>
      <c r="X25" s="116">
        <v>700</v>
      </c>
      <c r="Y25" s="116">
        <v>20</v>
      </c>
    </row>
    <row r="26" spans="1:25" x14ac:dyDescent="0.25">
      <c r="B26" s="8" t="s">
        <v>2</v>
      </c>
      <c r="C26" s="9">
        <v>199.99</v>
      </c>
      <c r="D26" s="9">
        <v>200</v>
      </c>
      <c r="E26" s="9">
        <v>49</v>
      </c>
      <c r="F26" s="9">
        <v>0</v>
      </c>
      <c r="G26" s="9">
        <v>99.99</v>
      </c>
      <c r="I26" s="160"/>
      <c r="J26" s="10" t="s">
        <v>196</v>
      </c>
      <c r="K26" s="116">
        <v>0</v>
      </c>
      <c r="L26" s="116">
        <v>0</v>
      </c>
      <c r="M26" s="116">
        <v>0</v>
      </c>
      <c r="N26" s="116">
        <v>0</v>
      </c>
      <c r="O26" s="116">
        <v>0</v>
      </c>
      <c r="P26" s="116">
        <v>0</v>
      </c>
      <c r="Q26" s="116">
        <v>0</v>
      </c>
      <c r="R26" s="116">
        <v>0</v>
      </c>
      <c r="S26" s="116">
        <v>0</v>
      </c>
      <c r="T26" s="116">
        <v>0</v>
      </c>
      <c r="U26" s="116">
        <v>0</v>
      </c>
      <c r="V26" s="116">
        <v>0</v>
      </c>
      <c r="W26" s="116">
        <v>0</v>
      </c>
      <c r="X26" s="116">
        <v>0</v>
      </c>
      <c r="Y26" s="116">
        <v>0</v>
      </c>
    </row>
    <row r="27" spans="1:25" x14ac:dyDescent="0.25">
      <c r="B27" s="8" t="s">
        <v>2</v>
      </c>
      <c r="C27" s="33" t="s">
        <v>202</v>
      </c>
      <c r="D27" s="33" t="s">
        <v>202</v>
      </c>
      <c r="E27" s="33" t="s">
        <v>202</v>
      </c>
      <c r="F27" s="33" t="s">
        <v>202</v>
      </c>
      <c r="G27" s="33" t="s">
        <v>202</v>
      </c>
      <c r="I27" s="161"/>
      <c r="J27" s="10" t="s">
        <v>203</v>
      </c>
      <c r="K27" s="117" t="s">
        <v>202</v>
      </c>
      <c r="L27" s="117" t="s">
        <v>202</v>
      </c>
      <c r="M27" s="117" t="s">
        <v>202</v>
      </c>
      <c r="N27" s="117" t="s">
        <v>202</v>
      </c>
      <c r="O27" s="117" t="s">
        <v>202</v>
      </c>
      <c r="P27" s="117" t="s">
        <v>202</v>
      </c>
      <c r="Q27" s="117" t="s">
        <v>202</v>
      </c>
      <c r="R27" s="117" t="s">
        <v>202</v>
      </c>
      <c r="S27" s="117" t="s">
        <v>202</v>
      </c>
      <c r="T27" s="117" t="s">
        <v>202</v>
      </c>
      <c r="U27" s="117" t="s">
        <v>202</v>
      </c>
      <c r="V27" s="117" t="s">
        <v>202</v>
      </c>
      <c r="W27" s="117" t="s">
        <v>202</v>
      </c>
      <c r="X27" s="117" t="s">
        <v>202</v>
      </c>
      <c r="Y27" s="117" t="s">
        <v>202</v>
      </c>
    </row>
    <row r="28" spans="1:25" x14ac:dyDescent="0.25">
      <c r="B28" s="16" t="s">
        <v>161</v>
      </c>
      <c r="I28" s="162" t="s">
        <v>205</v>
      </c>
      <c r="J28" s="10" t="s">
        <v>161</v>
      </c>
      <c r="K28" s="117" t="s">
        <v>202</v>
      </c>
      <c r="L28" s="117" t="s">
        <v>202</v>
      </c>
      <c r="M28" s="117" t="s">
        <v>202</v>
      </c>
      <c r="N28" s="117" t="s">
        <v>202</v>
      </c>
      <c r="O28" s="117" t="s">
        <v>202</v>
      </c>
      <c r="P28" s="117" t="s">
        <v>202</v>
      </c>
      <c r="Q28" s="117" t="s">
        <v>202</v>
      </c>
      <c r="R28" s="117" t="s">
        <v>202</v>
      </c>
      <c r="S28" s="117" t="s">
        <v>202</v>
      </c>
      <c r="T28" s="117" t="s">
        <v>202</v>
      </c>
      <c r="U28" s="117" t="s">
        <v>202</v>
      </c>
      <c r="V28" s="117" t="s">
        <v>202</v>
      </c>
      <c r="W28" s="117" t="s">
        <v>202</v>
      </c>
      <c r="X28" s="117" t="s">
        <v>202</v>
      </c>
      <c r="Y28" s="117" t="s">
        <v>202</v>
      </c>
    </row>
    <row r="29" spans="1:25" x14ac:dyDescent="0.25">
      <c r="B29" s="16" t="s">
        <v>160</v>
      </c>
      <c r="I29" s="160"/>
      <c r="J29" s="10" t="s">
        <v>160</v>
      </c>
      <c r="K29" s="116">
        <v>450</v>
      </c>
      <c r="L29" s="116">
        <v>550</v>
      </c>
      <c r="M29" s="116">
        <v>650</v>
      </c>
      <c r="N29" s="116">
        <v>750</v>
      </c>
      <c r="O29" s="116">
        <v>669</v>
      </c>
      <c r="P29" s="116">
        <v>399</v>
      </c>
      <c r="Q29" s="117" t="s">
        <v>202</v>
      </c>
      <c r="R29" s="116">
        <v>449</v>
      </c>
      <c r="S29" s="117" t="s">
        <v>202</v>
      </c>
      <c r="T29" s="117" t="s">
        <v>202</v>
      </c>
      <c r="U29" s="116">
        <v>299.99</v>
      </c>
      <c r="V29" s="117" t="s">
        <v>202</v>
      </c>
      <c r="W29" s="116">
        <v>749</v>
      </c>
      <c r="X29" s="117" t="s">
        <v>202</v>
      </c>
      <c r="Y29" s="116">
        <v>30</v>
      </c>
    </row>
    <row r="30" spans="1:25" x14ac:dyDescent="0.25">
      <c r="B30" s="16" t="s">
        <v>0</v>
      </c>
      <c r="I30" s="160"/>
      <c r="J30" s="10" t="s">
        <v>0</v>
      </c>
      <c r="K30" s="116">
        <f t="shared" ref="K30:P30" si="0">K29*1.3</f>
        <v>585</v>
      </c>
      <c r="L30" s="116">
        <f t="shared" si="0"/>
        <v>715</v>
      </c>
      <c r="M30" s="116">
        <f t="shared" si="0"/>
        <v>845</v>
      </c>
      <c r="N30" s="116">
        <f t="shared" si="0"/>
        <v>975</v>
      </c>
      <c r="O30" s="116">
        <f t="shared" si="0"/>
        <v>869.7</v>
      </c>
      <c r="P30" s="116">
        <f t="shared" si="0"/>
        <v>518.70000000000005</v>
      </c>
      <c r="Q30" s="117" t="s">
        <v>202</v>
      </c>
      <c r="R30" s="116">
        <f>R29*1.3</f>
        <v>583.70000000000005</v>
      </c>
      <c r="S30" s="117" t="s">
        <v>202</v>
      </c>
      <c r="T30" s="117" t="s">
        <v>202</v>
      </c>
      <c r="U30" s="116">
        <f>U29*1.3</f>
        <v>389.98700000000002</v>
      </c>
      <c r="V30" s="117" t="s">
        <v>202</v>
      </c>
      <c r="W30" s="116">
        <f>W29*1.3</f>
        <v>973.7</v>
      </c>
      <c r="X30" s="117" t="s">
        <v>202</v>
      </c>
      <c r="Y30" s="119" t="s">
        <v>202</v>
      </c>
    </row>
    <row r="31" spans="1:25" x14ac:dyDescent="0.25">
      <c r="B31" s="8" t="s">
        <v>16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I31" s="160"/>
      <c r="J31" s="10" t="s">
        <v>193</v>
      </c>
      <c r="K31" s="116">
        <v>250</v>
      </c>
      <c r="L31" s="116">
        <v>320</v>
      </c>
      <c r="M31" s="116">
        <v>520</v>
      </c>
      <c r="N31" s="116">
        <v>620</v>
      </c>
      <c r="O31" s="116">
        <v>560</v>
      </c>
      <c r="P31" s="116">
        <v>249</v>
      </c>
      <c r="Q31" s="116">
        <v>500</v>
      </c>
      <c r="R31" s="116">
        <v>260</v>
      </c>
      <c r="S31" s="116">
        <v>175</v>
      </c>
      <c r="T31" s="116">
        <v>200</v>
      </c>
      <c r="U31" s="116">
        <v>239</v>
      </c>
      <c r="V31" s="116">
        <v>369</v>
      </c>
      <c r="W31" s="116">
        <v>600</v>
      </c>
      <c r="X31" s="116">
        <v>700</v>
      </c>
      <c r="Y31" s="116">
        <v>20</v>
      </c>
    </row>
    <row r="32" spans="1:25" x14ac:dyDescent="0.25">
      <c r="B32" s="8" t="s">
        <v>2</v>
      </c>
      <c r="C32" s="9">
        <v>199.99</v>
      </c>
      <c r="D32" s="9">
        <v>200</v>
      </c>
      <c r="E32" s="9">
        <v>49</v>
      </c>
      <c r="F32" s="9">
        <v>0</v>
      </c>
      <c r="G32" s="9">
        <v>99.99</v>
      </c>
      <c r="I32" s="160"/>
      <c r="J32" s="10" t="s">
        <v>196</v>
      </c>
      <c r="K32" s="116">
        <v>0</v>
      </c>
      <c r="L32" s="116">
        <v>0</v>
      </c>
      <c r="M32" s="116">
        <v>0</v>
      </c>
      <c r="N32" s="116">
        <v>0</v>
      </c>
      <c r="O32" s="116">
        <v>0</v>
      </c>
      <c r="P32" s="116">
        <v>0</v>
      </c>
      <c r="Q32" s="116">
        <v>0</v>
      </c>
      <c r="R32" s="116">
        <v>0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0</v>
      </c>
      <c r="Y32" s="116">
        <v>0</v>
      </c>
    </row>
    <row r="33" spans="1:25" x14ac:dyDescent="0.25">
      <c r="A33" t="s">
        <v>22</v>
      </c>
      <c r="B33" s="8" t="s">
        <v>0</v>
      </c>
      <c r="C33" s="9">
        <v>650</v>
      </c>
      <c r="D33" s="9">
        <v>610</v>
      </c>
      <c r="E33" s="10"/>
      <c r="F33" s="9">
        <v>449.76</v>
      </c>
      <c r="G33" s="9">
        <v>636</v>
      </c>
      <c r="I33" s="161"/>
      <c r="J33" s="10" t="s">
        <v>203</v>
      </c>
      <c r="K33" s="117" t="s">
        <v>202</v>
      </c>
      <c r="L33" s="117" t="s">
        <v>202</v>
      </c>
      <c r="M33" s="117" t="s">
        <v>202</v>
      </c>
      <c r="N33" s="117" t="s">
        <v>202</v>
      </c>
      <c r="O33" s="117" t="s">
        <v>202</v>
      </c>
      <c r="P33" s="117" t="s">
        <v>202</v>
      </c>
      <c r="Q33" s="117" t="s">
        <v>202</v>
      </c>
      <c r="R33" s="117" t="s">
        <v>202</v>
      </c>
      <c r="S33" s="117" t="s">
        <v>202</v>
      </c>
      <c r="T33" s="117" t="s">
        <v>202</v>
      </c>
      <c r="U33" s="117" t="s">
        <v>202</v>
      </c>
      <c r="V33" s="117" t="s">
        <v>202</v>
      </c>
      <c r="W33" s="117" t="s">
        <v>202</v>
      </c>
      <c r="X33" s="117" t="s">
        <v>202</v>
      </c>
      <c r="Y33" s="117" t="s">
        <v>202</v>
      </c>
    </row>
    <row r="37" spans="1:25" x14ac:dyDescent="0.25">
      <c r="B37" s="8" t="s">
        <v>16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</row>
    <row r="38" spans="1:25" x14ac:dyDescent="0.25">
      <c r="B38" s="8" t="s">
        <v>2</v>
      </c>
      <c r="C38" s="9">
        <v>199.99</v>
      </c>
      <c r="D38" s="9">
        <v>200</v>
      </c>
      <c r="E38" s="9">
        <v>49</v>
      </c>
      <c r="F38" s="9">
        <v>0</v>
      </c>
      <c r="G38" s="9">
        <v>99.99</v>
      </c>
    </row>
    <row r="39" spans="1:25" x14ac:dyDescent="0.25">
      <c r="A39" t="s">
        <v>22</v>
      </c>
      <c r="B39" s="8" t="s">
        <v>0</v>
      </c>
      <c r="C39" s="9">
        <v>650</v>
      </c>
      <c r="D39" s="9">
        <v>610</v>
      </c>
      <c r="E39" s="10"/>
      <c r="F39" s="9">
        <v>449.76</v>
      </c>
      <c r="G39" s="9">
        <v>636</v>
      </c>
    </row>
  </sheetData>
  <mergeCells count="5">
    <mergeCell ref="I16:I21"/>
    <mergeCell ref="I22:I27"/>
    <mergeCell ref="I28:I33"/>
    <mergeCell ref="I4:I9"/>
    <mergeCell ref="I10:I15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W261"/>
  <sheetViews>
    <sheetView zoomScaleNormal="100" workbookViewId="0">
      <selection activeCell="G14" sqref="G14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0.42578125" customWidth="1"/>
    <col min="4" max="4" width="8.7109375" style="35" customWidth="1"/>
    <col min="5" max="6" width="9.85546875" bestFit="1" customWidth="1"/>
    <col min="7" max="7" width="10" customWidth="1"/>
    <col min="8" max="8" width="27.28515625" bestFit="1" customWidth="1"/>
    <col min="9" max="9" width="9.140625" customWidth="1"/>
    <col min="10" max="10" width="10" style="39" customWidth="1"/>
    <col min="12" max="12" width="13" customWidth="1"/>
    <col min="13" max="13" width="20.5703125" bestFit="1" customWidth="1"/>
    <col min="15" max="15" width="13" customWidth="1"/>
    <col min="16" max="16" width="8.7109375" style="35" customWidth="1"/>
  </cols>
  <sheetData>
    <row r="1" spans="1:16" ht="51" customHeight="1" x14ac:dyDescent="0.25">
      <c r="A1" s="2" t="s">
        <v>11</v>
      </c>
      <c r="B1" s="2" t="s">
        <v>12</v>
      </c>
      <c r="C1" s="2" t="s">
        <v>338</v>
      </c>
      <c r="D1" s="4" t="s">
        <v>329</v>
      </c>
      <c r="E1" s="2" t="s">
        <v>270</v>
      </c>
      <c r="F1" s="2" t="s">
        <v>67</v>
      </c>
      <c r="G1" s="2" t="s">
        <v>340</v>
      </c>
      <c r="H1" s="3" t="s">
        <v>158</v>
      </c>
      <c r="I1" s="3" t="s">
        <v>322</v>
      </c>
      <c r="J1" s="38" t="s">
        <v>339</v>
      </c>
      <c r="K1" s="3" t="s">
        <v>162</v>
      </c>
      <c r="L1" s="2" t="s">
        <v>328</v>
      </c>
      <c r="N1" s="3" t="s">
        <v>162</v>
      </c>
      <c r="O1" s="2" t="s">
        <v>328</v>
      </c>
      <c r="P1" s="4" t="s">
        <v>329</v>
      </c>
    </row>
    <row r="2" spans="1:16" x14ac:dyDescent="0.25">
      <c r="A2" t="s">
        <v>4</v>
      </c>
      <c r="B2" t="s">
        <v>154</v>
      </c>
      <c r="C2" t="s">
        <v>147</v>
      </c>
      <c r="D2" s="35">
        <v>1</v>
      </c>
      <c r="E2" t="s">
        <v>184</v>
      </c>
      <c r="F2" t="s">
        <v>184</v>
      </c>
      <c r="G2">
        <v>1</v>
      </c>
      <c r="H2" t="s">
        <v>163</v>
      </c>
      <c r="I2" t="str">
        <f>IF(J2&lt;0.5,"None",IF(J2&lt;2,"Low",IF(J2&lt;5,"Medium",IF(J2&lt;11,"High",IF(J2="Unlimited","Super","Super")))))</f>
        <v>Low</v>
      </c>
      <c r="J2" s="39">
        <f t="shared" ref="J2:J65" si="0">IF(G2="Unlimited","Unlimited",G2/D2)</f>
        <v>1</v>
      </c>
      <c r="K2" s="1">
        <v>60</v>
      </c>
      <c r="L2" s="1">
        <f t="shared" ref="L2:L9" si="1">15*D2</f>
        <v>15</v>
      </c>
      <c r="M2" t="str">
        <f>CONCATENATE(A2, D2, I2)</f>
        <v>Verizon1Low</v>
      </c>
      <c r="N2" s="1">
        <f>K2</f>
        <v>60</v>
      </c>
      <c r="O2" s="1">
        <v>15</v>
      </c>
      <c r="P2" s="35">
        <v>1</v>
      </c>
    </row>
    <row r="3" spans="1:16" x14ac:dyDescent="0.25">
      <c r="A3" t="s">
        <v>4</v>
      </c>
      <c r="B3" t="s">
        <v>154</v>
      </c>
      <c r="C3" t="s">
        <v>147</v>
      </c>
      <c r="D3" s="35">
        <v>1</v>
      </c>
      <c r="E3" t="s">
        <v>184</v>
      </c>
      <c r="F3" t="s">
        <v>184</v>
      </c>
      <c r="G3">
        <v>2</v>
      </c>
      <c r="H3" t="s">
        <v>164</v>
      </c>
      <c r="I3" t="str">
        <f t="shared" ref="I3:I66" si="2">IF(J3&lt;0.5,"None",IF(J3&lt;2,"Low",IF(J3&lt;5,"Medium",IF(J3&lt;11,"High",IF(J3="Unlimited","Super","Super")))))</f>
        <v>Medium</v>
      </c>
      <c r="J3" s="39">
        <f t="shared" si="0"/>
        <v>2</v>
      </c>
      <c r="K3" s="1">
        <v>75</v>
      </c>
      <c r="L3" s="1">
        <f t="shared" si="1"/>
        <v>15</v>
      </c>
      <c r="M3" t="str">
        <f t="shared" ref="M3:M66" si="3">CONCATENATE(A3, D3, I3)</f>
        <v>Verizon1Medium</v>
      </c>
      <c r="N3" s="1">
        <f t="shared" ref="N3:N66" si="4">K3</f>
        <v>75</v>
      </c>
      <c r="O3" s="1">
        <v>15</v>
      </c>
      <c r="P3" s="35">
        <v>1</v>
      </c>
    </row>
    <row r="4" spans="1:16" x14ac:dyDescent="0.25">
      <c r="A4" t="s">
        <v>4</v>
      </c>
      <c r="B4" t="s">
        <v>154</v>
      </c>
      <c r="C4" t="s">
        <v>195</v>
      </c>
      <c r="D4" s="35">
        <v>1</v>
      </c>
      <c r="E4">
        <v>700</v>
      </c>
      <c r="F4">
        <v>0</v>
      </c>
      <c r="G4">
        <v>0</v>
      </c>
      <c r="H4" t="s">
        <v>165</v>
      </c>
      <c r="I4" t="str">
        <f t="shared" si="2"/>
        <v>None</v>
      </c>
      <c r="J4" s="39">
        <f t="shared" si="0"/>
        <v>0</v>
      </c>
      <c r="K4" s="1">
        <v>5</v>
      </c>
      <c r="L4" s="1">
        <f t="shared" si="1"/>
        <v>15</v>
      </c>
      <c r="M4" t="str">
        <f t="shared" si="3"/>
        <v>Verizon1None</v>
      </c>
      <c r="N4" s="1">
        <f t="shared" si="4"/>
        <v>5</v>
      </c>
      <c r="O4" s="1">
        <v>15</v>
      </c>
      <c r="P4" s="35">
        <v>1</v>
      </c>
    </row>
    <row r="5" spans="1:16" x14ac:dyDescent="0.25">
      <c r="A5" t="s">
        <v>4</v>
      </c>
      <c r="B5" t="s">
        <v>154</v>
      </c>
      <c r="C5" t="s">
        <v>195</v>
      </c>
      <c r="D5" s="35">
        <v>1</v>
      </c>
      <c r="E5" t="s">
        <v>184</v>
      </c>
      <c r="F5" t="s">
        <v>184</v>
      </c>
      <c r="G5">
        <v>0.5</v>
      </c>
      <c r="H5" t="s">
        <v>166</v>
      </c>
      <c r="I5" t="str">
        <f t="shared" si="2"/>
        <v>Low</v>
      </c>
      <c r="J5" s="39">
        <f t="shared" si="0"/>
        <v>0.5</v>
      </c>
      <c r="K5" s="1">
        <v>20</v>
      </c>
      <c r="L5" s="1">
        <f t="shared" si="1"/>
        <v>15</v>
      </c>
      <c r="M5" t="str">
        <f t="shared" si="3"/>
        <v>Verizon1Low</v>
      </c>
      <c r="N5" s="1">
        <f t="shared" si="4"/>
        <v>20</v>
      </c>
      <c r="O5" s="1">
        <v>15</v>
      </c>
      <c r="P5" s="35">
        <v>1</v>
      </c>
    </row>
    <row r="6" spans="1:16" x14ac:dyDescent="0.25">
      <c r="A6" t="s">
        <v>4</v>
      </c>
      <c r="B6" t="s">
        <v>154</v>
      </c>
      <c r="C6" t="s">
        <v>195</v>
      </c>
      <c r="D6" s="35">
        <v>1</v>
      </c>
      <c r="E6" t="s">
        <v>184</v>
      </c>
      <c r="F6" t="s">
        <v>184</v>
      </c>
      <c r="G6">
        <v>1</v>
      </c>
      <c r="H6" t="s">
        <v>167</v>
      </c>
      <c r="I6" t="str">
        <f t="shared" si="2"/>
        <v>Low</v>
      </c>
      <c r="J6" s="39">
        <f t="shared" si="0"/>
        <v>1</v>
      </c>
      <c r="K6" s="1">
        <v>30</v>
      </c>
      <c r="L6" s="1">
        <f t="shared" si="1"/>
        <v>15</v>
      </c>
      <c r="M6" t="str">
        <f t="shared" si="3"/>
        <v>Verizon1Low</v>
      </c>
      <c r="N6" s="1">
        <f t="shared" si="4"/>
        <v>30</v>
      </c>
      <c r="O6" s="1">
        <v>15</v>
      </c>
      <c r="P6" s="35">
        <v>1</v>
      </c>
    </row>
    <row r="7" spans="1:16" x14ac:dyDescent="0.25">
      <c r="A7" t="s">
        <v>4</v>
      </c>
      <c r="B7" t="s">
        <v>154</v>
      </c>
      <c r="C7" t="s">
        <v>195</v>
      </c>
      <c r="D7" s="35">
        <v>1</v>
      </c>
      <c r="E7" t="s">
        <v>184</v>
      </c>
      <c r="F7" t="s">
        <v>184</v>
      </c>
      <c r="G7">
        <v>2</v>
      </c>
      <c r="H7" t="s">
        <v>168</v>
      </c>
      <c r="I7" t="str">
        <f t="shared" si="2"/>
        <v>Medium</v>
      </c>
      <c r="J7" s="39">
        <f t="shared" si="0"/>
        <v>2</v>
      </c>
      <c r="K7" s="1">
        <v>40</v>
      </c>
      <c r="L7" s="1">
        <f t="shared" si="1"/>
        <v>15</v>
      </c>
      <c r="M7" t="str">
        <f t="shared" si="3"/>
        <v>Verizon1Medium</v>
      </c>
      <c r="N7" s="1">
        <f t="shared" si="4"/>
        <v>40</v>
      </c>
      <c r="O7" s="1">
        <v>15</v>
      </c>
      <c r="P7" s="35">
        <v>1</v>
      </c>
    </row>
    <row r="8" spans="1:16" x14ac:dyDescent="0.25">
      <c r="A8" t="s">
        <v>4</v>
      </c>
      <c r="B8" t="s">
        <v>154</v>
      </c>
      <c r="C8" t="s">
        <v>195</v>
      </c>
      <c r="D8" s="35">
        <v>1</v>
      </c>
      <c r="E8" t="s">
        <v>184</v>
      </c>
      <c r="F8" t="s">
        <v>184</v>
      </c>
      <c r="G8">
        <v>3</v>
      </c>
      <c r="H8" t="s">
        <v>169</v>
      </c>
      <c r="I8" t="str">
        <f t="shared" si="2"/>
        <v>Medium</v>
      </c>
      <c r="J8" s="39">
        <f t="shared" si="0"/>
        <v>3</v>
      </c>
      <c r="K8" s="1">
        <v>50</v>
      </c>
      <c r="L8" s="1">
        <f t="shared" si="1"/>
        <v>15</v>
      </c>
      <c r="M8" t="str">
        <f t="shared" si="3"/>
        <v>Verizon1Medium</v>
      </c>
      <c r="N8" s="1">
        <f t="shared" si="4"/>
        <v>50</v>
      </c>
      <c r="O8" s="1">
        <v>15</v>
      </c>
      <c r="P8" s="35">
        <v>1</v>
      </c>
    </row>
    <row r="9" spans="1:16" x14ac:dyDescent="0.25">
      <c r="A9" t="s">
        <v>4</v>
      </c>
      <c r="B9" t="s">
        <v>154</v>
      </c>
      <c r="C9" t="s">
        <v>195</v>
      </c>
      <c r="D9" s="35">
        <v>1</v>
      </c>
      <c r="E9" t="s">
        <v>184</v>
      </c>
      <c r="F9" t="s">
        <v>184</v>
      </c>
      <c r="G9">
        <v>4</v>
      </c>
      <c r="H9" t="s">
        <v>170</v>
      </c>
      <c r="I9" t="str">
        <f t="shared" si="2"/>
        <v>Medium</v>
      </c>
      <c r="J9" s="39">
        <f t="shared" si="0"/>
        <v>4</v>
      </c>
      <c r="K9" s="1">
        <v>60</v>
      </c>
      <c r="L9" s="1">
        <f t="shared" si="1"/>
        <v>15</v>
      </c>
      <c r="M9" t="str">
        <f t="shared" si="3"/>
        <v>Verizon1Medium</v>
      </c>
      <c r="N9" s="1">
        <f t="shared" si="4"/>
        <v>60</v>
      </c>
      <c r="O9" s="1">
        <v>15</v>
      </c>
      <c r="P9" s="35">
        <v>1</v>
      </c>
    </row>
    <row r="10" spans="1:16" x14ac:dyDescent="0.25">
      <c r="A10" t="s">
        <v>4</v>
      </c>
      <c r="B10" t="s">
        <v>154</v>
      </c>
      <c r="C10" t="s">
        <v>195</v>
      </c>
      <c r="D10" s="35">
        <v>1</v>
      </c>
      <c r="E10" t="s">
        <v>184</v>
      </c>
      <c r="F10" t="s">
        <v>184</v>
      </c>
      <c r="G10">
        <v>6</v>
      </c>
      <c r="H10" t="s">
        <v>171</v>
      </c>
      <c r="I10" t="str">
        <f t="shared" si="2"/>
        <v>High</v>
      </c>
      <c r="J10" s="39">
        <f t="shared" si="0"/>
        <v>6</v>
      </c>
      <c r="K10" s="1">
        <v>70</v>
      </c>
      <c r="L10" s="1">
        <f t="shared" ref="L10:L22" si="5">25*D9</f>
        <v>25</v>
      </c>
      <c r="M10" t="str">
        <f t="shared" si="3"/>
        <v>Verizon1High</v>
      </c>
      <c r="N10" s="1">
        <f t="shared" si="4"/>
        <v>70</v>
      </c>
      <c r="O10" s="1">
        <v>25</v>
      </c>
      <c r="P10" s="35">
        <v>1</v>
      </c>
    </row>
    <row r="11" spans="1:16" x14ac:dyDescent="0.25">
      <c r="A11" t="s">
        <v>4</v>
      </c>
      <c r="B11" t="s">
        <v>154</v>
      </c>
      <c r="C11" t="s">
        <v>195</v>
      </c>
      <c r="D11" s="35">
        <v>1</v>
      </c>
      <c r="E11" t="s">
        <v>184</v>
      </c>
      <c r="F11" t="s">
        <v>184</v>
      </c>
      <c r="G11">
        <v>8</v>
      </c>
      <c r="H11" t="s">
        <v>172</v>
      </c>
      <c r="I11" t="str">
        <f t="shared" si="2"/>
        <v>High</v>
      </c>
      <c r="J11" s="39">
        <f t="shared" si="0"/>
        <v>8</v>
      </c>
      <c r="K11" s="1">
        <v>85</v>
      </c>
      <c r="L11" s="1">
        <f t="shared" si="5"/>
        <v>25</v>
      </c>
      <c r="M11" t="str">
        <f t="shared" si="3"/>
        <v>Verizon1High</v>
      </c>
      <c r="N11" s="1">
        <f t="shared" si="4"/>
        <v>85</v>
      </c>
      <c r="O11" s="1">
        <v>25</v>
      </c>
      <c r="P11" s="35">
        <v>1</v>
      </c>
    </row>
    <row r="12" spans="1:16" x14ac:dyDescent="0.25">
      <c r="A12" t="s">
        <v>4</v>
      </c>
      <c r="B12" t="s">
        <v>154</v>
      </c>
      <c r="C12" t="s">
        <v>195</v>
      </c>
      <c r="D12" s="35">
        <v>1</v>
      </c>
      <c r="E12" t="s">
        <v>184</v>
      </c>
      <c r="F12" t="s">
        <v>184</v>
      </c>
      <c r="G12">
        <v>10</v>
      </c>
      <c r="H12" t="s">
        <v>173</v>
      </c>
      <c r="I12" t="str">
        <f t="shared" si="2"/>
        <v>High</v>
      </c>
      <c r="J12" s="39">
        <f t="shared" si="0"/>
        <v>10</v>
      </c>
      <c r="K12" s="1">
        <v>100</v>
      </c>
      <c r="L12" s="1">
        <f t="shared" si="5"/>
        <v>25</v>
      </c>
      <c r="M12" t="str">
        <f t="shared" si="3"/>
        <v>Verizon1High</v>
      </c>
      <c r="N12" s="1">
        <f t="shared" si="4"/>
        <v>100</v>
      </c>
      <c r="O12" s="1">
        <v>25</v>
      </c>
      <c r="P12" s="35">
        <v>1</v>
      </c>
    </row>
    <row r="13" spans="1:16" x14ac:dyDescent="0.25">
      <c r="A13" t="s">
        <v>4</v>
      </c>
      <c r="B13" t="s">
        <v>154</v>
      </c>
      <c r="C13" t="s">
        <v>195</v>
      </c>
      <c r="D13" s="35">
        <v>1</v>
      </c>
      <c r="E13" t="s">
        <v>184</v>
      </c>
      <c r="F13" t="s">
        <v>184</v>
      </c>
      <c r="G13">
        <v>12</v>
      </c>
      <c r="H13" t="s">
        <v>174</v>
      </c>
      <c r="I13" t="str">
        <f t="shared" si="2"/>
        <v>Super</v>
      </c>
      <c r="J13" s="39">
        <f t="shared" si="0"/>
        <v>12</v>
      </c>
      <c r="K13" s="1">
        <v>110</v>
      </c>
      <c r="L13" s="1">
        <f t="shared" si="5"/>
        <v>25</v>
      </c>
      <c r="M13" t="str">
        <f t="shared" si="3"/>
        <v>Verizon1Super</v>
      </c>
      <c r="N13" s="1">
        <f t="shared" si="4"/>
        <v>110</v>
      </c>
      <c r="O13" s="1">
        <v>25</v>
      </c>
      <c r="P13" s="35">
        <v>1</v>
      </c>
    </row>
    <row r="14" spans="1:16" x14ac:dyDescent="0.25">
      <c r="A14" t="s">
        <v>4</v>
      </c>
      <c r="B14" t="s">
        <v>154</v>
      </c>
      <c r="C14" t="s">
        <v>195</v>
      </c>
      <c r="D14" s="35">
        <v>1</v>
      </c>
      <c r="E14" t="s">
        <v>184</v>
      </c>
      <c r="F14" t="s">
        <v>184</v>
      </c>
      <c r="G14">
        <v>14</v>
      </c>
      <c r="H14" t="s">
        <v>175</v>
      </c>
      <c r="I14" t="str">
        <f t="shared" si="2"/>
        <v>Super</v>
      </c>
      <c r="J14" s="39">
        <f t="shared" si="0"/>
        <v>14</v>
      </c>
      <c r="K14" s="1">
        <v>120</v>
      </c>
      <c r="L14" s="1">
        <f t="shared" si="5"/>
        <v>25</v>
      </c>
      <c r="M14" t="str">
        <f t="shared" si="3"/>
        <v>Verizon1Super</v>
      </c>
      <c r="N14" s="1">
        <f t="shared" si="4"/>
        <v>120</v>
      </c>
      <c r="O14" s="1">
        <v>25</v>
      </c>
      <c r="P14" s="35">
        <v>1</v>
      </c>
    </row>
    <row r="15" spans="1:16" x14ac:dyDescent="0.25">
      <c r="A15" t="s">
        <v>4</v>
      </c>
      <c r="B15" t="s">
        <v>154</v>
      </c>
      <c r="C15" t="s">
        <v>195</v>
      </c>
      <c r="D15" s="35">
        <v>1</v>
      </c>
      <c r="E15" t="s">
        <v>184</v>
      </c>
      <c r="F15" t="s">
        <v>184</v>
      </c>
      <c r="G15">
        <v>16</v>
      </c>
      <c r="H15" t="s">
        <v>176</v>
      </c>
      <c r="I15" t="str">
        <f t="shared" si="2"/>
        <v>Super</v>
      </c>
      <c r="J15" s="39">
        <f t="shared" si="0"/>
        <v>16</v>
      </c>
      <c r="K15" s="1">
        <v>130</v>
      </c>
      <c r="L15" s="1">
        <f t="shared" si="5"/>
        <v>25</v>
      </c>
      <c r="M15" t="str">
        <f t="shared" si="3"/>
        <v>Verizon1Super</v>
      </c>
      <c r="N15" s="1">
        <f t="shared" si="4"/>
        <v>130</v>
      </c>
      <c r="O15" s="1">
        <v>25</v>
      </c>
      <c r="P15" s="35">
        <v>1</v>
      </c>
    </row>
    <row r="16" spans="1:16" x14ac:dyDescent="0.25">
      <c r="A16" t="s">
        <v>4</v>
      </c>
      <c r="B16" t="s">
        <v>154</v>
      </c>
      <c r="C16" t="s">
        <v>195</v>
      </c>
      <c r="D16" s="35">
        <v>1</v>
      </c>
      <c r="E16" t="s">
        <v>184</v>
      </c>
      <c r="F16" t="s">
        <v>184</v>
      </c>
      <c r="G16">
        <v>20</v>
      </c>
      <c r="H16" t="s">
        <v>177</v>
      </c>
      <c r="I16" t="str">
        <f t="shared" si="2"/>
        <v>Super</v>
      </c>
      <c r="J16" s="39">
        <f t="shared" si="0"/>
        <v>20</v>
      </c>
      <c r="K16" s="1">
        <v>140</v>
      </c>
      <c r="L16" s="1">
        <f t="shared" si="5"/>
        <v>25</v>
      </c>
      <c r="M16" t="str">
        <f t="shared" si="3"/>
        <v>Verizon1Super</v>
      </c>
      <c r="N16" s="1">
        <f t="shared" si="4"/>
        <v>140</v>
      </c>
      <c r="O16" s="1">
        <v>25</v>
      </c>
      <c r="P16" s="35">
        <v>1</v>
      </c>
    </row>
    <row r="17" spans="1:23" x14ac:dyDescent="0.25">
      <c r="A17" t="s">
        <v>4</v>
      </c>
      <c r="B17" t="s">
        <v>154</v>
      </c>
      <c r="C17" t="s">
        <v>195</v>
      </c>
      <c r="D17" s="35">
        <v>1</v>
      </c>
      <c r="E17" t="s">
        <v>184</v>
      </c>
      <c r="F17" t="s">
        <v>184</v>
      </c>
      <c r="G17">
        <v>30</v>
      </c>
      <c r="H17" t="s">
        <v>178</v>
      </c>
      <c r="I17" t="str">
        <f t="shared" si="2"/>
        <v>Super</v>
      </c>
      <c r="J17" s="39">
        <f t="shared" si="0"/>
        <v>30</v>
      </c>
      <c r="K17" s="1">
        <v>225</v>
      </c>
      <c r="L17" s="1">
        <f t="shared" si="5"/>
        <v>25</v>
      </c>
      <c r="M17" t="str">
        <f t="shared" si="3"/>
        <v>Verizon1Super</v>
      </c>
      <c r="N17" s="1">
        <f t="shared" si="4"/>
        <v>225</v>
      </c>
      <c r="O17" s="1">
        <v>25</v>
      </c>
      <c r="P17" s="35">
        <v>1</v>
      </c>
    </row>
    <row r="18" spans="1:23" x14ac:dyDescent="0.25">
      <c r="A18" t="s">
        <v>4</v>
      </c>
      <c r="B18" t="s">
        <v>154</v>
      </c>
      <c r="C18" t="s">
        <v>195</v>
      </c>
      <c r="D18" s="35">
        <v>1</v>
      </c>
      <c r="E18" t="s">
        <v>184</v>
      </c>
      <c r="F18" t="s">
        <v>184</v>
      </c>
      <c r="G18">
        <v>40</v>
      </c>
      <c r="H18" t="s">
        <v>179</v>
      </c>
      <c r="I18" t="str">
        <f t="shared" si="2"/>
        <v>Super</v>
      </c>
      <c r="J18" s="39">
        <f t="shared" si="0"/>
        <v>40</v>
      </c>
      <c r="K18" s="1">
        <v>300</v>
      </c>
      <c r="L18" s="1">
        <f t="shared" si="5"/>
        <v>25</v>
      </c>
      <c r="M18" t="str">
        <f t="shared" si="3"/>
        <v>Verizon1Super</v>
      </c>
      <c r="N18" s="1">
        <f t="shared" si="4"/>
        <v>300</v>
      </c>
      <c r="O18" s="1">
        <v>25</v>
      </c>
      <c r="P18" s="35">
        <v>1</v>
      </c>
    </row>
    <row r="19" spans="1:23" x14ac:dyDescent="0.25">
      <c r="A19" t="s">
        <v>4</v>
      </c>
      <c r="B19" t="s">
        <v>154</v>
      </c>
      <c r="C19" t="s">
        <v>195</v>
      </c>
      <c r="D19" s="35">
        <v>1</v>
      </c>
      <c r="E19" t="s">
        <v>184</v>
      </c>
      <c r="F19" t="s">
        <v>184</v>
      </c>
      <c r="G19">
        <v>50</v>
      </c>
      <c r="H19" t="s">
        <v>180</v>
      </c>
      <c r="I19" t="str">
        <f t="shared" si="2"/>
        <v>Super</v>
      </c>
      <c r="J19" s="39">
        <f t="shared" si="0"/>
        <v>50</v>
      </c>
      <c r="K19" s="1">
        <v>375</v>
      </c>
      <c r="L19" s="1">
        <f t="shared" si="5"/>
        <v>25</v>
      </c>
      <c r="M19" t="str">
        <f t="shared" si="3"/>
        <v>Verizon1Super</v>
      </c>
      <c r="N19" s="1">
        <f t="shared" si="4"/>
        <v>375</v>
      </c>
      <c r="O19" s="1">
        <v>25</v>
      </c>
      <c r="P19" s="35">
        <v>1</v>
      </c>
    </row>
    <row r="20" spans="1:23" x14ac:dyDescent="0.25">
      <c r="A20" t="s">
        <v>4</v>
      </c>
      <c r="B20" t="s">
        <v>154</v>
      </c>
      <c r="C20" t="s">
        <v>195</v>
      </c>
      <c r="D20" s="35">
        <v>1</v>
      </c>
      <c r="E20" t="s">
        <v>184</v>
      </c>
      <c r="F20" t="s">
        <v>184</v>
      </c>
      <c r="G20">
        <v>60</v>
      </c>
      <c r="H20" t="s">
        <v>181</v>
      </c>
      <c r="I20" t="str">
        <f t="shared" si="2"/>
        <v>Super</v>
      </c>
      <c r="J20" s="39">
        <f t="shared" si="0"/>
        <v>60</v>
      </c>
      <c r="K20" s="1">
        <v>450</v>
      </c>
      <c r="L20" s="1">
        <f t="shared" si="5"/>
        <v>25</v>
      </c>
      <c r="M20" t="str">
        <f t="shared" si="3"/>
        <v>Verizon1Super</v>
      </c>
      <c r="N20" s="1">
        <f t="shared" si="4"/>
        <v>450</v>
      </c>
      <c r="O20" s="1">
        <v>25</v>
      </c>
      <c r="P20" s="35">
        <v>1</v>
      </c>
    </row>
    <row r="21" spans="1:23" x14ac:dyDescent="0.25">
      <c r="A21" t="s">
        <v>4</v>
      </c>
      <c r="B21" t="s">
        <v>154</v>
      </c>
      <c r="C21" t="s">
        <v>195</v>
      </c>
      <c r="D21" s="35">
        <v>1</v>
      </c>
      <c r="E21" t="s">
        <v>184</v>
      </c>
      <c r="F21" t="s">
        <v>184</v>
      </c>
      <c r="G21">
        <v>80</v>
      </c>
      <c r="H21" t="s">
        <v>182</v>
      </c>
      <c r="I21" t="str">
        <f t="shared" si="2"/>
        <v>Super</v>
      </c>
      <c r="J21" s="39">
        <f t="shared" si="0"/>
        <v>80</v>
      </c>
      <c r="K21" s="1">
        <v>600</v>
      </c>
      <c r="L21" s="1">
        <f t="shared" si="5"/>
        <v>25</v>
      </c>
      <c r="M21" t="str">
        <f t="shared" si="3"/>
        <v>Verizon1Super</v>
      </c>
      <c r="N21" s="1">
        <f t="shared" si="4"/>
        <v>600</v>
      </c>
      <c r="O21" s="1">
        <v>25</v>
      </c>
      <c r="P21" s="35">
        <v>1</v>
      </c>
      <c r="W21" s="1"/>
    </row>
    <row r="22" spans="1:23" x14ac:dyDescent="0.25">
      <c r="A22" t="s">
        <v>4</v>
      </c>
      <c r="B22" t="s">
        <v>154</v>
      </c>
      <c r="C22" t="s">
        <v>195</v>
      </c>
      <c r="D22" s="35">
        <v>1</v>
      </c>
      <c r="E22" t="s">
        <v>184</v>
      </c>
      <c r="F22" t="s">
        <v>184</v>
      </c>
      <c r="G22">
        <v>100</v>
      </c>
      <c r="H22" t="s">
        <v>183</v>
      </c>
      <c r="I22" t="str">
        <f t="shared" si="2"/>
        <v>Super</v>
      </c>
      <c r="J22" s="39">
        <f t="shared" si="0"/>
        <v>100</v>
      </c>
      <c r="K22" s="1">
        <v>750</v>
      </c>
      <c r="L22" s="1">
        <f t="shared" si="5"/>
        <v>25</v>
      </c>
      <c r="M22" t="str">
        <f t="shared" si="3"/>
        <v>Verizon1Super</v>
      </c>
      <c r="N22" s="1">
        <f t="shared" si="4"/>
        <v>750</v>
      </c>
      <c r="O22" s="1">
        <v>25</v>
      </c>
      <c r="P22" s="35">
        <v>1</v>
      </c>
      <c r="W22" s="1"/>
    </row>
    <row r="23" spans="1:23" x14ac:dyDescent="0.25">
      <c r="A23" t="s">
        <v>4</v>
      </c>
      <c r="B23" t="s">
        <v>154</v>
      </c>
      <c r="C23" t="s">
        <v>195</v>
      </c>
      <c r="D23" s="35">
        <v>2</v>
      </c>
      <c r="E23">
        <v>700</v>
      </c>
      <c r="F23">
        <v>0</v>
      </c>
      <c r="G23">
        <v>0</v>
      </c>
      <c r="H23" t="s">
        <v>165</v>
      </c>
      <c r="I23" t="str">
        <f t="shared" si="2"/>
        <v>None</v>
      </c>
      <c r="J23" s="39">
        <f t="shared" si="0"/>
        <v>0</v>
      </c>
      <c r="K23" s="1">
        <v>5</v>
      </c>
      <c r="L23" s="1">
        <f t="shared" ref="L23:L28" si="6">15*D23</f>
        <v>30</v>
      </c>
      <c r="M23" t="str">
        <f t="shared" si="3"/>
        <v>Verizon2None</v>
      </c>
      <c r="N23" s="1">
        <f t="shared" si="4"/>
        <v>5</v>
      </c>
      <c r="O23" s="1">
        <v>30</v>
      </c>
      <c r="P23" s="35">
        <v>2</v>
      </c>
    </row>
    <row r="24" spans="1:23" x14ac:dyDescent="0.25">
      <c r="A24" t="s">
        <v>4</v>
      </c>
      <c r="B24" t="s">
        <v>154</v>
      </c>
      <c r="C24" t="s">
        <v>195</v>
      </c>
      <c r="D24" s="35">
        <v>2</v>
      </c>
      <c r="E24" t="s">
        <v>184</v>
      </c>
      <c r="F24" t="s">
        <v>184</v>
      </c>
      <c r="G24">
        <v>0.5</v>
      </c>
      <c r="H24" t="s">
        <v>166</v>
      </c>
      <c r="I24" t="str">
        <f t="shared" si="2"/>
        <v>None</v>
      </c>
      <c r="J24" s="39">
        <f t="shared" si="0"/>
        <v>0.25</v>
      </c>
      <c r="K24" s="1">
        <v>20</v>
      </c>
      <c r="L24" s="1">
        <f t="shared" si="6"/>
        <v>30</v>
      </c>
      <c r="M24" t="str">
        <f t="shared" si="3"/>
        <v>Verizon2None</v>
      </c>
      <c r="N24" s="1">
        <f t="shared" si="4"/>
        <v>20</v>
      </c>
      <c r="O24" s="1">
        <v>30</v>
      </c>
      <c r="P24" s="35">
        <v>2</v>
      </c>
    </row>
    <row r="25" spans="1:23" x14ac:dyDescent="0.25">
      <c r="A25" t="s">
        <v>4</v>
      </c>
      <c r="B25" t="s">
        <v>154</v>
      </c>
      <c r="C25" t="s">
        <v>195</v>
      </c>
      <c r="D25" s="35">
        <v>2</v>
      </c>
      <c r="E25" t="s">
        <v>184</v>
      </c>
      <c r="F25" t="s">
        <v>184</v>
      </c>
      <c r="G25">
        <v>1</v>
      </c>
      <c r="H25" t="s">
        <v>167</v>
      </c>
      <c r="I25" t="str">
        <f t="shared" si="2"/>
        <v>Low</v>
      </c>
      <c r="J25" s="39">
        <f t="shared" si="0"/>
        <v>0.5</v>
      </c>
      <c r="K25" s="1">
        <v>30</v>
      </c>
      <c r="L25" s="1">
        <f t="shared" si="6"/>
        <v>30</v>
      </c>
      <c r="M25" t="str">
        <f t="shared" si="3"/>
        <v>Verizon2Low</v>
      </c>
      <c r="N25" s="1">
        <f t="shared" si="4"/>
        <v>30</v>
      </c>
      <c r="O25" s="1">
        <v>30</v>
      </c>
      <c r="P25" s="35">
        <v>2</v>
      </c>
    </row>
    <row r="26" spans="1:23" x14ac:dyDescent="0.25">
      <c r="A26" t="s">
        <v>4</v>
      </c>
      <c r="B26" t="s">
        <v>154</v>
      </c>
      <c r="C26" t="s">
        <v>195</v>
      </c>
      <c r="D26" s="35">
        <v>2</v>
      </c>
      <c r="E26" t="s">
        <v>184</v>
      </c>
      <c r="F26" t="s">
        <v>184</v>
      </c>
      <c r="G26">
        <v>2</v>
      </c>
      <c r="H26" t="s">
        <v>168</v>
      </c>
      <c r="I26" t="str">
        <f t="shared" si="2"/>
        <v>Low</v>
      </c>
      <c r="J26" s="39">
        <f t="shared" si="0"/>
        <v>1</v>
      </c>
      <c r="K26" s="1">
        <v>40</v>
      </c>
      <c r="L26" s="1">
        <f t="shared" si="6"/>
        <v>30</v>
      </c>
      <c r="M26" t="str">
        <f t="shared" si="3"/>
        <v>Verizon2Low</v>
      </c>
      <c r="N26" s="1">
        <f t="shared" si="4"/>
        <v>40</v>
      </c>
      <c r="O26" s="1">
        <v>30</v>
      </c>
      <c r="P26" s="35">
        <v>2</v>
      </c>
    </row>
    <row r="27" spans="1:23" x14ac:dyDescent="0.25">
      <c r="A27" t="s">
        <v>4</v>
      </c>
      <c r="B27" t="s">
        <v>154</v>
      </c>
      <c r="C27" t="s">
        <v>195</v>
      </c>
      <c r="D27" s="35">
        <v>2</v>
      </c>
      <c r="E27" t="s">
        <v>184</v>
      </c>
      <c r="F27" t="s">
        <v>184</v>
      </c>
      <c r="G27">
        <v>3</v>
      </c>
      <c r="H27" t="s">
        <v>169</v>
      </c>
      <c r="I27" t="str">
        <f t="shared" si="2"/>
        <v>Low</v>
      </c>
      <c r="J27" s="39">
        <f t="shared" si="0"/>
        <v>1.5</v>
      </c>
      <c r="K27" s="1">
        <v>50</v>
      </c>
      <c r="L27" s="1">
        <f t="shared" si="6"/>
        <v>30</v>
      </c>
      <c r="M27" t="str">
        <f t="shared" si="3"/>
        <v>Verizon2Low</v>
      </c>
      <c r="N27" s="1">
        <f t="shared" si="4"/>
        <v>50</v>
      </c>
      <c r="O27" s="1">
        <v>30</v>
      </c>
      <c r="P27" s="35">
        <v>2</v>
      </c>
    </row>
    <row r="28" spans="1:23" x14ac:dyDescent="0.25">
      <c r="A28" t="s">
        <v>4</v>
      </c>
      <c r="B28" t="s">
        <v>154</v>
      </c>
      <c r="C28" t="s">
        <v>195</v>
      </c>
      <c r="D28" s="35">
        <v>2</v>
      </c>
      <c r="E28" t="s">
        <v>184</v>
      </c>
      <c r="F28" t="s">
        <v>184</v>
      </c>
      <c r="G28">
        <v>4</v>
      </c>
      <c r="H28" t="s">
        <v>170</v>
      </c>
      <c r="I28" t="str">
        <f t="shared" si="2"/>
        <v>Medium</v>
      </c>
      <c r="J28" s="39">
        <f t="shared" si="0"/>
        <v>2</v>
      </c>
      <c r="K28" s="1">
        <v>60</v>
      </c>
      <c r="L28" s="1">
        <f t="shared" si="6"/>
        <v>30</v>
      </c>
      <c r="M28" t="str">
        <f t="shared" si="3"/>
        <v>Verizon2Medium</v>
      </c>
      <c r="N28" s="1">
        <f t="shared" si="4"/>
        <v>60</v>
      </c>
      <c r="O28" s="1">
        <v>30</v>
      </c>
      <c r="P28" s="35">
        <v>2</v>
      </c>
    </row>
    <row r="29" spans="1:23" x14ac:dyDescent="0.25">
      <c r="A29" t="s">
        <v>4</v>
      </c>
      <c r="B29" t="s">
        <v>154</v>
      </c>
      <c r="C29" t="s">
        <v>195</v>
      </c>
      <c r="D29" s="35">
        <v>2</v>
      </c>
      <c r="E29" t="s">
        <v>184</v>
      </c>
      <c r="F29" t="s">
        <v>184</v>
      </c>
      <c r="G29">
        <v>6</v>
      </c>
      <c r="H29" t="s">
        <v>171</v>
      </c>
      <c r="I29" t="str">
        <f t="shared" si="2"/>
        <v>Medium</v>
      </c>
      <c r="J29" s="39">
        <f t="shared" si="0"/>
        <v>3</v>
      </c>
      <c r="K29" s="1">
        <v>70</v>
      </c>
      <c r="L29" s="1">
        <f t="shared" ref="L29:L41" si="7">25*D28</f>
        <v>50</v>
      </c>
      <c r="M29" t="str">
        <f t="shared" si="3"/>
        <v>Verizon2Medium</v>
      </c>
      <c r="N29" s="1">
        <f t="shared" si="4"/>
        <v>70</v>
      </c>
      <c r="O29" s="1">
        <v>50</v>
      </c>
      <c r="P29" s="35">
        <v>2</v>
      </c>
    </row>
    <row r="30" spans="1:23" x14ac:dyDescent="0.25">
      <c r="A30" t="s">
        <v>4</v>
      </c>
      <c r="B30" t="s">
        <v>154</v>
      </c>
      <c r="C30" t="s">
        <v>195</v>
      </c>
      <c r="D30" s="35">
        <v>2</v>
      </c>
      <c r="E30" t="s">
        <v>184</v>
      </c>
      <c r="F30" t="s">
        <v>184</v>
      </c>
      <c r="G30">
        <v>8</v>
      </c>
      <c r="H30" t="s">
        <v>172</v>
      </c>
      <c r="I30" t="str">
        <f t="shared" si="2"/>
        <v>Medium</v>
      </c>
      <c r="J30" s="39">
        <f t="shared" si="0"/>
        <v>4</v>
      </c>
      <c r="K30" s="1">
        <v>85</v>
      </c>
      <c r="L30" s="1">
        <f t="shared" si="7"/>
        <v>50</v>
      </c>
      <c r="M30" t="str">
        <f t="shared" si="3"/>
        <v>Verizon2Medium</v>
      </c>
      <c r="N30" s="1">
        <f t="shared" si="4"/>
        <v>85</v>
      </c>
      <c r="O30" s="1">
        <v>50</v>
      </c>
      <c r="P30" s="35">
        <v>2</v>
      </c>
    </row>
    <row r="31" spans="1:23" x14ac:dyDescent="0.25">
      <c r="A31" t="s">
        <v>4</v>
      </c>
      <c r="B31" t="s">
        <v>154</v>
      </c>
      <c r="C31" t="s">
        <v>195</v>
      </c>
      <c r="D31" s="35">
        <v>2</v>
      </c>
      <c r="E31" t="s">
        <v>184</v>
      </c>
      <c r="F31" t="s">
        <v>184</v>
      </c>
      <c r="G31">
        <v>10</v>
      </c>
      <c r="H31" t="s">
        <v>173</v>
      </c>
      <c r="I31" t="str">
        <f t="shared" si="2"/>
        <v>High</v>
      </c>
      <c r="J31" s="39">
        <f t="shared" si="0"/>
        <v>5</v>
      </c>
      <c r="K31" s="1">
        <v>100</v>
      </c>
      <c r="L31" s="1">
        <f t="shared" si="7"/>
        <v>50</v>
      </c>
      <c r="M31" t="str">
        <f t="shared" si="3"/>
        <v>Verizon2High</v>
      </c>
      <c r="N31" s="1">
        <f t="shared" si="4"/>
        <v>100</v>
      </c>
      <c r="O31" s="1">
        <v>50</v>
      </c>
      <c r="P31" s="35">
        <v>2</v>
      </c>
    </row>
    <row r="32" spans="1:23" x14ac:dyDescent="0.25">
      <c r="A32" t="s">
        <v>4</v>
      </c>
      <c r="B32" t="s">
        <v>154</v>
      </c>
      <c r="C32" t="s">
        <v>195</v>
      </c>
      <c r="D32" s="35">
        <v>2</v>
      </c>
      <c r="E32" t="s">
        <v>184</v>
      </c>
      <c r="F32" t="s">
        <v>184</v>
      </c>
      <c r="G32">
        <v>12</v>
      </c>
      <c r="H32" t="s">
        <v>174</v>
      </c>
      <c r="I32" t="str">
        <f t="shared" si="2"/>
        <v>High</v>
      </c>
      <c r="J32" s="39">
        <f t="shared" si="0"/>
        <v>6</v>
      </c>
      <c r="K32" s="1">
        <v>110</v>
      </c>
      <c r="L32" s="1">
        <f t="shared" si="7"/>
        <v>50</v>
      </c>
      <c r="M32" t="str">
        <f t="shared" si="3"/>
        <v>Verizon2High</v>
      </c>
      <c r="N32" s="1">
        <f t="shared" si="4"/>
        <v>110</v>
      </c>
      <c r="O32" s="1">
        <v>50</v>
      </c>
      <c r="P32" s="35">
        <v>2</v>
      </c>
    </row>
    <row r="33" spans="1:23" x14ac:dyDescent="0.25">
      <c r="A33" t="s">
        <v>4</v>
      </c>
      <c r="B33" t="s">
        <v>154</v>
      </c>
      <c r="C33" t="s">
        <v>195</v>
      </c>
      <c r="D33" s="35">
        <v>2</v>
      </c>
      <c r="E33" t="s">
        <v>184</v>
      </c>
      <c r="F33" t="s">
        <v>184</v>
      </c>
      <c r="G33">
        <v>14</v>
      </c>
      <c r="H33" t="s">
        <v>175</v>
      </c>
      <c r="I33" t="str">
        <f t="shared" si="2"/>
        <v>High</v>
      </c>
      <c r="J33" s="39">
        <f t="shared" si="0"/>
        <v>7</v>
      </c>
      <c r="K33" s="1">
        <v>120</v>
      </c>
      <c r="L33" s="1">
        <f t="shared" si="7"/>
        <v>50</v>
      </c>
      <c r="M33" t="str">
        <f t="shared" si="3"/>
        <v>Verizon2High</v>
      </c>
      <c r="N33" s="1">
        <f t="shared" si="4"/>
        <v>120</v>
      </c>
      <c r="O33" s="1">
        <v>50</v>
      </c>
      <c r="P33" s="35">
        <v>2</v>
      </c>
    </row>
    <row r="34" spans="1:23" x14ac:dyDescent="0.25">
      <c r="A34" t="s">
        <v>4</v>
      </c>
      <c r="B34" t="s">
        <v>154</v>
      </c>
      <c r="C34" t="s">
        <v>195</v>
      </c>
      <c r="D34" s="35">
        <v>2</v>
      </c>
      <c r="E34" t="s">
        <v>184</v>
      </c>
      <c r="F34" t="s">
        <v>184</v>
      </c>
      <c r="G34">
        <v>16</v>
      </c>
      <c r="H34" t="s">
        <v>176</v>
      </c>
      <c r="I34" t="str">
        <f t="shared" si="2"/>
        <v>High</v>
      </c>
      <c r="J34" s="39">
        <f t="shared" si="0"/>
        <v>8</v>
      </c>
      <c r="K34" s="1">
        <v>130</v>
      </c>
      <c r="L34" s="1">
        <f t="shared" si="7"/>
        <v>50</v>
      </c>
      <c r="M34" t="str">
        <f t="shared" si="3"/>
        <v>Verizon2High</v>
      </c>
      <c r="N34" s="1">
        <f t="shared" si="4"/>
        <v>130</v>
      </c>
      <c r="O34" s="1">
        <v>50</v>
      </c>
      <c r="P34" s="35">
        <v>2</v>
      </c>
    </row>
    <row r="35" spans="1:23" x14ac:dyDescent="0.25">
      <c r="A35" t="s">
        <v>4</v>
      </c>
      <c r="B35" t="s">
        <v>154</v>
      </c>
      <c r="C35" t="s">
        <v>195</v>
      </c>
      <c r="D35" s="35">
        <v>2</v>
      </c>
      <c r="E35" t="s">
        <v>184</v>
      </c>
      <c r="F35" t="s">
        <v>184</v>
      </c>
      <c r="G35">
        <v>20</v>
      </c>
      <c r="H35" t="s">
        <v>177</v>
      </c>
      <c r="I35" t="str">
        <f t="shared" si="2"/>
        <v>High</v>
      </c>
      <c r="J35" s="39">
        <f t="shared" si="0"/>
        <v>10</v>
      </c>
      <c r="K35" s="1">
        <v>140</v>
      </c>
      <c r="L35" s="1">
        <f t="shared" si="7"/>
        <v>50</v>
      </c>
      <c r="M35" t="str">
        <f t="shared" si="3"/>
        <v>Verizon2High</v>
      </c>
      <c r="N35" s="1">
        <f t="shared" si="4"/>
        <v>140</v>
      </c>
      <c r="O35" s="1">
        <v>50</v>
      </c>
      <c r="P35" s="35">
        <v>2</v>
      </c>
    </row>
    <row r="36" spans="1:23" x14ac:dyDescent="0.25">
      <c r="A36" t="s">
        <v>4</v>
      </c>
      <c r="B36" t="s">
        <v>154</v>
      </c>
      <c r="C36" t="s">
        <v>195</v>
      </c>
      <c r="D36" s="35">
        <v>2</v>
      </c>
      <c r="E36" t="s">
        <v>184</v>
      </c>
      <c r="F36" t="s">
        <v>184</v>
      </c>
      <c r="G36">
        <v>30</v>
      </c>
      <c r="H36" t="s">
        <v>178</v>
      </c>
      <c r="I36" t="str">
        <f t="shared" si="2"/>
        <v>Super</v>
      </c>
      <c r="J36" s="39">
        <f t="shared" si="0"/>
        <v>15</v>
      </c>
      <c r="K36" s="1">
        <v>225</v>
      </c>
      <c r="L36" s="1">
        <f t="shared" si="7"/>
        <v>50</v>
      </c>
      <c r="M36" t="str">
        <f t="shared" si="3"/>
        <v>Verizon2Super</v>
      </c>
      <c r="N36" s="1">
        <f t="shared" si="4"/>
        <v>225</v>
      </c>
      <c r="O36" s="1">
        <v>50</v>
      </c>
      <c r="P36" s="35">
        <v>2</v>
      </c>
    </row>
    <row r="37" spans="1:23" x14ac:dyDescent="0.25">
      <c r="A37" t="s">
        <v>4</v>
      </c>
      <c r="B37" t="s">
        <v>154</v>
      </c>
      <c r="C37" t="s">
        <v>195</v>
      </c>
      <c r="D37" s="35">
        <v>2</v>
      </c>
      <c r="E37" t="s">
        <v>184</v>
      </c>
      <c r="F37" t="s">
        <v>184</v>
      </c>
      <c r="G37">
        <v>40</v>
      </c>
      <c r="H37" t="s">
        <v>179</v>
      </c>
      <c r="I37" t="str">
        <f t="shared" si="2"/>
        <v>Super</v>
      </c>
      <c r="J37" s="39">
        <f t="shared" si="0"/>
        <v>20</v>
      </c>
      <c r="K37" s="1">
        <v>300</v>
      </c>
      <c r="L37" s="1">
        <f t="shared" si="7"/>
        <v>50</v>
      </c>
      <c r="M37" t="str">
        <f t="shared" si="3"/>
        <v>Verizon2Super</v>
      </c>
      <c r="N37" s="1">
        <f t="shared" si="4"/>
        <v>300</v>
      </c>
      <c r="O37" s="1">
        <v>50</v>
      </c>
      <c r="P37" s="35">
        <v>2</v>
      </c>
    </row>
    <row r="38" spans="1:23" x14ac:dyDescent="0.25">
      <c r="A38" t="s">
        <v>4</v>
      </c>
      <c r="B38" t="s">
        <v>154</v>
      </c>
      <c r="C38" t="s">
        <v>195</v>
      </c>
      <c r="D38" s="35">
        <v>2</v>
      </c>
      <c r="E38" t="s">
        <v>184</v>
      </c>
      <c r="F38" t="s">
        <v>184</v>
      </c>
      <c r="G38">
        <v>50</v>
      </c>
      <c r="H38" t="s">
        <v>180</v>
      </c>
      <c r="I38" t="str">
        <f t="shared" si="2"/>
        <v>Super</v>
      </c>
      <c r="J38" s="39">
        <f t="shared" si="0"/>
        <v>25</v>
      </c>
      <c r="K38" s="1">
        <v>375</v>
      </c>
      <c r="L38" s="1">
        <f t="shared" si="7"/>
        <v>50</v>
      </c>
      <c r="M38" t="str">
        <f t="shared" si="3"/>
        <v>Verizon2Super</v>
      </c>
      <c r="N38" s="1">
        <f t="shared" si="4"/>
        <v>375</v>
      </c>
      <c r="O38" s="1">
        <v>50</v>
      </c>
      <c r="P38" s="35">
        <v>2</v>
      </c>
    </row>
    <row r="39" spans="1:23" x14ac:dyDescent="0.25">
      <c r="A39" t="s">
        <v>4</v>
      </c>
      <c r="B39" t="s">
        <v>154</v>
      </c>
      <c r="C39" t="s">
        <v>195</v>
      </c>
      <c r="D39" s="35">
        <v>2</v>
      </c>
      <c r="E39" t="s">
        <v>184</v>
      </c>
      <c r="F39" t="s">
        <v>184</v>
      </c>
      <c r="G39">
        <v>60</v>
      </c>
      <c r="H39" t="s">
        <v>181</v>
      </c>
      <c r="I39" t="str">
        <f t="shared" si="2"/>
        <v>Super</v>
      </c>
      <c r="J39" s="39">
        <f t="shared" si="0"/>
        <v>30</v>
      </c>
      <c r="K39" s="1">
        <v>450</v>
      </c>
      <c r="L39" s="1">
        <f t="shared" si="7"/>
        <v>50</v>
      </c>
      <c r="M39" t="str">
        <f t="shared" si="3"/>
        <v>Verizon2Super</v>
      </c>
      <c r="N39" s="1">
        <f t="shared" si="4"/>
        <v>450</v>
      </c>
      <c r="O39" s="1">
        <v>50</v>
      </c>
      <c r="P39" s="35">
        <v>2</v>
      </c>
    </row>
    <row r="40" spans="1:23" x14ac:dyDescent="0.25">
      <c r="A40" t="s">
        <v>4</v>
      </c>
      <c r="B40" t="s">
        <v>154</v>
      </c>
      <c r="C40" t="s">
        <v>195</v>
      </c>
      <c r="D40" s="35">
        <v>2</v>
      </c>
      <c r="E40" t="s">
        <v>184</v>
      </c>
      <c r="F40" t="s">
        <v>184</v>
      </c>
      <c r="G40">
        <v>80</v>
      </c>
      <c r="H40" t="s">
        <v>182</v>
      </c>
      <c r="I40" t="str">
        <f t="shared" si="2"/>
        <v>Super</v>
      </c>
      <c r="J40" s="39">
        <f t="shared" si="0"/>
        <v>40</v>
      </c>
      <c r="K40" s="1">
        <v>600</v>
      </c>
      <c r="L40" s="1">
        <f t="shared" si="7"/>
        <v>50</v>
      </c>
      <c r="M40" t="str">
        <f t="shared" si="3"/>
        <v>Verizon2Super</v>
      </c>
      <c r="N40" s="1">
        <f t="shared" si="4"/>
        <v>600</v>
      </c>
      <c r="O40" s="1">
        <v>50</v>
      </c>
      <c r="P40" s="35">
        <v>2</v>
      </c>
      <c r="W40" s="1"/>
    </row>
    <row r="41" spans="1:23" x14ac:dyDescent="0.25">
      <c r="A41" t="s">
        <v>4</v>
      </c>
      <c r="B41" t="s">
        <v>154</v>
      </c>
      <c r="C41" t="s">
        <v>195</v>
      </c>
      <c r="D41" s="35">
        <v>2</v>
      </c>
      <c r="E41" t="s">
        <v>184</v>
      </c>
      <c r="F41" t="s">
        <v>184</v>
      </c>
      <c r="G41">
        <v>100</v>
      </c>
      <c r="H41" t="s">
        <v>183</v>
      </c>
      <c r="I41" t="str">
        <f t="shared" si="2"/>
        <v>Super</v>
      </c>
      <c r="J41" s="39">
        <f t="shared" si="0"/>
        <v>50</v>
      </c>
      <c r="K41" s="1">
        <v>750</v>
      </c>
      <c r="L41" s="1">
        <f t="shared" si="7"/>
        <v>50</v>
      </c>
      <c r="M41" t="str">
        <f t="shared" si="3"/>
        <v>Verizon2Super</v>
      </c>
      <c r="N41" s="1">
        <f t="shared" si="4"/>
        <v>750</v>
      </c>
      <c r="O41" s="1">
        <v>50</v>
      </c>
      <c r="P41" s="35">
        <v>2</v>
      </c>
      <c r="W41" s="1"/>
    </row>
    <row r="42" spans="1:23" x14ac:dyDescent="0.25">
      <c r="A42" t="s">
        <v>4</v>
      </c>
      <c r="B42" t="s">
        <v>154</v>
      </c>
      <c r="C42" t="s">
        <v>195</v>
      </c>
      <c r="D42" s="35">
        <v>3</v>
      </c>
      <c r="E42">
        <v>700</v>
      </c>
      <c r="F42">
        <v>0</v>
      </c>
      <c r="G42">
        <v>0</v>
      </c>
      <c r="H42" t="s">
        <v>165</v>
      </c>
      <c r="I42" t="str">
        <f t="shared" si="2"/>
        <v>None</v>
      </c>
      <c r="J42" s="39">
        <f t="shared" si="0"/>
        <v>0</v>
      </c>
      <c r="K42" s="1">
        <v>5</v>
      </c>
      <c r="L42" s="1">
        <f t="shared" ref="L42:L47" si="8">15*D42</f>
        <v>45</v>
      </c>
      <c r="M42" t="str">
        <f t="shared" si="3"/>
        <v>Verizon3None</v>
      </c>
      <c r="N42" s="1">
        <f t="shared" si="4"/>
        <v>5</v>
      </c>
      <c r="O42" s="1">
        <v>45</v>
      </c>
      <c r="P42" s="35">
        <v>3</v>
      </c>
    </row>
    <row r="43" spans="1:23" x14ac:dyDescent="0.25">
      <c r="A43" t="s">
        <v>4</v>
      </c>
      <c r="B43" t="s">
        <v>154</v>
      </c>
      <c r="C43" t="s">
        <v>195</v>
      </c>
      <c r="D43" s="35">
        <v>3</v>
      </c>
      <c r="E43" t="s">
        <v>184</v>
      </c>
      <c r="F43" t="s">
        <v>184</v>
      </c>
      <c r="G43">
        <v>0.5</v>
      </c>
      <c r="H43" t="s">
        <v>166</v>
      </c>
      <c r="I43" t="str">
        <f t="shared" si="2"/>
        <v>None</v>
      </c>
      <c r="J43" s="39">
        <f t="shared" si="0"/>
        <v>0.16666666666666666</v>
      </c>
      <c r="K43" s="1">
        <v>20</v>
      </c>
      <c r="L43" s="1">
        <f t="shared" si="8"/>
        <v>45</v>
      </c>
      <c r="M43" t="str">
        <f t="shared" si="3"/>
        <v>Verizon3None</v>
      </c>
      <c r="N43" s="1">
        <f t="shared" si="4"/>
        <v>20</v>
      </c>
      <c r="O43" s="1">
        <v>45</v>
      </c>
      <c r="P43" s="35">
        <v>3</v>
      </c>
    </row>
    <row r="44" spans="1:23" x14ac:dyDescent="0.25">
      <c r="A44" t="s">
        <v>4</v>
      </c>
      <c r="B44" t="s">
        <v>154</v>
      </c>
      <c r="C44" t="s">
        <v>195</v>
      </c>
      <c r="D44" s="35">
        <v>3</v>
      </c>
      <c r="E44" t="s">
        <v>184</v>
      </c>
      <c r="F44" t="s">
        <v>184</v>
      </c>
      <c r="G44">
        <v>1</v>
      </c>
      <c r="H44" t="s">
        <v>167</v>
      </c>
      <c r="I44" t="str">
        <f t="shared" si="2"/>
        <v>None</v>
      </c>
      <c r="J44" s="39">
        <f t="shared" si="0"/>
        <v>0.33333333333333331</v>
      </c>
      <c r="K44" s="1">
        <v>30</v>
      </c>
      <c r="L44" s="1">
        <f t="shared" si="8"/>
        <v>45</v>
      </c>
      <c r="M44" t="str">
        <f t="shared" si="3"/>
        <v>Verizon3None</v>
      </c>
      <c r="N44" s="1">
        <f t="shared" si="4"/>
        <v>30</v>
      </c>
      <c r="O44" s="1">
        <v>45</v>
      </c>
      <c r="P44" s="35">
        <v>3</v>
      </c>
    </row>
    <row r="45" spans="1:23" x14ac:dyDescent="0.25">
      <c r="A45" t="s">
        <v>4</v>
      </c>
      <c r="B45" t="s">
        <v>154</v>
      </c>
      <c r="C45" t="s">
        <v>195</v>
      </c>
      <c r="D45" s="35">
        <v>3</v>
      </c>
      <c r="E45" t="s">
        <v>184</v>
      </c>
      <c r="F45" t="s">
        <v>184</v>
      </c>
      <c r="G45">
        <v>2</v>
      </c>
      <c r="H45" t="s">
        <v>168</v>
      </c>
      <c r="I45" t="str">
        <f t="shared" si="2"/>
        <v>Low</v>
      </c>
      <c r="J45" s="39">
        <f t="shared" si="0"/>
        <v>0.66666666666666663</v>
      </c>
      <c r="K45" s="1">
        <v>40</v>
      </c>
      <c r="L45" s="1">
        <f t="shared" si="8"/>
        <v>45</v>
      </c>
      <c r="M45" t="str">
        <f t="shared" si="3"/>
        <v>Verizon3Low</v>
      </c>
      <c r="N45" s="1">
        <f t="shared" si="4"/>
        <v>40</v>
      </c>
      <c r="O45" s="1">
        <v>45</v>
      </c>
      <c r="P45" s="35">
        <v>3</v>
      </c>
    </row>
    <row r="46" spans="1:23" x14ac:dyDescent="0.25">
      <c r="A46" t="s">
        <v>4</v>
      </c>
      <c r="B46" t="s">
        <v>154</v>
      </c>
      <c r="C46" t="s">
        <v>195</v>
      </c>
      <c r="D46" s="35">
        <v>3</v>
      </c>
      <c r="E46" t="s">
        <v>184</v>
      </c>
      <c r="F46" t="s">
        <v>184</v>
      </c>
      <c r="G46">
        <v>3</v>
      </c>
      <c r="H46" t="s">
        <v>169</v>
      </c>
      <c r="I46" t="str">
        <f t="shared" si="2"/>
        <v>Low</v>
      </c>
      <c r="J46" s="39">
        <f t="shared" si="0"/>
        <v>1</v>
      </c>
      <c r="K46" s="1">
        <v>50</v>
      </c>
      <c r="L46" s="1">
        <f t="shared" si="8"/>
        <v>45</v>
      </c>
      <c r="M46" t="str">
        <f t="shared" si="3"/>
        <v>Verizon3Low</v>
      </c>
      <c r="N46" s="1">
        <f t="shared" si="4"/>
        <v>50</v>
      </c>
      <c r="O46" s="1">
        <v>45</v>
      </c>
      <c r="P46" s="35">
        <v>3</v>
      </c>
    </row>
    <row r="47" spans="1:23" x14ac:dyDescent="0.25">
      <c r="A47" t="s">
        <v>4</v>
      </c>
      <c r="B47" t="s">
        <v>154</v>
      </c>
      <c r="C47" t="s">
        <v>195</v>
      </c>
      <c r="D47" s="35">
        <v>3</v>
      </c>
      <c r="E47" t="s">
        <v>184</v>
      </c>
      <c r="F47" t="s">
        <v>184</v>
      </c>
      <c r="G47">
        <v>4</v>
      </c>
      <c r="H47" t="s">
        <v>170</v>
      </c>
      <c r="I47" t="str">
        <f t="shared" si="2"/>
        <v>Low</v>
      </c>
      <c r="J47" s="39">
        <f t="shared" si="0"/>
        <v>1.3333333333333333</v>
      </c>
      <c r="K47" s="1">
        <v>60</v>
      </c>
      <c r="L47" s="1">
        <f t="shared" si="8"/>
        <v>45</v>
      </c>
      <c r="M47" t="str">
        <f t="shared" si="3"/>
        <v>Verizon3Low</v>
      </c>
      <c r="N47" s="1">
        <f t="shared" si="4"/>
        <v>60</v>
      </c>
      <c r="O47" s="1">
        <v>45</v>
      </c>
      <c r="P47" s="35">
        <v>3</v>
      </c>
    </row>
    <row r="48" spans="1:23" x14ac:dyDescent="0.25">
      <c r="A48" t="s">
        <v>4</v>
      </c>
      <c r="B48" t="s">
        <v>154</v>
      </c>
      <c r="C48" t="s">
        <v>195</v>
      </c>
      <c r="D48" s="35">
        <v>3</v>
      </c>
      <c r="E48" t="s">
        <v>184</v>
      </c>
      <c r="F48" t="s">
        <v>184</v>
      </c>
      <c r="G48">
        <v>6</v>
      </c>
      <c r="H48" t="s">
        <v>171</v>
      </c>
      <c r="I48" t="str">
        <f t="shared" si="2"/>
        <v>Medium</v>
      </c>
      <c r="J48" s="39">
        <f t="shared" si="0"/>
        <v>2</v>
      </c>
      <c r="K48" s="1">
        <v>70</v>
      </c>
      <c r="L48" s="1">
        <f t="shared" ref="L48:L60" si="9">25*D47</f>
        <v>75</v>
      </c>
      <c r="M48" t="str">
        <f t="shared" si="3"/>
        <v>Verizon3Medium</v>
      </c>
      <c r="N48" s="1">
        <f t="shared" si="4"/>
        <v>70</v>
      </c>
      <c r="O48" s="1">
        <v>75</v>
      </c>
      <c r="P48" s="35">
        <v>3</v>
      </c>
    </row>
    <row r="49" spans="1:23" x14ac:dyDescent="0.25">
      <c r="A49" t="s">
        <v>4</v>
      </c>
      <c r="B49" t="s">
        <v>154</v>
      </c>
      <c r="C49" t="s">
        <v>195</v>
      </c>
      <c r="D49" s="35">
        <v>3</v>
      </c>
      <c r="E49" t="s">
        <v>184</v>
      </c>
      <c r="F49" t="s">
        <v>184</v>
      </c>
      <c r="G49">
        <v>8</v>
      </c>
      <c r="H49" t="s">
        <v>172</v>
      </c>
      <c r="I49" t="str">
        <f t="shared" si="2"/>
        <v>Medium</v>
      </c>
      <c r="J49" s="39">
        <f t="shared" si="0"/>
        <v>2.6666666666666665</v>
      </c>
      <c r="K49" s="1">
        <v>85</v>
      </c>
      <c r="L49" s="1">
        <f t="shared" si="9"/>
        <v>75</v>
      </c>
      <c r="M49" t="str">
        <f t="shared" si="3"/>
        <v>Verizon3Medium</v>
      </c>
      <c r="N49" s="1">
        <f t="shared" si="4"/>
        <v>85</v>
      </c>
      <c r="O49" s="1">
        <v>75</v>
      </c>
      <c r="P49" s="35">
        <v>3</v>
      </c>
    </row>
    <row r="50" spans="1:23" x14ac:dyDescent="0.25">
      <c r="A50" t="s">
        <v>4</v>
      </c>
      <c r="B50" t="s">
        <v>154</v>
      </c>
      <c r="C50" t="s">
        <v>195</v>
      </c>
      <c r="D50" s="35">
        <v>3</v>
      </c>
      <c r="E50" t="s">
        <v>184</v>
      </c>
      <c r="F50" t="s">
        <v>184</v>
      </c>
      <c r="G50">
        <v>10</v>
      </c>
      <c r="H50" t="s">
        <v>173</v>
      </c>
      <c r="I50" t="str">
        <f t="shared" si="2"/>
        <v>Medium</v>
      </c>
      <c r="J50" s="39">
        <f t="shared" si="0"/>
        <v>3.3333333333333335</v>
      </c>
      <c r="K50" s="1">
        <v>100</v>
      </c>
      <c r="L50" s="1">
        <f t="shared" si="9"/>
        <v>75</v>
      </c>
      <c r="M50" t="str">
        <f t="shared" si="3"/>
        <v>Verizon3Medium</v>
      </c>
      <c r="N50" s="1">
        <f t="shared" si="4"/>
        <v>100</v>
      </c>
      <c r="O50" s="1">
        <v>75</v>
      </c>
      <c r="P50" s="35">
        <v>3</v>
      </c>
    </row>
    <row r="51" spans="1:23" x14ac:dyDescent="0.25">
      <c r="A51" t="s">
        <v>4</v>
      </c>
      <c r="B51" t="s">
        <v>154</v>
      </c>
      <c r="C51" t="s">
        <v>195</v>
      </c>
      <c r="D51" s="35">
        <v>3</v>
      </c>
      <c r="E51" t="s">
        <v>184</v>
      </c>
      <c r="F51" t="s">
        <v>184</v>
      </c>
      <c r="G51">
        <v>12</v>
      </c>
      <c r="H51" t="s">
        <v>174</v>
      </c>
      <c r="I51" t="str">
        <f t="shared" si="2"/>
        <v>Medium</v>
      </c>
      <c r="J51" s="39">
        <f t="shared" si="0"/>
        <v>4</v>
      </c>
      <c r="K51" s="1">
        <v>110</v>
      </c>
      <c r="L51" s="1">
        <f t="shared" si="9"/>
        <v>75</v>
      </c>
      <c r="M51" t="str">
        <f t="shared" si="3"/>
        <v>Verizon3Medium</v>
      </c>
      <c r="N51" s="1">
        <f t="shared" si="4"/>
        <v>110</v>
      </c>
      <c r="O51" s="1">
        <v>75</v>
      </c>
      <c r="P51" s="35">
        <v>3</v>
      </c>
    </row>
    <row r="52" spans="1:23" x14ac:dyDescent="0.25">
      <c r="A52" t="s">
        <v>4</v>
      </c>
      <c r="B52" t="s">
        <v>154</v>
      </c>
      <c r="C52" t="s">
        <v>195</v>
      </c>
      <c r="D52" s="35">
        <v>3</v>
      </c>
      <c r="E52" t="s">
        <v>184</v>
      </c>
      <c r="F52" t="s">
        <v>184</v>
      </c>
      <c r="G52">
        <v>14</v>
      </c>
      <c r="H52" t="s">
        <v>175</v>
      </c>
      <c r="I52" t="str">
        <f t="shared" si="2"/>
        <v>Medium</v>
      </c>
      <c r="J52" s="39">
        <f t="shared" si="0"/>
        <v>4.666666666666667</v>
      </c>
      <c r="K52" s="1">
        <v>120</v>
      </c>
      <c r="L52" s="1">
        <f t="shared" si="9"/>
        <v>75</v>
      </c>
      <c r="M52" t="str">
        <f t="shared" si="3"/>
        <v>Verizon3Medium</v>
      </c>
      <c r="N52" s="1">
        <f t="shared" si="4"/>
        <v>120</v>
      </c>
      <c r="O52" s="1">
        <v>75</v>
      </c>
      <c r="P52" s="35">
        <v>3</v>
      </c>
    </row>
    <row r="53" spans="1:23" x14ac:dyDescent="0.25">
      <c r="A53" t="s">
        <v>4</v>
      </c>
      <c r="B53" t="s">
        <v>154</v>
      </c>
      <c r="C53" t="s">
        <v>195</v>
      </c>
      <c r="D53" s="35">
        <v>3</v>
      </c>
      <c r="E53" t="s">
        <v>184</v>
      </c>
      <c r="F53" t="s">
        <v>184</v>
      </c>
      <c r="G53">
        <v>16</v>
      </c>
      <c r="H53" t="s">
        <v>176</v>
      </c>
      <c r="I53" t="str">
        <f t="shared" si="2"/>
        <v>High</v>
      </c>
      <c r="J53" s="39">
        <f t="shared" si="0"/>
        <v>5.333333333333333</v>
      </c>
      <c r="K53" s="1">
        <v>130</v>
      </c>
      <c r="L53" s="1">
        <f t="shared" si="9"/>
        <v>75</v>
      </c>
      <c r="M53" t="str">
        <f t="shared" si="3"/>
        <v>Verizon3High</v>
      </c>
      <c r="N53" s="1">
        <f t="shared" si="4"/>
        <v>130</v>
      </c>
      <c r="O53" s="1">
        <v>75</v>
      </c>
      <c r="P53" s="35">
        <v>3</v>
      </c>
    </row>
    <row r="54" spans="1:23" x14ac:dyDescent="0.25">
      <c r="A54" t="s">
        <v>4</v>
      </c>
      <c r="B54" t="s">
        <v>154</v>
      </c>
      <c r="C54" t="s">
        <v>195</v>
      </c>
      <c r="D54" s="35">
        <v>3</v>
      </c>
      <c r="E54" t="s">
        <v>184</v>
      </c>
      <c r="F54" t="s">
        <v>184</v>
      </c>
      <c r="G54">
        <v>20</v>
      </c>
      <c r="H54" t="s">
        <v>177</v>
      </c>
      <c r="I54" t="str">
        <f t="shared" si="2"/>
        <v>High</v>
      </c>
      <c r="J54" s="39">
        <f t="shared" si="0"/>
        <v>6.666666666666667</v>
      </c>
      <c r="K54" s="1">
        <v>140</v>
      </c>
      <c r="L54" s="1">
        <f t="shared" si="9"/>
        <v>75</v>
      </c>
      <c r="M54" t="str">
        <f t="shared" si="3"/>
        <v>Verizon3High</v>
      </c>
      <c r="N54" s="1">
        <f t="shared" si="4"/>
        <v>140</v>
      </c>
      <c r="O54" s="1">
        <v>75</v>
      </c>
      <c r="P54" s="35">
        <v>3</v>
      </c>
    </row>
    <row r="55" spans="1:23" x14ac:dyDescent="0.25">
      <c r="A55" t="s">
        <v>4</v>
      </c>
      <c r="B55" t="s">
        <v>154</v>
      </c>
      <c r="C55" t="s">
        <v>195</v>
      </c>
      <c r="D55" s="35">
        <v>3</v>
      </c>
      <c r="E55" t="s">
        <v>184</v>
      </c>
      <c r="F55" t="s">
        <v>184</v>
      </c>
      <c r="G55">
        <v>30</v>
      </c>
      <c r="H55" t="s">
        <v>178</v>
      </c>
      <c r="I55" t="str">
        <f t="shared" si="2"/>
        <v>High</v>
      </c>
      <c r="J55" s="39">
        <f t="shared" si="0"/>
        <v>10</v>
      </c>
      <c r="K55" s="1">
        <v>225</v>
      </c>
      <c r="L55" s="1">
        <f t="shared" si="9"/>
        <v>75</v>
      </c>
      <c r="M55" t="str">
        <f t="shared" si="3"/>
        <v>Verizon3High</v>
      </c>
      <c r="N55" s="1">
        <f t="shared" si="4"/>
        <v>225</v>
      </c>
      <c r="O55" s="1">
        <v>75</v>
      </c>
      <c r="P55" s="35">
        <v>3</v>
      </c>
    </row>
    <row r="56" spans="1:23" x14ac:dyDescent="0.25">
      <c r="A56" t="s">
        <v>4</v>
      </c>
      <c r="B56" t="s">
        <v>154</v>
      </c>
      <c r="C56" t="s">
        <v>195</v>
      </c>
      <c r="D56" s="35">
        <v>3</v>
      </c>
      <c r="E56" t="s">
        <v>184</v>
      </c>
      <c r="F56" t="s">
        <v>184</v>
      </c>
      <c r="G56">
        <v>40</v>
      </c>
      <c r="H56" t="s">
        <v>179</v>
      </c>
      <c r="I56" t="str">
        <f t="shared" si="2"/>
        <v>Super</v>
      </c>
      <c r="J56" s="39">
        <f t="shared" si="0"/>
        <v>13.333333333333334</v>
      </c>
      <c r="K56" s="1">
        <v>300</v>
      </c>
      <c r="L56" s="1">
        <f t="shared" si="9"/>
        <v>75</v>
      </c>
      <c r="M56" t="str">
        <f t="shared" si="3"/>
        <v>Verizon3Super</v>
      </c>
      <c r="N56" s="1">
        <f t="shared" si="4"/>
        <v>300</v>
      </c>
      <c r="O56" s="1">
        <v>75</v>
      </c>
      <c r="P56" s="35">
        <v>3</v>
      </c>
    </row>
    <row r="57" spans="1:23" x14ac:dyDescent="0.25">
      <c r="A57" t="s">
        <v>4</v>
      </c>
      <c r="B57" t="s">
        <v>154</v>
      </c>
      <c r="C57" t="s">
        <v>195</v>
      </c>
      <c r="D57" s="35">
        <v>3</v>
      </c>
      <c r="E57" t="s">
        <v>184</v>
      </c>
      <c r="F57" t="s">
        <v>184</v>
      </c>
      <c r="G57">
        <v>50</v>
      </c>
      <c r="H57" t="s">
        <v>180</v>
      </c>
      <c r="I57" t="str">
        <f t="shared" si="2"/>
        <v>Super</v>
      </c>
      <c r="J57" s="39">
        <f t="shared" si="0"/>
        <v>16.666666666666668</v>
      </c>
      <c r="K57" s="1">
        <v>375</v>
      </c>
      <c r="L57" s="1">
        <f t="shared" si="9"/>
        <v>75</v>
      </c>
      <c r="M57" t="str">
        <f t="shared" si="3"/>
        <v>Verizon3Super</v>
      </c>
      <c r="N57" s="1">
        <f t="shared" si="4"/>
        <v>375</v>
      </c>
      <c r="O57" s="1">
        <v>75</v>
      </c>
      <c r="P57" s="35">
        <v>3</v>
      </c>
    </row>
    <row r="58" spans="1:23" x14ac:dyDescent="0.25">
      <c r="A58" t="s">
        <v>4</v>
      </c>
      <c r="B58" t="s">
        <v>154</v>
      </c>
      <c r="C58" t="s">
        <v>195</v>
      </c>
      <c r="D58" s="35">
        <v>3</v>
      </c>
      <c r="E58" t="s">
        <v>184</v>
      </c>
      <c r="F58" t="s">
        <v>184</v>
      </c>
      <c r="G58">
        <v>60</v>
      </c>
      <c r="H58" t="s">
        <v>181</v>
      </c>
      <c r="I58" t="str">
        <f t="shared" si="2"/>
        <v>Super</v>
      </c>
      <c r="J58" s="39">
        <f t="shared" si="0"/>
        <v>20</v>
      </c>
      <c r="K58" s="1">
        <v>450</v>
      </c>
      <c r="L58" s="1">
        <f t="shared" si="9"/>
        <v>75</v>
      </c>
      <c r="M58" t="str">
        <f t="shared" si="3"/>
        <v>Verizon3Super</v>
      </c>
      <c r="N58" s="1">
        <f t="shared" si="4"/>
        <v>450</v>
      </c>
      <c r="O58" s="1">
        <v>75</v>
      </c>
      <c r="P58" s="35">
        <v>3</v>
      </c>
    </row>
    <row r="59" spans="1:23" x14ac:dyDescent="0.25">
      <c r="A59" t="s">
        <v>4</v>
      </c>
      <c r="B59" t="s">
        <v>154</v>
      </c>
      <c r="C59" t="s">
        <v>195</v>
      </c>
      <c r="D59" s="35">
        <v>3</v>
      </c>
      <c r="E59" t="s">
        <v>184</v>
      </c>
      <c r="F59" t="s">
        <v>184</v>
      </c>
      <c r="G59">
        <v>80</v>
      </c>
      <c r="H59" t="s">
        <v>182</v>
      </c>
      <c r="I59" t="str">
        <f t="shared" si="2"/>
        <v>Super</v>
      </c>
      <c r="J59" s="39">
        <f t="shared" si="0"/>
        <v>26.666666666666668</v>
      </c>
      <c r="K59" s="1">
        <v>600</v>
      </c>
      <c r="L59" s="1">
        <f t="shared" si="9"/>
        <v>75</v>
      </c>
      <c r="M59" t="str">
        <f t="shared" si="3"/>
        <v>Verizon3Super</v>
      </c>
      <c r="N59" s="1">
        <f t="shared" si="4"/>
        <v>600</v>
      </c>
      <c r="O59" s="1">
        <v>75</v>
      </c>
      <c r="P59" s="35">
        <v>3</v>
      </c>
      <c r="W59" s="1"/>
    </row>
    <row r="60" spans="1:23" x14ac:dyDescent="0.25">
      <c r="A60" t="s">
        <v>4</v>
      </c>
      <c r="B60" t="s">
        <v>154</v>
      </c>
      <c r="C60" t="s">
        <v>195</v>
      </c>
      <c r="D60" s="35">
        <v>3</v>
      </c>
      <c r="E60" t="s">
        <v>184</v>
      </c>
      <c r="F60" t="s">
        <v>184</v>
      </c>
      <c r="G60">
        <v>100</v>
      </c>
      <c r="H60" t="s">
        <v>183</v>
      </c>
      <c r="I60" t="str">
        <f t="shared" si="2"/>
        <v>Super</v>
      </c>
      <c r="J60" s="39">
        <f t="shared" si="0"/>
        <v>33.333333333333336</v>
      </c>
      <c r="K60" s="1">
        <v>750</v>
      </c>
      <c r="L60" s="1">
        <f t="shared" si="9"/>
        <v>75</v>
      </c>
      <c r="M60" t="str">
        <f t="shared" si="3"/>
        <v>Verizon3Super</v>
      </c>
      <c r="N60" s="1">
        <f t="shared" si="4"/>
        <v>750</v>
      </c>
      <c r="O60" s="1">
        <v>75</v>
      </c>
      <c r="P60" s="35">
        <v>3</v>
      </c>
      <c r="W60" s="1"/>
    </row>
    <row r="61" spans="1:23" x14ac:dyDescent="0.25">
      <c r="A61" t="s">
        <v>4</v>
      </c>
      <c r="B61" t="s">
        <v>154</v>
      </c>
      <c r="C61" t="s">
        <v>195</v>
      </c>
      <c r="D61" s="35">
        <v>4</v>
      </c>
      <c r="E61">
        <v>700</v>
      </c>
      <c r="F61">
        <v>0</v>
      </c>
      <c r="G61">
        <v>0</v>
      </c>
      <c r="H61" t="s">
        <v>165</v>
      </c>
      <c r="I61" t="str">
        <f t="shared" si="2"/>
        <v>None</v>
      </c>
      <c r="J61" s="39">
        <f t="shared" si="0"/>
        <v>0</v>
      </c>
      <c r="K61" s="1">
        <v>5</v>
      </c>
      <c r="L61" s="1">
        <f t="shared" ref="L61:L66" si="10">15*D61</f>
        <v>60</v>
      </c>
      <c r="M61" t="str">
        <f t="shared" si="3"/>
        <v>Verizon4None</v>
      </c>
      <c r="N61" s="1">
        <f t="shared" si="4"/>
        <v>5</v>
      </c>
      <c r="O61" s="1">
        <v>60</v>
      </c>
      <c r="P61" s="35">
        <v>4</v>
      </c>
    </row>
    <row r="62" spans="1:23" x14ac:dyDescent="0.25">
      <c r="A62" t="s">
        <v>4</v>
      </c>
      <c r="B62" t="s">
        <v>154</v>
      </c>
      <c r="C62" t="s">
        <v>195</v>
      </c>
      <c r="D62" s="35">
        <v>4</v>
      </c>
      <c r="E62" t="s">
        <v>184</v>
      </c>
      <c r="F62" t="s">
        <v>184</v>
      </c>
      <c r="G62">
        <v>0.5</v>
      </c>
      <c r="H62" t="s">
        <v>166</v>
      </c>
      <c r="I62" t="str">
        <f t="shared" si="2"/>
        <v>None</v>
      </c>
      <c r="J62" s="39">
        <f t="shared" si="0"/>
        <v>0.125</v>
      </c>
      <c r="K62" s="1">
        <v>20</v>
      </c>
      <c r="L62" s="1">
        <f t="shared" si="10"/>
        <v>60</v>
      </c>
      <c r="M62" t="str">
        <f t="shared" si="3"/>
        <v>Verizon4None</v>
      </c>
      <c r="N62" s="1">
        <f t="shared" si="4"/>
        <v>20</v>
      </c>
      <c r="O62" s="1">
        <v>60</v>
      </c>
      <c r="P62" s="35">
        <v>4</v>
      </c>
    </row>
    <row r="63" spans="1:23" x14ac:dyDescent="0.25">
      <c r="A63" t="s">
        <v>4</v>
      </c>
      <c r="B63" t="s">
        <v>154</v>
      </c>
      <c r="C63" t="s">
        <v>195</v>
      </c>
      <c r="D63" s="35">
        <v>4</v>
      </c>
      <c r="E63" t="s">
        <v>184</v>
      </c>
      <c r="F63" t="s">
        <v>184</v>
      </c>
      <c r="G63">
        <v>1</v>
      </c>
      <c r="H63" t="s">
        <v>167</v>
      </c>
      <c r="I63" t="str">
        <f t="shared" si="2"/>
        <v>None</v>
      </c>
      <c r="J63" s="39">
        <f t="shared" si="0"/>
        <v>0.25</v>
      </c>
      <c r="K63" s="1">
        <v>30</v>
      </c>
      <c r="L63" s="1">
        <f t="shared" si="10"/>
        <v>60</v>
      </c>
      <c r="M63" t="str">
        <f t="shared" si="3"/>
        <v>Verizon4None</v>
      </c>
      <c r="N63" s="1">
        <f t="shared" si="4"/>
        <v>30</v>
      </c>
      <c r="O63" s="1">
        <v>60</v>
      </c>
      <c r="P63" s="35">
        <v>4</v>
      </c>
    </row>
    <row r="64" spans="1:23" x14ac:dyDescent="0.25">
      <c r="A64" t="s">
        <v>4</v>
      </c>
      <c r="B64" t="s">
        <v>154</v>
      </c>
      <c r="C64" t="s">
        <v>195</v>
      </c>
      <c r="D64" s="35">
        <v>4</v>
      </c>
      <c r="E64" t="s">
        <v>184</v>
      </c>
      <c r="F64" t="s">
        <v>184</v>
      </c>
      <c r="G64">
        <v>2</v>
      </c>
      <c r="H64" t="s">
        <v>168</v>
      </c>
      <c r="I64" t="str">
        <f t="shared" si="2"/>
        <v>Low</v>
      </c>
      <c r="J64" s="39">
        <f t="shared" si="0"/>
        <v>0.5</v>
      </c>
      <c r="K64" s="1">
        <v>40</v>
      </c>
      <c r="L64" s="1">
        <f t="shared" si="10"/>
        <v>60</v>
      </c>
      <c r="M64" t="str">
        <f t="shared" si="3"/>
        <v>Verizon4Low</v>
      </c>
      <c r="N64" s="1">
        <f t="shared" si="4"/>
        <v>40</v>
      </c>
      <c r="O64" s="1">
        <v>60</v>
      </c>
      <c r="P64" s="35">
        <v>4</v>
      </c>
    </row>
    <row r="65" spans="1:23" x14ac:dyDescent="0.25">
      <c r="A65" t="s">
        <v>4</v>
      </c>
      <c r="B65" t="s">
        <v>154</v>
      </c>
      <c r="C65" t="s">
        <v>195</v>
      </c>
      <c r="D65" s="35">
        <v>4</v>
      </c>
      <c r="E65" t="s">
        <v>184</v>
      </c>
      <c r="F65" t="s">
        <v>184</v>
      </c>
      <c r="G65">
        <v>3</v>
      </c>
      <c r="H65" t="s">
        <v>169</v>
      </c>
      <c r="I65" t="str">
        <f t="shared" si="2"/>
        <v>Low</v>
      </c>
      <c r="J65" s="39">
        <f t="shared" si="0"/>
        <v>0.75</v>
      </c>
      <c r="K65" s="1">
        <v>50</v>
      </c>
      <c r="L65" s="1">
        <f t="shared" si="10"/>
        <v>60</v>
      </c>
      <c r="M65" t="str">
        <f t="shared" si="3"/>
        <v>Verizon4Low</v>
      </c>
      <c r="N65" s="1">
        <f t="shared" si="4"/>
        <v>50</v>
      </c>
      <c r="O65" s="1">
        <v>60</v>
      </c>
      <c r="P65" s="35">
        <v>4</v>
      </c>
    </row>
    <row r="66" spans="1:23" x14ac:dyDescent="0.25">
      <c r="A66" t="s">
        <v>4</v>
      </c>
      <c r="B66" t="s">
        <v>154</v>
      </c>
      <c r="C66" t="s">
        <v>195</v>
      </c>
      <c r="D66" s="35">
        <v>4</v>
      </c>
      <c r="E66" t="s">
        <v>184</v>
      </c>
      <c r="F66" t="s">
        <v>184</v>
      </c>
      <c r="G66">
        <v>4</v>
      </c>
      <c r="H66" t="s">
        <v>170</v>
      </c>
      <c r="I66" t="str">
        <f t="shared" si="2"/>
        <v>Low</v>
      </c>
      <c r="J66" s="39">
        <f t="shared" ref="J66:J129" si="11">IF(G66="Unlimited","Unlimited",G66/D66)</f>
        <v>1</v>
      </c>
      <c r="K66" s="1">
        <v>60</v>
      </c>
      <c r="L66" s="1">
        <f t="shared" si="10"/>
        <v>60</v>
      </c>
      <c r="M66" t="str">
        <f t="shared" si="3"/>
        <v>Verizon4Low</v>
      </c>
      <c r="N66" s="1">
        <f t="shared" si="4"/>
        <v>60</v>
      </c>
      <c r="O66" s="1">
        <v>60</v>
      </c>
      <c r="P66" s="35">
        <v>4</v>
      </c>
    </row>
    <row r="67" spans="1:23" x14ac:dyDescent="0.25">
      <c r="A67" t="s">
        <v>4</v>
      </c>
      <c r="B67" t="s">
        <v>154</v>
      </c>
      <c r="C67" t="s">
        <v>195</v>
      </c>
      <c r="D67" s="35">
        <v>4</v>
      </c>
      <c r="E67" t="s">
        <v>184</v>
      </c>
      <c r="F67" t="s">
        <v>184</v>
      </c>
      <c r="G67">
        <v>6</v>
      </c>
      <c r="H67" t="s">
        <v>171</v>
      </c>
      <c r="I67" t="str">
        <f t="shared" ref="I67:I130" si="12">IF(J67&lt;0.5,"None",IF(J67&lt;2,"Low",IF(J67&lt;5,"Medium",IF(J67&lt;11,"High",IF(J67="Unlimited","Super","Super")))))</f>
        <v>Low</v>
      </c>
      <c r="J67" s="39">
        <f t="shared" si="11"/>
        <v>1.5</v>
      </c>
      <c r="K67" s="1">
        <v>70</v>
      </c>
      <c r="L67" s="1">
        <f t="shared" ref="L67:L79" si="13">25*D66</f>
        <v>100</v>
      </c>
      <c r="M67" t="str">
        <f t="shared" ref="M67:M130" si="14">CONCATENATE(A67, D67, I67)</f>
        <v>Verizon4Low</v>
      </c>
      <c r="N67" s="1">
        <f t="shared" ref="N67:N130" si="15">K67</f>
        <v>70</v>
      </c>
      <c r="O67" s="1">
        <v>100</v>
      </c>
      <c r="P67" s="35">
        <v>4</v>
      </c>
    </row>
    <row r="68" spans="1:23" x14ac:dyDescent="0.25">
      <c r="A68" t="s">
        <v>4</v>
      </c>
      <c r="B68" t="s">
        <v>154</v>
      </c>
      <c r="C68" t="s">
        <v>195</v>
      </c>
      <c r="D68" s="35">
        <v>4</v>
      </c>
      <c r="E68" t="s">
        <v>184</v>
      </c>
      <c r="F68" t="s">
        <v>184</v>
      </c>
      <c r="G68">
        <v>8</v>
      </c>
      <c r="H68" t="s">
        <v>172</v>
      </c>
      <c r="I68" t="str">
        <f t="shared" si="12"/>
        <v>Medium</v>
      </c>
      <c r="J68" s="39">
        <f t="shared" si="11"/>
        <v>2</v>
      </c>
      <c r="K68" s="1">
        <v>85</v>
      </c>
      <c r="L68" s="1">
        <f t="shared" si="13"/>
        <v>100</v>
      </c>
      <c r="M68" t="str">
        <f t="shared" si="14"/>
        <v>Verizon4Medium</v>
      </c>
      <c r="N68" s="1">
        <f t="shared" si="15"/>
        <v>85</v>
      </c>
      <c r="O68" s="1">
        <v>100</v>
      </c>
      <c r="P68" s="35">
        <v>4</v>
      </c>
    </row>
    <row r="69" spans="1:23" x14ac:dyDescent="0.25">
      <c r="A69" t="s">
        <v>4</v>
      </c>
      <c r="B69" t="s">
        <v>154</v>
      </c>
      <c r="C69" t="s">
        <v>195</v>
      </c>
      <c r="D69" s="35">
        <v>4</v>
      </c>
      <c r="E69" t="s">
        <v>184</v>
      </c>
      <c r="F69" t="s">
        <v>184</v>
      </c>
      <c r="G69">
        <v>10</v>
      </c>
      <c r="H69" t="s">
        <v>173</v>
      </c>
      <c r="I69" t="str">
        <f t="shared" si="12"/>
        <v>Medium</v>
      </c>
      <c r="J69" s="39">
        <f t="shared" si="11"/>
        <v>2.5</v>
      </c>
      <c r="K69" s="1">
        <v>100</v>
      </c>
      <c r="L69" s="1">
        <f t="shared" si="13"/>
        <v>100</v>
      </c>
      <c r="M69" t="str">
        <f t="shared" si="14"/>
        <v>Verizon4Medium</v>
      </c>
      <c r="N69" s="1">
        <f t="shared" si="15"/>
        <v>100</v>
      </c>
      <c r="O69" s="1">
        <v>100</v>
      </c>
      <c r="P69" s="35">
        <v>4</v>
      </c>
    </row>
    <row r="70" spans="1:23" x14ac:dyDescent="0.25">
      <c r="A70" t="s">
        <v>4</v>
      </c>
      <c r="B70" t="s">
        <v>154</v>
      </c>
      <c r="C70" t="s">
        <v>195</v>
      </c>
      <c r="D70" s="35">
        <v>4</v>
      </c>
      <c r="E70" t="s">
        <v>184</v>
      </c>
      <c r="F70" t="s">
        <v>184</v>
      </c>
      <c r="G70">
        <v>12</v>
      </c>
      <c r="H70" t="s">
        <v>174</v>
      </c>
      <c r="I70" t="str">
        <f t="shared" si="12"/>
        <v>Medium</v>
      </c>
      <c r="J70" s="39">
        <f t="shared" si="11"/>
        <v>3</v>
      </c>
      <c r="K70" s="1">
        <v>110</v>
      </c>
      <c r="L70" s="1">
        <f t="shared" si="13"/>
        <v>100</v>
      </c>
      <c r="M70" t="str">
        <f t="shared" si="14"/>
        <v>Verizon4Medium</v>
      </c>
      <c r="N70" s="1">
        <f t="shared" si="15"/>
        <v>110</v>
      </c>
      <c r="O70" s="1">
        <v>100</v>
      </c>
      <c r="P70" s="35">
        <v>4</v>
      </c>
    </row>
    <row r="71" spans="1:23" x14ac:dyDescent="0.25">
      <c r="A71" t="s">
        <v>4</v>
      </c>
      <c r="B71" t="s">
        <v>154</v>
      </c>
      <c r="C71" t="s">
        <v>195</v>
      </c>
      <c r="D71" s="35">
        <v>4</v>
      </c>
      <c r="E71" t="s">
        <v>184</v>
      </c>
      <c r="F71" t="s">
        <v>184</v>
      </c>
      <c r="G71">
        <v>14</v>
      </c>
      <c r="H71" t="s">
        <v>175</v>
      </c>
      <c r="I71" t="str">
        <f t="shared" si="12"/>
        <v>Medium</v>
      </c>
      <c r="J71" s="39">
        <f t="shared" si="11"/>
        <v>3.5</v>
      </c>
      <c r="K71" s="1">
        <v>120</v>
      </c>
      <c r="L71" s="1">
        <f t="shared" si="13"/>
        <v>100</v>
      </c>
      <c r="M71" t="str">
        <f t="shared" si="14"/>
        <v>Verizon4Medium</v>
      </c>
      <c r="N71" s="1">
        <f t="shared" si="15"/>
        <v>120</v>
      </c>
      <c r="O71" s="1">
        <v>100</v>
      </c>
      <c r="P71" s="35">
        <v>4</v>
      </c>
    </row>
    <row r="72" spans="1:23" x14ac:dyDescent="0.25">
      <c r="A72" t="s">
        <v>4</v>
      </c>
      <c r="B72" t="s">
        <v>154</v>
      </c>
      <c r="C72" t="s">
        <v>195</v>
      </c>
      <c r="D72" s="35">
        <v>4</v>
      </c>
      <c r="E72" t="s">
        <v>184</v>
      </c>
      <c r="F72" t="s">
        <v>184</v>
      </c>
      <c r="G72">
        <v>16</v>
      </c>
      <c r="H72" t="s">
        <v>176</v>
      </c>
      <c r="I72" t="str">
        <f t="shared" si="12"/>
        <v>Medium</v>
      </c>
      <c r="J72" s="39">
        <f t="shared" si="11"/>
        <v>4</v>
      </c>
      <c r="K72" s="1">
        <v>130</v>
      </c>
      <c r="L72" s="1">
        <f t="shared" si="13"/>
        <v>100</v>
      </c>
      <c r="M72" t="str">
        <f t="shared" si="14"/>
        <v>Verizon4Medium</v>
      </c>
      <c r="N72" s="1">
        <f t="shared" si="15"/>
        <v>130</v>
      </c>
      <c r="O72" s="1">
        <v>100</v>
      </c>
      <c r="P72" s="35">
        <v>4</v>
      </c>
    </row>
    <row r="73" spans="1:23" x14ac:dyDescent="0.25">
      <c r="A73" t="s">
        <v>4</v>
      </c>
      <c r="B73" t="s">
        <v>154</v>
      </c>
      <c r="C73" t="s">
        <v>195</v>
      </c>
      <c r="D73" s="35">
        <v>4</v>
      </c>
      <c r="E73" t="s">
        <v>184</v>
      </c>
      <c r="F73" t="s">
        <v>184</v>
      </c>
      <c r="G73">
        <v>20</v>
      </c>
      <c r="H73" t="s">
        <v>177</v>
      </c>
      <c r="I73" t="str">
        <f t="shared" si="12"/>
        <v>High</v>
      </c>
      <c r="J73" s="39">
        <f t="shared" si="11"/>
        <v>5</v>
      </c>
      <c r="K73" s="1">
        <v>140</v>
      </c>
      <c r="L73" s="1">
        <f t="shared" si="13"/>
        <v>100</v>
      </c>
      <c r="M73" t="str">
        <f t="shared" si="14"/>
        <v>Verizon4High</v>
      </c>
      <c r="N73" s="1">
        <f t="shared" si="15"/>
        <v>140</v>
      </c>
      <c r="O73" s="1">
        <v>100</v>
      </c>
      <c r="P73" s="35">
        <v>4</v>
      </c>
    </row>
    <row r="74" spans="1:23" x14ac:dyDescent="0.25">
      <c r="A74" t="s">
        <v>4</v>
      </c>
      <c r="B74" t="s">
        <v>154</v>
      </c>
      <c r="C74" t="s">
        <v>195</v>
      </c>
      <c r="D74" s="35">
        <v>4</v>
      </c>
      <c r="E74" t="s">
        <v>184</v>
      </c>
      <c r="F74" t="s">
        <v>184</v>
      </c>
      <c r="G74">
        <v>30</v>
      </c>
      <c r="H74" t="s">
        <v>178</v>
      </c>
      <c r="I74" t="str">
        <f t="shared" si="12"/>
        <v>High</v>
      </c>
      <c r="J74" s="39">
        <f t="shared" si="11"/>
        <v>7.5</v>
      </c>
      <c r="K74" s="1">
        <v>225</v>
      </c>
      <c r="L74" s="1">
        <f t="shared" si="13"/>
        <v>100</v>
      </c>
      <c r="M74" t="str">
        <f t="shared" si="14"/>
        <v>Verizon4High</v>
      </c>
      <c r="N74" s="1">
        <f t="shared" si="15"/>
        <v>225</v>
      </c>
      <c r="O74" s="1">
        <v>100</v>
      </c>
      <c r="P74" s="35">
        <v>4</v>
      </c>
    </row>
    <row r="75" spans="1:23" x14ac:dyDescent="0.25">
      <c r="A75" t="s">
        <v>4</v>
      </c>
      <c r="B75" t="s">
        <v>154</v>
      </c>
      <c r="C75" t="s">
        <v>195</v>
      </c>
      <c r="D75" s="35">
        <v>4</v>
      </c>
      <c r="E75" t="s">
        <v>184</v>
      </c>
      <c r="F75" t="s">
        <v>184</v>
      </c>
      <c r="G75">
        <v>40</v>
      </c>
      <c r="H75" t="s">
        <v>179</v>
      </c>
      <c r="I75" t="str">
        <f t="shared" si="12"/>
        <v>High</v>
      </c>
      <c r="J75" s="39">
        <f t="shared" si="11"/>
        <v>10</v>
      </c>
      <c r="K75" s="1">
        <v>300</v>
      </c>
      <c r="L75" s="1">
        <f t="shared" si="13"/>
        <v>100</v>
      </c>
      <c r="M75" t="str">
        <f t="shared" si="14"/>
        <v>Verizon4High</v>
      </c>
      <c r="N75" s="1">
        <f t="shared" si="15"/>
        <v>300</v>
      </c>
      <c r="O75" s="1">
        <v>100</v>
      </c>
      <c r="P75" s="35">
        <v>4</v>
      </c>
    </row>
    <row r="76" spans="1:23" x14ac:dyDescent="0.25">
      <c r="A76" t="s">
        <v>4</v>
      </c>
      <c r="B76" t="s">
        <v>154</v>
      </c>
      <c r="C76" t="s">
        <v>195</v>
      </c>
      <c r="D76" s="35">
        <v>4</v>
      </c>
      <c r="E76" t="s">
        <v>184</v>
      </c>
      <c r="F76" t="s">
        <v>184</v>
      </c>
      <c r="G76">
        <v>50</v>
      </c>
      <c r="H76" t="s">
        <v>180</v>
      </c>
      <c r="I76" t="str">
        <f t="shared" si="12"/>
        <v>Super</v>
      </c>
      <c r="J76" s="39">
        <f t="shared" si="11"/>
        <v>12.5</v>
      </c>
      <c r="K76" s="1">
        <v>375</v>
      </c>
      <c r="L76" s="1">
        <f t="shared" si="13"/>
        <v>100</v>
      </c>
      <c r="M76" t="str">
        <f t="shared" si="14"/>
        <v>Verizon4Super</v>
      </c>
      <c r="N76" s="1">
        <f t="shared" si="15"/>
        <v>375</v>
      </c>
      <c r="O76" s="1">
        <v>100</v>
      </c>
      <c r="P76" s="35">
        <v>4</v>
      </c>
    </row>
    <row r="77" spans="1:23" x14ac:dyDescent="0.25">
      <c r="A77" t="s">
        <v>4</v>
      </c>
      <c r="B77" t="s">
        <v>154</v>
      </c>
      <c r="C77" t="s">
        <v>195</v>
      </c>
      <c r="D77" s="35">
        <v>4</v>
      </c>
      <c r="E77" t="s">
        <v>184</v>
      </c>
      <c r="F77" t="s">
        <v>184</v>
      </c>
      <c r="G77">
        <v>60</v>
      </c>
      <c r="H77" t="s">
        <v>181</v>
      </c>
      <c r="I77" t="str">
        <f t="shared" si="12"/>
        <v>Super</v>
      </c>
      <c r="J77" s="39">
        <f t="shared" si="11"/>
        <v>15</v>
      </c>
      <c r="K77" s="1">
        <v>450</v>
      </c>
      <c r="L77" s="1">
        <f t="shared" si="13"/>
        <v>100</v>
      </c>
      <c r="M77" t="str">
        <f t="shared" si="14"/>
        <v>Verizon4Super</v>
      </c>
      <c r="N77" s="1">
        <f t="shared" si="15"/>
        <v>450</v>
      </c>
      <c r="O77" s="1">
        <v>100</v>
      </c>
      <c r="P77" s="35">
        <v>4</v>
      </c>
    </row>
    <row r="78" spans="1:23" x14ac:dyDescent="0.25">
      <c r="A78" t="s">
        <v>4</v>
      </c>
      <c r="B78" t="s">
        <v>154</v>
      </c>
      <c r="C78" t="s">
        <v>195</v>
      </c>
      <c r="D78" s="35">
        <v>4</v>
      </c>
      <c r="E78" t="s">
        <v>184</v>
      </c>
      <c r="F78" t="s">
        <v>184</v>
      </c>
      <c r="G78">
        <v>80</v>
      </c>
      <c r="H78" t="s">
        <v>182</v>
      </c>
      <c r="I78" t="str">
        <f t="shared" si="12"/>
        <v>Super</v>
      </c>
      <c r="J78" s="39">
        <f t="shared" si="11"/>
        <v>20</v>
      </c>
      <c r="K78" s="1">
        <v>600</v>
      </c>
      <c r="L78" s="1">
        <f t="shared" si="13"/>
        <v>100</v>
      </c>
      <c r="M78" t="str">
        <f t="shared" si="14"/>
        <v>Verizon4Super</v>
      </c>
      <c r="N78" s="1">
        <f t="shared" si="15"/>
        <v>600</v>
      </c>
      <c r="O78" s="1">
        <v>100</v>
      </c>
      <c r="P78" s="35">
        <v>4</v>
      </c>
      <c r="W78" s="1"/>
    </row>
    <row r="79" spans="1:23" x14ac:dyDescent="0.25">
      <c r="A79" t="s">
        <v>4</v>
      </c>
      <c r="B79" t="s">
        <v>154</v>
      </c>
      <c r="C79" t="s">
        <v>195</v>
      </c>
      <c r="D79" s="35">
        <v>4</v>
      </c>
      <c r="E79" t="s">
        <v>184</v>
      </c>
      <c r="F79" t="s">
        <v>184</v>
      </c>
      <c r="G79">
        <v>100</v>
      </c>
      <c r="H79" t="s">
        <v>183</v>
      </c>
      <c r="I79" t="str">
        <f t="shared" si="12"/>
        <v>Super</v>
      </c>
      <c r="J79" s="39">
        <f t="shared" si="11"/>
        <v>25</v>
      </c>
      <c r="K79" s="1">
        <v>750</v>
      </c>
      <c r="L79" s="1">
        <f t="shared" si="13"/>
        <v>100</v>
      </c>
      <c r="M79" t="str">
        <f t="shared" si="14"/>
        <v>Verizon4Super</v>
      </c>
      <c r="N79" s="1">
        <f t="shared" si="15"/>
        <v>750</v>
      </c>
      <c r="O79" s="1">
        <v>100</v>
      </c>
      <c r="P79" s="35">
        <v>4</v>
      </c>
      <c r="W79" s="1"/>
    </row>
    <row r="80" spans="1:23" x14ac:dyDescent="0.25">
      <c r="A80" t="s">
        <v>4</v>
      </c>
      <c r="B80" t="s">
        <v>154</v>
      </c>
      <c r="C80" t="s">
        <v>195</v>
      </c>
      <c r="D80" s="35">
        <v>5</v>
      </c>
      <c r="E80">
        <v>700</v>
      </c>
      <c r="F80">
        <v>0</v>
      </c>
      <c r="G80">
        <v>0</v>
      </c>
      <c r="H80" t="s">
        <v>165</v>
      </c>
      <c r="I80" t="str">
        <f t="shared" si="12"/>
        <v>None</v>
      </c>
      <c r="J80" s="39">
        <f t="shared" si="11"/>
        <v>0</v>
      </c>
      <c r="K80" s="1">
        <v>5</v>
      </c>
      <c r="L80" s="1">
        <f t="shared" ref="L80:L85" si="16">15*D80</f>
        <v>75</v>
      </c>
      <c r="M80" t="str">
        <f t="shared" si="14"/>
        <v>Verizon5None</v>
      </c>
      <c r="N80" s="1">
        <f t="shared" si="15"/>
        <v>5</v>
      </c>
      <c r="O80" s="1">
        <v>75</v>
      </c>
      <c r="P80" s="35">
        <v>5</v>
      </c>
    </row>
    <row r="81" spans="1:16" x14ac:dyDescent="0.25">
      <c r="A81" t="s">
        <v>4</v>
      </c>
      <c r="B81" t="s">
        <v>154</v>
      </c>
      <c r="C81" t="s">
        <v>195</v>
      </c>
      <c r="D81" s="35">
        <v>5</v>
      </c>
      <c r="E81" t="s">
        <v>184</v>
      </c>
      <c r="F81" t="s">
        <v>184</v>
      </c>
      <c r="G81">
        <v>0.5</v>
      </c>
      <c r="H81" t="s">
        <v>166</v>
      </c>
      <c r="I81" t="str">
        <f t="shared" si="12"/>
        <v>None</v>
      </c>
      <c r="J81" s="39">
        <f t="shared" si="11"/>
        <v>0.1</v>
      </c>
      <c r="K81" s="1">
        <v>20</v>
      </c>
      <c r="L81" s="1">
        <f t="shared" si="16"/>
        <v>75</v>
      </c>
      <c r="M81" t="str">
        <f t="shared" si="14"/>
        <v>Verizon5None</v>
      </c>
      <c r="N81" s="1">
        <f t="shared" si="15"/>
        <v>20</v>
      </c>
      <c r="O81" s="1">
        <v>75</v>
      </c>
      <c r="P81" s="35">
        <v>5</v>
      </c>
    </row>
    <row r="82" spans="1:16" x14ac:dyDescent="0.25">
      <c r="A82" t="s">
        <v>4</v>
      </c>
      <c r="B82" t="s">
        <v>154</v>
      </c>
      <c r="C82" t="s">
        <v>195</v>
      </c>
      <c r="D82" s="35">
        <v>5</v>
      </c>
      <c r="E82" t="s">
        <v>184</v>
      </c>
      <c r="F82" t="s">
        <v>184</v>
      </c>
      <c r="G82">
        <v>1</v>
      </c>
      <c r="H82" t="s">
        <v>167</v>
      </c>
      <c r="I82" t="str">
        <f t="shared" si="12"/>
        <v>None</v>
      </c>
      <c r="J82" s="39">
        <f t="shared" si="11"/>
        <v>0.2</v>
      </c>
      <c r="K82" s="1">
        <v>30</v>
      </c>
      <c r="L82" s="1">
        <f t="shared" si="16"/>
        <v>75</v>
      </c>
      <c r="M82" t="str">
        <f t="shared" si="14"/>
        <v>Verizon5None</v>
      </c>
      <c r="N82" s="1">
        <f t="shared" si="15"/>
        <v>30</v>
      </c>
      <c r="O82" s="1">
        <v>75</v>
      </c>
      <c r="P82" s="35">
        <v>5</v>
      </c>
    </row>
    <row r="83" spans="1:16" x14ac:dyDescent="0.25">
      <c r="A83" t="s">
        <v>4</v>
      </c>
      <c r="B83" t="s">
        <v>154</v>
      </c>
      <c r="C83" t="s">
        <v>195</v>
      </c>
      <c r="D83" s="35">
        <v>5</v>
      </c>
      <c r="E83" t="s">
        <v>184</v>
      </c>
      <c r="F83" t="s">
        <v>184</v>
      </c>
      <c r="G83">
        <v>2</v>
      </c>
      <c r="H83" t="s">
        <v>168</v>
      </c>
      <c r="I83" t="str">
        <f t="shared" si="12"/>
        <v>None</v>
      </c>
      <c r="J83" s="39">
        <f t="shared" si="11"/>
        <v>0.4</v>
      </c>
      <c r="K83" s="1">
        <v>40</v>
      </c>
      <c r="L83" s="1">
        <f t="shared" si="16"/>
        <v>75</v>
      </c>
      <c r="M83" t="str">
        <f t="shared" si="14"/>
        <v>Verizon5None</v>
      </c>
      <c r="N83" s="1">
        <f t="shared" si="15"/>
        <v>40</v>
      </c>
      <c r="O83" s="1">
        <v>75</v>
      </c>
      <c r="P83" s="35">
        <v>5</v>
      </c>
    </row>
    <row r="84" spans="1:16" x14ac:dyDescent="0.25">
      <c r="A84" t="s">
        <v>4</v>
      </c>
      <c r="B84" t="s">
        <v>154</v>
      </c>
      <c r="C84" t="s">
        <v>195</v>
      </c>
      <c r="D84" s="35">
        <v>5</v>
      </c>
      <c r="E84" t="s">
        <v>184</v>
      </c>
      <c r="F84" t="s">
        <v>184</v>
      </c>
      <c r="G84">
        <v>3</v>
      </c>
      <c r="H84" t="s">
        <v>169</v>
      </c>
      <c r="I84" t="str">
        <f t="shared" si="12"/>
        <v>Low</v>
      </c>
      <c r="J84" s="39">
        <f t="shared" si="11"/>
        <v>0.6</v>
      </c>
      <c r="K84" s="1">
        <v>50</v>
      </c>
      <c r="L84" s="1">
        <f t="shared" si="16"/>
        <v>75</v>
      </c>
      <c r="M84" t="str">
        <f t="shared" si="14"/>
        <v>Verizon5Low</v>
      </c>
      <c r="N84" s="1">
        <f t="shared" si="15"/>
        <v>50</v>
      </c>
      <c r="O84" s="1">
        <v>75</v>
      </c>
      <c r="P84" s="35">
        <v>5</v>
      </c>
    </row>
    <row r="85" spans="1:16" x14ac:dyDescent="0.25">
      <c r="A85" t="s">
        <v>4</v>
      </c>
      <c r="B85" t="s">
        <v>154</v>
      </c>
      <c r="C85" t="s">
        <v>195</v>
      </c>
      <c r="D85" s="35">
        <v>5</v>
      </c>
      <c r="E85" t="s">
        <v>184</v>
      </c>
      <c r="F85" t="s">
        <v>184</v>
      </c>
      <c r="G85">
        <v>4</v>
      </c>
      <c r="H85" t="s">
        <v>170</v>
      </c>
      <c r="I85" t="str">
        <f t="shared" si="12"/>
        <v>Low</v>
      </c>
      <c r="J85" s="39">
        <f t="shared" si="11"/>
        <v>0.8</v>
      </c>
      <c r="K85" s="1">
        <v>60</v>
      </c>
      <c r="L85" s="1">
        <f t="shared" si="16"/>
        <v>75</v>
      </c>
      <c r="M85" t="str">
        <f t="shared" si="14"/>
        <v>Verizon5Low</v>
      </c>
      <c r="N85" s="1">
        <f t="shared" si="15"/>
        <v>60</v>
      </c>
      <c r="O85" s="1">
        <v>75</v>
      </c>
      <c r="P85" s="35">
        <v>5</v>
      </c>
    </row>
    <row r="86" spans="1:16" x14ac:dyDescent="0.25">
      <c r="A86" t="s">
        <v>4</v>
      </c>
      <c r="B86" t="s">
        <v>154</v>
      </c>
      <c r="C86" t="s">
        <v>195</v>
      </c>
      <c r="D86" s="35">
        <v>5</v>
      </c>
      <c r="E86" t="s">
        <v>184</v>
      </c>
      <c r="F86" t="s">
        <v>184</v>
      </c>
      <c r="G86">
        <v>6</v>
      </c>
      <c r="H86" t="s">
        <v>171</v>
      </c>
      <c r="I86" t="str">
        <f t="shared" si="12"/>
        <v>Low</v>
      </c>
      <c r="J86" s="39">
        <f t="shared" si="11"/>
        <v>1.2</v>
      </c>
      <c r="K86" s="1">
        <v>70</v>
      </c>
      <c r="L86" s="1">
        <f t="shared" ref="L86:L98" si="17">25*D85</f>
        <v>125</v>
      </c>
      <c r="M86" t="str">
        <f t="shared" si="14"/>
        <v>Verizon5Low</v>
      </c>
      <c r="N86" s="1">
        <f t="shared" si="15"/>
        <v>70</v>
      </c>
      <c r="O86" s="1">
        <v>125</v>
      </c>
      <c r="P86" s="35">
        <v>5</v>
      </c>
    </row>
    <row r="87" spans="1:16" x14ac:dyDescent="0.25">
      <c r="A87" t="s">
        <v>4</v>
      </c>
      <c r="B87" t="s">
        <v>154</v>
      </c>
      <c r="C87" t="s">
        <v>195</v>
      </c>
      <c r="D87" s="35">
        <v>5</v>
      </c>
      <c r="E87" t="s">
        <v>184</v>
      </c>
      <c r="F87" t="s">
        <v>184</v>
      </c>
      <c r="G87">
        <v>8</v>
      </c>
      <c r="H87" t="s">
        <v>172</v>
      </c>
      <c r="I87" t="str">
        <f t="shared" si="12"/>
        <v>Low</v>
      </c>
      <c r="J87" s="39">
        <f t="shared" si="11"/>
        <v>1.6</v>
      </c>
      <c r="K87" s="1">
        <v>85</v>
      </c>
      <c r="L87" s="1">
        <f t="shared" si="17"/>
        <v>125</v>
      </c>
      <c r="M87" t="str">
        <f t="shared" si="14"/>
        <v>Verizon5Low</v>
      </c>
      <c r="N87" s="1">
        <f t="shared" si="15"/>
        <v>85</v>
      </c>
      <c r="O87" s="1">
        <v>125</v>
      </c>
      <c r="P87" s="35">
        <v>5</v>
      </c>
    </row>
    <row r="88" spans="1:16" x14ac:dyDescent="0.25">
      <c r="A88" t="s">
        <v>4</v>
      </c>
      <c r="B88" t="s">
        <v>154</v>
      </c>
      <c r="C88" t="s">
        <v>195</v>
      </c>
      <c r="D88" s="35">
        <v>5</v>
      </c>
      <c r="E88" t="s">
        <v>184</v>
      </c>
      <c r="F88" t="s">
        <v>184</v>
      </c>
      <c r="G88">
        <v>10</v>
      </c>
      <c r="H88" t="s">
        <v>173</v>
      </c>
      <c r="I88" t="str">
        <f t="shared" si="12"/>
        <v>Medium</v>
      </c>
      <c r="J88" s="39">
        <f t="shared" si="11"/>
        <v>2</v>
      </c>
      <c r="K88" s="1">
        <v>100</v>
      </c>
      <c r="L88" s="1">
        <f t="shared" si="17"/>
        <v>125</v>
      </c>
      <c r="M88" t="str">
        <f t="shared" si="14"/>
        <v>Verizon5Medium</v>
      </c>
      <c r="N88" s="1">
        <f t="shared" si="15"/>
        <v>100</v>
      </c>
      <c r="O88" s="1">
        <v>125</v>
      </c>
      <c r="P88" s="35">
        <v>5</v>
      </c>
    </row>
    <row r="89" spans="1:16" x14ac:dyDescent="0.25">
      <c r="A89" t="s">
        <v>4</v>
      </c>
      <c r="B89" t="s">
        <v>154</v>
      </c>
      <c r="C89" t="s">
        <v>195</v>
      </c>
      <c r="D89" s="35">
        <v>5</v>
      </c>
      <c r="E89" t="s">
        <v>184</v>
      </c>
      <c r="F89" t="s">
        <v>184</v>
      </c>
      <c r="G89">
        <v>12</v>
      </c>
      <c r="H89" t="s">
        <v>174</v>
      </c>
      <c r="I89" t="str">
        <f t="shared" si="12"/>
        <v>Medium</v>
      </c>
      <c r="J89" s="39">
        <f t="shared" si="11"/>
        <v>2.4</v>
      </c>
      <c r="K89" s="1">
        <v>110</v>
      </c>
      <c r="L89" s="1">
        <f t="shared" si="17"/>
        <v>125</v>
      </c>
      <c r="M89" t="str">
        <f t="shared" si="14"/>
        <v>Verizon5Medium</v>
      </c>
      <c r="N89" s="1">
        <f t="shared" si="15"/>
        <v>110</v>
      </c>
      <c r="O89" s="1">
        <v>125</v>
      </c>
      <c r="P89" s="35">
        <v>5</v>
      </c>
    </row>
    <row r="90" spans="1:16" x14ac:dyDescent="0.25">
      <c r="A90" t="s">
        <v>4</v>
      </c>
      <c r="B90" t="s">
        <v>154</v>
      </c>
      <c r="C90" t="s">
        <v>195</v>
      </c>
      <c r="D90" s="35">
        <v>5</v>
      </c>
      <c r="E90" t="s">
        <v>184</v>
      </c>
      <c r="F90" t="s">
        <v>184</v>
      </c>
      <c r="G90">
        <v>14</v>
      </c>
      <c r="H90" t="s">
        <v>175</v>
      </c>
      <c r="I90" t="str">
        <f t="shared" si="12"/>
        <v>Medium</v>
      </c>
      <c r="J90" s="39">
        <f t="shared" si="11"/>
        <v>2.8</v>
      </c>
      <c r="K90" s="1">
        <v>120</v>
      </c>
      <c r="L90" s="1">
        <f t="shared" si="17"/>
        <v>125</v>
      </c>
      <c r="M90" t="str">
        <f t="shared" si="14"/>
        <v>Verizon5Medium</v>
      </c>
      <c r="N90" s="1">
        <f t="shared" si="15"/>
        <v>120</v>
      </c>
      <c r="O90" s="1">
        <v>125</v>
      </c>
      <c r="P90" s="35">
        <v>5</v>
      </c>
    </row>
    <row r="91" spans="1:16" x14ac:dyDescent="0.25">
      <c r="A91" t="s">
        <v>4</v>
      </c>
      <c r="B91" t="s">
        <v>154</v>
      </c>
      <c r="C91" t="s">
        <v>195</v>
      </c>
      <c r="D91" s="35">
        <v>5</v>
      </c>
      <c r="E91" t="s">
        <v>184</v>
      </c>
      <c r="F91" t="s">
        <v>184</v>
      </c>
      <c r="G91">
        <v>16</v>
      </c>
      <c r="H91" t="s">
        <v>176</v>
      </c>
      <c r="I91" t="str">
        <f t="shared" si="12"/>
        <v>Medium</v>
      </c>
      <c r="J91" s="39">
        <f t="shared" si="11"/>
        <v>3.2</v>
      </c>
      <c r="K91" s="1">
        <v>130</v>
      </c>
      <c r="L91" s="1">
        <f t="shared" si="17"/>
        <v>125</v>
      </c>
      <c r="M91" t="str">
        <f t="shared" si="14"/>
        <v>Verizon5Medium</v>
      </c>
      <c r="N91" s="1">
        <f t="shared" si="15"/>
        <v>130</v>
      </c>
      <c r="O91" s="1">
        <v>125</v>
      </c>
      <c r="P91" s="35">
        <v>5</v>
      </c>
    </row>
    <row r="92" spans="1:16" x14ac:dyDescent="0.25">
      <c r="A92" t="s">
        <v>4</v>
      </c>
      <c r="B92" t="s">
        <v>154</v>
      </c>
      <c r="C92" t="s">
        <v>195</v>
      </c>
      <c r="D92" s="35">
        <v>5</v>
      </c>
      <c r="E92" t="s">
        <v>184</v>
      </c>
      <c r="F92" t="s">
        <v>184</v>
      </c>
      <c r="G92">
        <v>20</v>
      </c>
      <c r="H92" t="s">
        <v>177</v>
      </c>
      <c r="I92" t="str">
        <f t="shared" si="12"/>
        <v>Medium</v>
      </c>
      <c r="J92" s="39">
        <f t="shared" si="11"/>
        <v>4</v>
      </c>
      <c r="K92" s="1">
        <v>140</v>
      </c>
      <c r="L92" s="1">
        <f t="shared" si="17"/>
        <v>125</v>
      </c>
      <c r="M92" t="str">
        <f t="shared" si="14"/>
        <v>Verizon5Medium</v>
      </c>
      <c r="N92" s="1">
        <f t="shared" si="15"/>
        <v>140</v>
      </c>
      <c r="O92" s="1">
        <v>125</v>
      </c>
      <c r="P92" s="35">
        <v>5</v>
      </c>
    </row>
    <row r="93" spans="1:16" x14ac:dyDescent="0.25">
      <c r="A93" t="s">
        <v>4</v>
      </c>
      <c r="B93" t="s">
        <v>154</v>
      </c>
      <c r="C93" t="s">
        <v>195</v>
      </c>
      <c r="D93" s="35">
        <v>5</v>
      </c>
      <c r="E93" t="s">
        <v>184</v>
      </c>
      <c r="F93" t="s">
        <v>184</v>
      </c>
      <c r="G93">
        <v>30</v>
      </c>
      <c r="H93" t="s">
        <v>178</v>
      </c>
      <c r="I93" t="str">
        <f t="shared" si="12"/>
        <v>High</v>
      </c>
      <c r="J93" s="39">
        <f t="shared" si="11"/>
        <v>6</v>
      </c>
      <c r="K93" s="1">
        <v>225</v>
      </c>
      <c r="L93" s="1">
        <f t="shared" si="17"/>
        <v>125</v>
      </c>
      <c r="M93" t="str">
        <f t="shared" si="14"/>
        <v>Verizon5High</v>
      </c>
      <c r="N93" s="1">
        <f t="shared" si="15"/>
        <v>225</v>
      </c>
      <c r="O93" s="1">
        <v>125</v>
      </c>
      <c r="P93" s="35">
        <v>5</v>
      </c>
    </row>
    <row r="94" spans="1:16" x14ac:dyDescent="0.25">
      <c r="A94" t="s">
        <v>4</v>
      </c>
      <c r="B94" t="s">
        <v>154</v>
      </c>
      <c r="C94" t="s">
        <v>195</v>
      </c>
      <c r="D94" s="35">
        <v>5</v>
      </c>
      <c r="E94" t="s">
        <v>184</v>
      </c>
      <c r="F94" t="s">
        <v>184</v>
      </c>
      <c r="G94">
        <v>40</v>
      </c>
      <c r="H94" t="s">
        <v>179</v>
      </c>
      <c r="I94" t="str">
        <f t="shared" si="12"/>
        <v>High</v>
      </c>
      <c r="J94" s="39">
        <f t="shared" si="11"/>
        <v>8</v>
      </c>
      <c r="K94" s="1">
        <v>300</v>
      </c>
      <c r="L94" s="1">
        <f t="shared" si="17"/>
        <v>125</v>
      </c>
      <c r="M94" t="str">
        <f t="shared" si="14"/>
        <v>Verizon5High</v>
      </c>
      <c r="N94" s="1">
        <f t="shared" si="15"/>
        <v>300</v>
      </c>
      <c r="O94" s="1">
        <v>125</v>
      </c>
      <c r="P94" s="35">
        <v>5</v>
      </c>
    </row>
    <row r="95" spans="1:16" x14ac:dyDescent="0.25">
      <c r="A95" t="s">
        <v>4</v>
      </c>
      <c r="B95" t="s">
        <v>154</v>
      </c>
      <c r="C95" t="s">
        <v>195</v>
      </c>
      <c r="D95" s="35">
        <v>5</v>
      </c>
      <c r="E95" t="s">
        <v>184</v>
      </c>
      <c r="F95" t="s">
        <v>184</v>
      </c>
      <c r="G95">
        <v>50</v>
      </c>
      <c r="H95" t="s">
        <v>180</v>
      </c>
      <c r="I95" t="str">
        <f t="shared" si="12"/>
        <v>High</v>
      </c>
      <c r="J95" s="39">
        <f t="shared" si="11"/>
        <v>10</v>
      </c>
      <c r="K95" s="1">
        <v>375</v>
      </c>
      <c r="L95" s="1">
        <f t="shared" si="17"/>
        <v>125</v>
      </c>
      <c r="M95" t="str">
        <f t="shared" si="14"/>
        <v>Verizon5High</v>
      </c>
      <c r="N95" s="1">
        <f t="shared" si="15"/>
        <v>375</v>
      </c>
      <c r="O95" s="1">
        <v>125</v>
      </c>
      <c r="P95" s="35">
        <v>5</v>
      </c>
    </row>
    <row r="96" spans="1:16" x14ac:dyDescent="0.25">
      <c r="A96" t="s">
        <v>4</v>
      </c>
      <c r="B96" t="s">
        <v>154</v>
      </c>
      <c r="C96" t="s">
        <v>195</v>
      </c>
      <c r="D96" s="35">
        <v>5</v>
      </c>
      <c r="E96" t="s">
        <v>184</v>
      </c>
      <c r="F96" t="s">
        <v>184</v>
      </c>
      <c r="G96">
        <v>60</v>
      </c>
      <c r="H96" t="s">
        <v>181</v>
      </c>
      <c r="I96" t="str">
        <f t="shared" si="12"/>
        <v>Super</v>
      </c>
      <c r="J96" s="39">
        <f t="shared" si="11"/>
        <v>12</v>
      </c>
      <c r="K96" s="1">
        <v>450</v>
      </c>
      <c r="L96" s="1">
        <f t="shared" si="17"/>
        <v>125</v>
      </c>
      <c r="M96" t="str">
        <f t="shared" si="14"/>
        <v>Verizon5Super</v>
      </c>
      <c r="N96" s="1">
        <f t="shared" si="15"/>
        <v>450</v>
      </c>
      <c r="O96" s="1">
        <v>125</v>
      </c>
      <c r="P96" s="35">
        <v>5</v>
      </c>
    </row>
    <row r="97" spans="1:23" x14ac:dyDescent="0.25">
      <c r="A97" t="s">
        <v>4</v>
      </c>
      <c r="B97" t="s">
        <v>154</v>
      </c>
      <c r="C97" t="s">
        <v>195</v>
      </c>
      <c r="D97" s="35">
        <v>5</v>
      </c>
      <c r="E97" t="s">
        <v>184</v>
      </c>
      <c r="F97" t="s">
        <v>184</v>
      </c>
      <c r="G97">
        <v>80</v>
      </c>
      <c r="H97" t="s">
        <v>182</v>
      </c>
      <c r="I97" t="str">
        <f t="shared" si="12"/>
        <v>Super</v>
      </c>
      <c r="J97" s="39">
        <f t="shared" si="11"/>
        <v>16</v>
      </c>
      <c r="K97" s="1">
        <v>600</v>
      </c>
      <c r="L97" s="1">
        <f t="shared" si="17"/>
        <v>125</v>
      </c>
      <c r="M97" t="str">
        <f t="shared" si="14"/>
        <v>Verizon5Super</v>
      </c>
      <c r="N97" s="1">
        <f t="shared" si="15"/>
        <v>600</v>
      </c>
      <c r="O97" s="1">
        <v>125</v>
      </c>
      <c r="P97" s="35">
        <v>5</v>
      </c>
      <c r="W97" s="1"/>
    </row>
    <row r="98" spans="1:23" x14ac:dyDescent="0.25">
      <c r="A98" t="s">
        <v>4</v>
      </c>
      <c r="B98" t="s">
        <v>154</v>
      </c>
      <c r="C98" t="s">
        <v>195</v>
      </c>
      <c r="D98" s="35">
        <v>5</v>
      </c>
      <c r="E98" t="s">
        <v>184</v>
      </c>
      <c r="F98" t="s">
        <v>184</v>
      </c>
      <c r="G98">
        <v>100</v>
      </c>
      <c r="H98" t="s">
        <v>183</v>
      </c>
      <c r="I98" t="str">
        <f t="shared" si="12"/>
        <v>Super</v>
      </c>
      <c r="J98" s="39">
        <f t="shared" si="11"/>
        <v>20</v>
      </c>
      <c r="K98" s="1">
        <v>750</v>
      </c>
      <c r="L98" s="1">
        <f t="shared" si="17"/>
        <v>125</v>
      </c>
      <c r="M98" t="str">
        <f t="shared" si="14"/>
        <v>Verizon5Super</v>
      </c>
      <c r="N98" s="1">
        <f t="shared" si="15"/>
        <v>750</v>
      </c>
      <c r="O98" s="1">
        <v>125</v>
      </c>
      <c r="P98" s="35">
        <v>5</v>
      </c>
      <c r="W98" s="1"/>
    </row>
    <row r="99" spans="1:23" x14ac:dyDescent="0.25">
      <c r="A99" t="s">
        <v>4</v>
      </c>
      <c r="B99" t="s">
        <v>154</v>
      </c>
      <c r="C99" t="s">
        <v>195</v>
      </c>
      <c r="D99" s="35">
        <v>6</v>
      </c>
      <c r="E99">
        <v>700</v>
      </c>
      <c r="F99">
        <v>0</v>
      </c>
      <c r="G99">
        <v>0</v>
      </c>
      <c r="H99" t="s">
        <v>165</v>
      </c>
      <c r="I99" t="str">
        <f t="shared" si="12"/>
        <v>None</v>
      </c>
      <c r="J99" s="39">
        <f t="shared" si="11"/>
        <v>0</v>
      </c>
      <c r="K99" s="1">
        <v>5</v>
      </c>
      <c r="L99" s="1">
        <f t="shared" ref="L99:L104" si="18">15*D99</f>
        <v>90</v>
      </c>
      <c r="M99" t="str">
        <f t="shared" si="14"/>
        <v>Verizon6None</v>
      </c>
      <c r="N99" s="1">
        <f t="shared" si="15"/>
        <v>5</v>
      </c>
      <c r="O99" s="1">
        <v>90</v>
      </c>
      <c r="P99" s="35">
        <v>6</v>
      </c>
    </row>
    <row r="100" spans="1:23" x14ac:dyDescent="0.25">
      <c r="A100" t="s">
        <v>4</v>
      </c>
      <c r="B100" t="s">
        <v>154</v>
      </c>
      <c r="C100" t="s">
        <v>195</v>
      </c>
      <c r="D100" s="35">
        <v>6</v>
      </c>
      <c r="E100" t="s">
        <v>184</v>
      </c>
      <c r="F100" t="s">
        <v>184</v>
      </c>
      <c r="G100">
        <v>0.5</v>
      </c>
      <c r="H100" t="s">
        <v>166</v>
      </c>
      <c r="I100" t="str">
        <f t="shared" si="12"/>
        <v>None</v>
      </c>
      <c r="J100" s="39">
        <f t="shared" si="11"/>
        <v>8.3333333333333329E-2</v>
      </c>
      <c r="K100" s="1">
        <v>20</v>
      </c>
      <c r="L100" s="1">
        <f t="shared" si="18"/>
        <v>90</v>
      </c>
      <c r="M100" t="str">
        <f t="shared" si="14"/>
        <v>Verizon6None</v>
      </c>
      <c r="N100" s="1">
        <f t="shared" si="15"/>
        <v>20</v>
      </c>
      <c r="O100" s="1">
        <v>90</v>
      </c>
      <c r="P100" s="35">
        <v>6</v>
      </c>
    </row>
    <row r="101" spans="1:23" x14ac:dyDescent="0.25">
      <c r="A101" t="s">
        <v>4</v>
      </c>
      <c r="B101" t="s">
        <v>154</v>
      </c>
      <c r="C101" t="s">
        <v>195</v>
      </c>
      <c r="D101" s="35">
        <v>6</v>
      </c>
      <c r="E101" t="s">
        <v>184</v>
      </c>
      <c r="F101" t="s">
        <v>184</v>
      </c>
      <c r="G101">
        <v>1</v>
      </c>
      <c r="H101" t="s">
        <v>167</v>
      </c>
      <c r="I101" t="str">
        <f t="shared" si="12"/>
        <v>None</v>
      </c>
      <c r="J101" s="39">
        <f t="shared" si="11"/>
        <v>0.16666666666666666</v>
      </c>
      <c r="K101" s="1">
        <v>30</v>
      </c>
      <c r="L101" s="1">
        <f t="shared" si="18"/>
        <v>90</v>
      </c>
      <c r="M101" t="str">
        <f t="shared" si="14"/>
        <v>Verizon6None</v>
      </c>
      <c r="N101" s="1">
        <f t="shared" si="15"/>
        <v>30</v>
      </c>
      <c r="O101" s="1">
        <v>90</v>
      </c>
      <c r="P101" s="35">
        <v>6</v>
      </c>
    </row>
    <row r="102" spans="1:23" x14ac:dyDescent="0.25">
      <c r="A102" t="s">
        <v>4</v>
      </c>
      <c r="B102" t="s">
        <v>154</v>
      </c>
      <c r="C102" t="s">
        <v>195</v>
      </c>
      <c r="D102" s="35">
        <v>6</v>
      </c>
      <c r="E102" t="s">
        <v>184</v>
      </c>
      <c r="F102" t="s">
        <v>184</v>
      </c>
      <c r="G102">
        <v>2</v>
      </c>
      <c r="H102" t="s">
        <v>168</v>
      </c>
      <c r="I102" t="str">
        <f t="shared" si="12"/>
        <v>None</v>
      </c>
      <c r="J102" s="39">
        <f t="shared" si="11"/>
        <v>0.33333333333333331</v>
      </c>
      <c r="K102" s="1">
        <v>40</v>
      </c>
      <c r="L102" s="1">
        <f t="shared" si="18"/>
        <v>90</v>
      </c>
      <c r="M102" t="str">
        <f t="shared" si="14"/>
        <v>Verizon6None</v>
      </c>
      <c r="N102" s="1">
        <f t="shared" si="15"/>
        <v>40</v>
      </c>
      <c r="O102" s="1">
        <v>90</v>
      </c>
      <c r="P102" s="35">
        <v>6</v>
      </c>
    </row>
    <row r="103" spans="1:23" x14ac:dyDescent="0.25">
      <c r="A103" t="s">
        <v>4</v>
      </c>
      <c r="B103" t="s">
        <v>154</v>
      </c>
      <c r="C103" t="s">
        <v>195</v>
      </c>
      <c r="D103" s="35">
        <v>6</v>
      </c>
      <c r="E103" t="s">
        <v>184</v>
      </c>
      <c r="F103" t="s">
        <v>184</v>
      </c>
      <c r="G103">
        <v>3</v>
      </c>
      <c r="H103" t="s">
        <v>169</v>
      </c>
      <c r="I103" t="str">
        <f t="shared" si="12"/>
        <v>Low</v>
      </c>
      <c r="J103" s="39">
        <f t="shared" si="11"/>
        <v>0.5</v>
      </c>
      <c r="K103" s="1">
        <v>50</v>
      </c>
      <c r="L103" s="1">
        <f t="shared" si="18"/>
        <v>90</v>
      </c>
      <c r="M103" t="str">
        <f t="shared" si="14"/>
        <v>Verizon6Low</v>
      </c>
      <c r="N103" s="1">
        <f t="shared" si="15"/>
        <v>50</v>
      </c>
      <c r="O103" s="1">
        <v>90</v>
      </c>
      <c r="P103" s="35">
        <v>6</v>
      </c>
    </row>
    <row r="104" spans="1:23" x14ac:dyDescent="0.25">
      <c r="A104" t="s">
        <v>4</v>
      </c>
      <c r="B104" t="s">
        <v>154</v>
      </c>
      <c r="C104" t="s">
        <v>195</v>
      </c>
      <c r="D104" s="35">
        <v>6</v>
      </c>
      <c r="E104" t="s">
        <v>184</v>
      </c>
      <c r="F104" t="s">
        <v>184</v>
      </c>
      <c r="G104">
        <v>4</v>
      </c>
      <c r="H104" t="s">
        <v>170</v>
      </c>
      <c r="I104" t="str">
        <f t="shared" si="12"/>
        <v>Low</v>
      </c>
      <c r="J104" s="39">
        <f t="shared" si="11"/>
        <v>0.66666666666666663</v>
      </c>
      <c r="K104" s="1">
        <v>60</v>
      </c>
      <c r="L104" s="1">
        <f t="shared" si="18"/>
        <v>90</v>
      </c>
      <c r="M104" t="str">
        <f t="shared" si="14"/>
        <v>Verizon6Low</v>
      </c>
      <c r="N104" s="1">
        <f t="shared" si="15"/>
        <v>60</v>
      </c>
      <c r="O104" s="1">
        <v>90</v>
      </c>
      <c r="P104" s="35">
        <v>6</v>
      </c>
    </row>
    <row r="105" spans="1:23" x14ac:dyDescent="0.25">
      <c r="A105" t="s">
        <v>4</v>
      </c>
      <c r="B105" t="s">
        <v>154</v>
      </c>
      <c r="C105" t="s">
        <v>195</v>
      </c>
      <c r="D105" s="35">
        <v>6</v>
      </c>
      <c r="E105" t="s">
        <v>184</v>
      </c>
      <c r="F105" t="s">
        <v>184</v>
      </c>
      <c r="G105">
        <v>6</v>
      </c>
      <c r="H105" t="s">
        <v>171</v>
      </c>
      <c r="I105" t="str">
        <f t="shared" si="12"/>
        <v>Low</v>
      </c>
      <c r="J105" s="39">
        <f t="shared" si="11"/>
        <v>1</v>
      </c>
      <c r="K105" s="1">
        <v>70</v>
      </c>
      <c r="L105" s="1">
        <f t="shared" ref="L105:L117" si="19">25*D104</f>
        <v>150</v>
      </c>
      <c r="M105" t="str">
        <f t="shared" si="14"/>
        <v>Verizon6Low</v>
      </c>
      <c r="N105" s="1">
        <f t="shared" si="15"/>
        <v>70</v>
      </c>
      <c r="O105" s="1">
        <v>150</v>
      </c>
      <c r="P105" s="35">
        <v>6</v>
      </c>
    </row>
    <row r="106" spans="1:23" x14ac:dyDescent="0.25">
      <c r="A106" t="s">
        <v>4</v>
      </c>
      <c r="B106" t="s">
        <v>154</v>
      </c>
      <c r="C106" t="s">
        <v>195</v>
      </c>
      <c r="D106" s="35">
        <v>6</v>
      </c>
      <c r="E106" t="s">
        <v>184</v>
      </c>
      <c r="F106" t="s">
        <v>184</v>
      </c>
      <c r="G106">
        <v>8</v>
      </c>
      <c r="H106" t="s">
        <v>172</v>
      </c>
      <c r="I106" t="str">
        <f t="shared" si="12"/>
        <v>Low</v>
      </c>
      <c r="J106" s="39">
        <f t="shared" si="11"/>
        <v>1.3333333333333333</v>
      </c>
      <c r="K106" s="1">
        <v>85</v>
      </c>
      <c r="L106" s="1">
        <f t="shared" si="19"/>
        <v>150</v>
      </c>
      <c r="M106" t="str">
        <f t="shared" si="14"/>
        <v>Verizon6Low</v>
      </c>
      <c r="N106" s="1">
        <f t="shared" si="15"/>
        <v>85</v>
      </c>
      <c r="O106" s="1">
        <v>150</v>
      </c>
      <c r="P106" s="35">
        <v>6</v>
      </c>
    </row>
    <row r="107" spans="1:23" x14ac:dyDescent="0.25">
      <c r="A107" t="s">
        <v>4</v>
      </c>
      <c r="B107" t="s">
        <v>154</v>
      </c>
      <c r="C107" t="s">
        <v>195</v>
      </c>
      <c r="D107" s="35">
        <v>6</v>
      </c>
      <c r="E107" t="s">
        <v>184</v>
      </c>
      <c r="F107" t="s">
        <v>184</v>
      </c>
      <c r="G107">
        <v>10</v>
      </c>
      <c r="H107" t="s">
        <v>173</v>
      </c>
      <c r="I107" t="str">
        <f t="shared" si="12"/>
        <v>Low</v>
      </c>
      <c r="J107" s="39">
        <f t="shared" si="11"/>
        <v>1.6666666666666667</v>
      </c>
      <c r="K107" s="1">
        <v>100</v>
      </c>
      <c r="L107" s="1">
        <f t="shared" si="19"/>
        <v>150</v>
      </c>
      <c r="M107" t="str">
        <f t="shared" si="14"/>
        <v>Verizon6Low</v>
      </c>
      <c r="N107" s="1">
        <f t="shared" si="15"/>
        <v>100</v>
      </c>
      <c r="O107" s="1">
        <v>150</v>
      </c>
      <c r="P107" s="35">
        <v>6</v>
      </c>
    </row>
    <row r="108" spans="1:23" x14ac:dyDescent="0.25">
      <c r="A108" t="s">
        <v>4</v>
      </c>
      <c r="B108" t="s">
        <v>154</v>
      </c>
      <c r="C108" t="s">
        <v>195</v>
      </c>
      <c r="D108" s="35">
        <v>6</v>
      </c>
      <c r="E108" t="s">
        <v>184</v>
      </c>
      <c r="F108" t="s">
        <v>184</v>
      </c>
      <c r="G108">
        <v>12</v>
      </c>
      <c r="H108" t="s">
        <v>174</v>
      </c>
      <c r="I108" t="str">
        <f t="shared" si="12"/>
        <v>Medium</v>
      </c>
      <c r="J108" s="39">
        <f t="shared" si="11"/>
        <v>2</v>
      </c>
      <c r="K108" s="1">
        <v>110</v>
      </c>
      <c r="L108" s="1">
        <f t="shared" si="19"/>
        <v>150</v>
      </c>
      <c r="M108" t="str">
        <f t="shared" si="14"/>
        <v>Verizon6Medium</v>
      </c>
      <c r="N108" s="1">
        <f t="shared" si="15"/>
        <v>110</v>
      </c>
      <c r="O108" s="1">
        <v>150</v>
      </c>
      <c r="P108" s="35">
        <v>6</v>
      </c>
    </row>
    <row r="109" spans="1:23" x14ac:dyDescent="0.25">
      <c r="A109" t="s">
        <v>4</v>
      </c>
      <c r="B109" t="s">
        <v>154</v>
      </c>
      <c r="C109" t="s">
        <v>195</v>
      </c>
      <c r="D109" s="35">
        <v>6</v>
      </c>
      <c r="E109" t="s">
        <v>184</v>
      </c>
      <c r="F109" t="s">
        <v>184</v>
      </c>
      <c r="G109">
        <v>14</v>
      </c>
      <c r="H109" t="s">
        <v>175</v>
      </c>
      <c r="I109" t="str">
        <f t="shared" si="12"/>
        <v>Medium</v>
      </c>
      <c r="J109" s="39">
        <f t="shared" si="11"/>
        <v>2.3333333333333335</v>
      </c>
      <c r="K109" s="1">
        <v>120</v>
      </c>
      <c r="L109" s="1">
        <f t="shared" si="19"/>
        <v>150</v>
      </c>
      <c r="M109" t="str">
        <f t="shared" si="14"/>
        <v>Verizon6Medium</v>
      </c>
      <c r="N109" s="1">
        <f t="shared" si="15"/>
        <v>120</v>
      </c>
      <c r="O109" s="1">
        <v>150</v>
      </c>
      <c r="P109" s="35">
        <v>6</v>
      </c>
    </row>
    <row r="110" spans="1:23" x14ac:dyDescent="0.25">
      <c r="A110" t="s">
        <v>4</v>
      </c>
      <c r="B110" t="s">
        <v>154</v>
      </c>
      <c r="C110" t="s">
        <v>195</v>
      </c>
      <c r="D110" s="35">
        <v>6</v>
      </c>
      <c r="E110" t="s">
        <v>184</v>
      </c>
      <c r="F110" t="s">
        <v>184</v>
      </c>
      <c r="G110">
        <v>16</v>
      </c>
      <c r="H110" t="s">
        <v>176</v>
      </c>
      <c r="I110" t="str">
        <f t="shared" si="12"/>
        <v>Medium</v>
      </c>
      <c r="J110" s="39">
        <f t="shared" si="11"/>
        <v>2.6666666666666665</v>
      </c>
      <c r="K110" s="1">
        <v>130</v>
      </c>
      <c r="L110" s="1">
        <f t="shared" si="19"/>
        <v>150</v>
      </c>
      <c r="M110" t="str">
        <f t="shared" si="14"/>
        <v>Verizon6Medium</v>
      </c>
      <c r="N110" s="1">
        <f t="shared" si="15"/>
        <v>130</v>
      </c>
      <c r="O110" s="1">
        <v>150</v>
      </c>
      <c r="P110" s="35">
        <v>6</v>
      </c>
    </row>
    <row r="111" spans="1:23" x14ac:dyDescent="0.25">
      <c r="A111" t="s">
        <v>4</v>
      </c>
      <c r="B111" t="s">
        <v>154</v>
      </c>
      <c r="C111" t="s">
        <v>195</v>
      </c>
      <c r="D111" s="35">
        <v>6</v>
      </c>
      <c r="E111" t="s">
        <v>184</v>
      </c>
      <c r="F111" t="s">
        <v>184</v>
      </c>
      <c r="G111">
        <v>20</v>
      </c>
      <c r="H111" t="s">
        <v>177</v>
      </c>
      <c r="I111" t="str">
        <f t="shared" si="12"/>
        <v>Medium</v>
      </c>
      <c r="J111" s="39">
        <f t="shared" si="11"/>
        <v>3.3333333333333335</v>
      </c>
      <c r="K111" s="1">
        <v>140</v>
      </c>
      <c r="L111" s="1">
        <f t="shared" si="19"/>
        <v>150</v>
      </c>
      <c r="M111" t="str">
        <f t="shared" si="14"/>
        <v>Verizon6Medium</v>
      </c>
      <c r="N111" s="1">
        <f t="shared" si="15"/>
        <v>140</v>
      </c>
      <c r="O111" s="1">
        <v>150</v>
      </c>
      <c r="P111" s="35">
        <v>6</v>
      </c>
    </row>
    <row r="112" spans="1:23" x14ac:dyDescent="0.25">
      <c r="A112" t="s">
        <v>4</v>
      </c>
      <c r="B112" t="s">
        <v>154</v>
      </c>
      <c r="C112" t="s">
        <v>195</v>
      </c>
      <c r="D112" s="35">
        <v>6</v>
      </c>
      <c r="E112" t="s">
        <v>184</v>
      </c>
      <c r="F112" t="s">
        <v>184</v>
      </c>
      <c r="G112">
        <v>30</v>
      </c>
      <c r="H112" t="s">
        <v>178</v>
      </c>
      <c r="I112" t="str">
        <f t="shared" si="12"/>
        <v>High</v>
      </c>
      <c r="J112" s="39">
        <f t="shared" si="11"/>
        <v>5</v>
      </c>
      <c r="K112" s="1">
        <v>225</v>
      </c>
      <c r="L112" s="1">
        <f t="shared" si="19"/>
        <v>150</v>
      </c>
      <c r="M112" t="str">
        <f t="shared" si="14"/>
        <v>Verizon6High</v>
      </c>
      <c r="N112" s="1">
        <f t="shared" si="15"/>
        <v>225</v>
      </c>
      <c r="O112" s="1">
        <v>150</v>
      </c>
      <c r="P112" s="35">
        <v>6</v>
      </c>
    </row>
    <row r="113" spans="1:23" x14ac:dyDescent="0.25">
      <c r="A113" t="s">
        <v>4</v>
      </c>
      <c r="B113" t="s">
        <v>154</v>
      </c>
      <c r="C113" t="s">
        <v>195</v>
      </c>
      <c r="D113" s="35">
        <v>6</v>
      </c>
      <c r="E113" t="s">
        <v>184</v>
      </c>
      <c r="F113" t="s">
        <v>184</v>
      </c>
      <c r="G113">
        <v>40</v>
      </c>
      <c r="H113" t="s">
        <v>179</v>
      </c>
      <c r="I113" t="str">
        <f t="shared" si="12"/>
        <v>High</v>
      </c>
      <c r="J113" s="39">
        <f t="shared" si="11"/>
        <v>6.666666666666667</v>
      </c>
      <c r="K113" s="1">
        <v>300</v>
      </c>
      <c r="L113" s="1">
        <f t="shared" si="19"/>
        <v>150</v>
      </c>
      <c r="M113" t="str">
        <f t="shared" si="14"/>
        <v>Verizon6High</v>
      </c>
      <c r="N113" s="1">
        <f t="shared" si="15"/>
        <v>300</v>
      </c>
      <c r="O113" s="1">
        <v>150</v>
      </c>
      <c r="P113" s="35">
        <v>6</v>
      </c>
    </row>
    <row r="114" spans="1:23" x14ac:dyDescent="0.25">
      <c r="A114" t="s">
        <v>4</v>
      </c>
      <c r="B114" t="s">
        <v>154</v>
      </c>
      <c r="C114" t="s">
        <v>195</v>
      </c>
      <c r="D114" s="35">
        <v>6</v>
      </c>
      <c r="E114" t="s">
        <v>184</v>
      </c>
      <c r="F114" t="s">
        <v>184</v>
      </c>
      <c r="G114">
        <v>50</v>
      </c>
      <c r="H114" t="s">
        <v>180</v>
      </c>
      <c r="I114" t="str">
        <f t="shared" si="12"/>
        <v>High</v>
      </c>
      <c r="J114" s="39">
        <f t="shared" si="11"/>
        <v>8.3333333333333339</v>
      </c>
      <c r="K114" s="1">
        <v>375</v>
      </c>
      <c r="L114" s="1">
        <f t="shared" si="19"/>
        <v>150</v>
      </c>
      <c r="M114" t="str">
        <f t="shared" si="14"/>
        <v>Verizon6High</v>
      </c>
      <c r="N114" s="1">
        <f t="shared" si="15"/>
        <v>375</v>
      </c>
      <c r="O114" s="1">
        <v>150</v>
      </c>
      <c r="P114" s="35">
        <v>6</v>
      </c>
    </row>
    <row r="115" spans="1:23" x14ac:dyDescent="0.25">
      <c r="A115" t="s">
        <v>4</v>
      </c>
      <c r="B115" t="s">
        <v>154</v>
      </c>
      <c r="C115" t="s">
        <v>195</v>
      </c>
      <c r="D115" s="35">
        <v>6</v>
      </c>
      <c r="E115" t="s">
        <v>184</v>
      </c>
      <c r="F115" t="s">
        <v>184</v>
      </c>
      <c r="G115">
        <v>60</v>
      </c>
      <c r="H115" t="s">
        <v>181</v>
      </c>
      <c r="I115" t="str">
        <f t="shared" si="12"/>
        <v>High</v>
      </c>
      <c r="J115" s="39">
        <f t="shared" si="11"/>
        <v>10</v>
      </c>
      <c r="K115" s="1">
        <v>450</v>
      </c>
      <c r="L115" s="1">
        <f t="shared" si="19"/>
        <v>150</v>
      </c>
      <c r="M115" t="str">
        <f t="shared" si="14"/>
        <v>Verizon6High</v>
      </c>
      <c r="N115" s="1">
        <f t="shared" si="15"/>
        <v>450</v>
      </c>
      <c r="O115" s="1">
        <v>150</v>
      </c>
      <c r="P115" s="35">
        <v>6</v>
      </c>
    </row>
    <row r="116" spans="1:23" x14ac:dyDescent="0.25">
      <c r="A116" t="s">
        <v>4</v>
      </c>
      <c r="B116" t="s">
        <v>154</v>
      </c>
      <c r="C116" t="s">
        <v>195</v>
      </c>
      <c r="D116" s="35">
        <v>6</v>
      </c>
      <c r="E116" t="s">
        <v>184</v>
      </c>
      <c r="F116" t="s">
        <v>184</v>
      </c>
      <c r="G116">
        <v>80</v>
      </c>
      <c r="H116" t="s">
        <v>182</v>
      </c>
      <c r="I116" t="str">
        <f t="shared" si="12"/>
        <v>Super</v>
      </c>
      <c r="J116" s="39">
        <f t="shared" si="11"/>
        <v>13.333333333333334</v>
      </c>
      <c r="K116" s="1">
        <v>600</v>
      </c>
      <c r="L116" s="1">
        <f t="shared" si="19"/>
        <v>150</v>
      </c>
      <c r="M116" t="str">
        <f t="shared" si="14"/>
        <v>Verizon6Super</v>
      </c>
      <c r="N116" s="1">
        <f t="shared" si="15"/>
        <v>600</v>
      </c>
      <c r="O116" s="1">
        <v>150</v>
      </c>
      <c r="P116" s="35">
        <v>6</v>
      </c>
      <c r="W116" s="1"/>
    </row>
    <row r="117" spans="1:23" x14ac:dyDescent="0.25">
      <c r="A117" t="s">
        <v>4</v>
      </c>
      <c r="B117" t="s">
        <v>154</v>
      </c>
      <c r="C117" t="s">
        <v>195</v>
      </c>
      <c r="D117" s="35">
        <v>6</v>
      </c>
      <c r="E117" t="s">
        <v>184</v>
      </c>
      <c r="F117" t="s">
        <v>184</v>
      </c>
      <c r="G117">
        <v>100</v>
      </c>
      <c r="H117" t="s">
        <v>183</v>
      </c>
      <c r="I117" t="str">
        <f t="shared" si="12"/>
        <v>Super</v>
      </c>
      <c r="J117" s="39">
        <f t="shared" si="11"/>
        <v>16.666666666666668</v>
      </c>
      <c r="K117" s="1">
        <v>750</v>
      </c>
      <c r="L117" s="1">
        <f t="shared" si="19"/>
        <v>150</v>
      </c>
      <c r="M117" t="str">
        <f t="shared" si="14"/>
        <v>Verizon6Super</v>
      </c>
      <c r="N117" s="1">
        <f t="shared" si="15"/>
        <v>750</v>
      </c>
      <c r="O117" s="1">
        <v>150</v>
      </c>
      <c r="P117" s="35">
        <v>6</v>
      </c>
      <c r="W117" s="1"/>
    </row>
    <row r="118" spans="1:23" x14ac:dyDescent="0.25">
      <c r="A118" t="s">
        <v>54</v>
      </c>
      <c r="B118" t="s">
        <v>154</v>
      </c>
      <c r="C118" t="s">
        <v>195</v>
      </c>
      <c r="D118" s="35">
        <v>1</v>
      </c>
      <c r="E118" t="s">
        <v>184</v>
      </c>
      <c r="F118" t="s">
        <v>184</v>
      </c>
      <c r="G118">
        <v>0.3</v>
      </c>
      <c r="H118" t="s">
        <v>250</v>
      </c>
      <c r="I118" t="str">
        <f t="shared" si="12"/>
        <v>None</v>
      </c>
      <c r="J118" s="39">
        <f t="shared" si="11"/>
        <v>0.3</v>
      </c>
      <c r="K118" s="1">
        <v>20</v>
      </c>
      <c r="L118" s="1">
        <f>15*D118</f>
        <v>15</v>
      </c>
      <c r="M118" t="str">
        <f t="shared" si="14"/>
        <v>ATT1None</v>
      </c>
      <c r="N118" s="1">
        <f t="shared" si="15"/>
        <v>20</v>
      </c>
      <c r="O118" s="1">
        <v>15</v>
      </c>
      <c r="P118" s="35">
        <v>1</v>
      </c>
    </row>
    <row r="119" spans="1:23" x14ac:dyDescent="0.25">
      <c r="A119" t="s">
        <v>54</v>
      </c>
      <c r="B119" t="s">
        <v>154</v>
      </c>
      <c r="C119" t="s">
        <v>195</v>
      </c>
      <c r="D119" s="35">
        <v>1</v>
      </c>
      <c r="E119" t="s">
        <v>184</v>
      </c>
      <c r="F119" t="s">
        <v>184</v>
      </c>
      <c r="G119">
        <v>1</v>
      </c>
      <c r="H119" t="s">
        <v>251</v>
      </c>
      <c r="I119" t="str">
        <f t="shared" si="12"/>
        <v>Low</v>
      </c>
      <c r="J119" s="39">
        <f t="shared" si="11"/>
        <v>1</v>
      </c>
      <c r="K119" s="1">
        <v>25</v>
      </c>
      <c r="L119" s="1">
        <f t="shared" ref="L119:L121" si="20">15*D119</f>
        <v>15</v>
      </c>
      <c r="M119" t="str">
        <f t="shared" si="14"/>
        <v>ATT1Low</v>
      </c>
      <c r="N119" s="1">
        <f t="shared" si="15"/>
        <v>25</v>
      </c>
      <c r="O119" s="1">
        <v>15</v>
      </c>
      <c r="P119" s="35">
        <v>1</v>
      </c>
    </row>
    <row r="120" spans="1:23" x14ac:dyDescent="0.25">
      <c r="A120" t="s">
        <v>54</v>
      </c>
      <c r="B120" t="s">
        <v>154</v>
      </c>
      <c r="C120" t="s">
        <v>195</v>
      </c>
      <c r="D120" s="35">
        <v>1</v>
      </c>
      <c r="E120" t="s">
        <v>184</v>
      </c>
      <c r="F120" t="s">
        <v>184</v>
      </c>
      <c r="G120">
        <v>3</v>
      </c>
      <c r="H120" t="s">
        <v>252</v>
      </c>
      <c r="I120" t="str">
        <f t="shared" si="12"/>
        <v>Medium</v>
      </c>
      <c r="J120" s="39">
        <f t="shared" si="11"/>
        <v>3</v>
      </c>
      <c r="K120" s="1">
        <v>40</v>
      </c>
      <c r="L120" s="1">
        <f t="shared" si="20"/>
        <v>15</v>
      </c>
      <c r="M120" t="str">
        <f t="shared" si="14"/>
        <v>ATT1Medium</v>
      </c>
      <c r="N120" s="1">
        <f t="shared" si="15"/>
        <v>40</v>
      </c>
      <c r="O120" s="1">
        <v>15</v>
      </c>
      <c r="P120" s="35">
        <v>1</v>
      </c>
    </row>
    <row r="121" spans="1:23" x14ac:dyDescent="0.25">
      <c r="A121" t="s">
        <v>54</v>
      </c>
      <c r="B121" t="s">
        <v>154</v>
      </c>
      <c r="C121" t="s">
        <v>195</v>
      </c>
      <c r="D121" s="35">
        <v>1</v>
      </c>
      <c r="E121" t="s">
        <v>184</v>
      </c>
      <c r="F121" t="s">
        <v>184</v>
      </c>
      <c r="G121">
        <v>6</v>
      </c>
      <c r="H121" t="s">
        <v>253</v>
      </c>
      <c r="I121" t="str">
        <f t="shared" si="12"/>
        <v>High</v>
      </c>
      <c r="J121" s="39">
        <f t="shared" si="11"/>
        <v>6</v>
      </c>
      <c r="K121" s="1">
        <v>70</v>
      </c>
      <c r="L121" s="1">
        <f t="shared" si="20"/>
        <v>15</v>
      </c>
      <c r="M121" t="str">
        <f t="shared" si="14"/>
        <v>ATT1High</v>
      </c>
      <c r="N121" s="1">
        <f t="shared" si="15"/>
        <v>70</v>
      </c>
      <c r="O121" s="1">
        <v>15</v>
      </c>
      <c r="P121" s="35">
        <v>1</v>
      </c>
    </row>
    <row r="122" spans="1:23" x14ac:dyDescent="0.25">
      <c r="A122" t="s">
        <v>54</v>
      </c>
      <c r="B122" t="s">
        <v>154</v>
      </c>
      <c r="C122" t="s">
        <v>195</v>
      </c>
      <c r="D122" s="35">
        <v>1</v>
      </c>
      <c r="E122" t="s">
        <v>184</v>
      </c>
      <c r="F122" t="s">
        <v>184</v>
      </c>
      <c r="G122">
        <v>10</v>
      </c>
      <c r="H122" t="s">
        <v>254</v>
      </c>
      <c r="I122" t="str">
        <f t="shared" si="12"/>
        <v>High</v>
      </c>
      <c r="J122" s="39">
        <f t="shared" si="11"/>
        <v>10</v>
      </c>
      <c r="K122" s="1">
        <v>100</v>
      </c>
      <c r="L122" s="1">
        <f>25*D122</f>
        <v>25</v>
      </c>
      <c r="M122" t="str">
        <f t="shared" si="14"/>
        <v>ATT1High</v>
      </c>
      <c r="N122" s="1">
        <f t="shared" si="15"/>
        <v>100</v>
      </c>
      <c r="O122" s="1">
        <v>25</v>
      </c>
      <c r="P122" s="35">
        <v>1</v>
      </c>
    </row>
    <row r="123" spans="1:23" x14ac:dyDescent="0.25">
      <c r="A123" t="s">
        <v>54</v>
      </c>
      <c r="B123" t="s">
        <v>154</v>
      </c>
      <c r="C123" t="s">
        <v>195</v>
      </c>
      <c r="D123" s="35">
        <v>1</v>
      </c>
      <c r="E123" t="s">
        <v>184</v>
      </c>
      <c r="F123" t="s">
        <v>184</v>
      </c>
      <c r="G123">
        <v>15</v>
      </c>
      <c r="H123" t="s">
        <v>255</v>
      </c>
      <c r="I123" t="str">
        <f t="shared" si="12"/>
        <v>Super</v>
      </c>
      <c r="J123" s="39">
        <f t="shared" si="11"/>
        <v>15</v>
      </c>
      <c r="K123" s="1">
        <v>130</v>
      </c>
      <c r="L123" s="1">
        <f t="shared" ref="L123:L127" si="21">25*D123</f>
        <v>25</v>
      </c>
      <c r="M123" t="str">
        <f t="shared" si="14"/>
        <v>ATT1Super</v>
      </c>
      <c r="N123" s="1">
        <f t="shared" si="15"/>
        <v>130</v>
      </c>
      <c r="O123" s="1">
        <v>25</v>
      </c>
      <c r="P123" s="35">
        <v>1</v>
      </c>
    </row>
    <row r="124" spans="1:23" x14ac:dyDescent="0.25">
      <c r="A124" t="s">
        <v>54</v>
      </c>
      <c r="B124" t="s">
        <v>154</v>
      </c>
      <c r="C124" t="s">
        <v>195</v>
      </c>
      <c r="D124" s="35">
        <v>1</v>
      </c>
      <c r="E124" t="s">
        <v>184</v>
      </c>
      <c r="F124" t="s">
        <v>184</v>
      </c>
      <c r="G124">
        <v>20</v>
      </c>
      <c r="H124" t="s">
        <v>256</v>
      </c>
      <c r="I124" t="str">
        <f t="shared" si="12"/>
        <v>Super</v>
      </c>
      <c r="J124" s="39">
        <f t="shared" si="11"/>
        <v>20</v>
      </c>
      <c r="K124" s="1">
        <v>150</v>
      </c>
      <c r="L124" s="1">
        <f t="shared" si="21"/>
        <v>25</v>
      </c>
      <c r="M124" t="str">
        <f t="shared" si="14"/>
        <v>ATT1Super</v>
      </c>
      <c r="N124" s="1">
        <f t="shared" si="15"/>
        <v>150</v>
      </c>
      <c r="O124" s="1">
        <v>25</v>
      </c>
      <c r="P124" s="35">
        <v>1</v>
      </c>
    </row>
    <row r="125" spans="1:23" x14ac:dyDescent="0.25">
      <c r="A125" t="s">
        <v>54</v>
      </c>
      <c r="B125" t="s">
        <v>154</v>
      </c>
      <c r="C125" t="s">
        <v>195</v>
      </c>
      <c r="D125" s="35">
        <v>1</v>
      </c>
      <c r="E125" t="s">
        <v>184</v>
      </c>
      <c r="F125" t="s">
        <v>184</v>
      </c>
      <c r="G125">
        <v>30</v>
      </c>
      <c r="H125" t="s">
        <v>257</v>
      </c>
      <c r="I125" t="str">
        <f t="shared" si="12"/>
        <v>Super</v>
      </c>
      <c r="J125" s="39">
        <f t="shared" si="11"/>
        <v>30</v>
      </c>
      <c r="K125" s="1">
        <v>225</v>
      </c>
      <c r="L125" s="1">
        <f t="shared" si="21"/>
        <v>25</v>
      </c>
      <c r="M125" t="str">
        <f t="shared" si="14"/>
        <v>ATT1Super</v>
      </c>
      <c r="N125" s="1">
        <f t="shared" si="15"/>
        <v>225</v>
      </c>
      <c r="O125" s="1">
        <v>25</v>
      </c>
      <c r="P125" s="35">
        <v>1</v>
      </c>
    </row>
    <row r="126" spans="1:23" x14ac:dyDescent="0.25">
      <c r="A126" t="s">
        <v>54</v>
      </c>
      <c r="B126" t="s">
        <v>154</v>
      </c>
      <c r="C126" t="s">
        <v>195</v>
      </c>
      <c r="D126" s="35">
        <v>1</v>
      </c>
      <c r="E126" t="s">
        <v>184</v>
      </c>
      <c r="F126" t="s">
        <v>184</v>
      </c>
      <c r="G126">
        <v>40</v>
      </c>
      <c r="H126" t="s">
        <v>258</v>
      </c>
      <c r="I126" t="str">
        <f t="shared" si="12"/>
        <v>Super</v>
      </c>
      <c r="J126" s="39">
        <f t="shared" si="11"/>
        <v>40</v>
      </c>
      <c r="K126" s="1">
        <v>300</v>
      </c>
      <c r="L126" s="1">
        <f t="shared" si="21"/>
        <v>25</v>
      </c>
      <c r="M126" t="str">
        <f t="shared" si="14"/>
        <v>ATT1Super</v>
      </c>
      <c r="N126" s="1">
        <f t="shared" si="15"/>
        <v>300</v>
      </c>
      <c r="O126" s="1">
        <v>25</v>
      </c>
      <c r="P126" s="35">
        <v>1</v>
      </c>
    </row>
    <row r="127" spans="1:23" x14ac:dyDescent="0.25">
      <c r="A127" t="s">
        <v>54</v>
      </c>
      <c r="B127" t="s">
        <v>154</v>
      </c>
      <c r="C127" t="s">
        <v>195</v>
      </c>
      <c r="D127" s="35">
        <v>1</v>
      </c>
      <c r="E127" t="s">
        <v>184</v>
      </c>
      <c r="F127" t="s">
        <v>184</v>
      </c>
      <c r="G127">
        <v>50</v>
      </c>
      <c r="H127" t="s">
        <v>259</v>
      </c>
      <c r="I127" t="str">
        <f t="shared" si="12"/>
        <v>Super</v>
      </c>
      <c r="J127" s="39">
        <f t="shared" si="11"/>
        <v>50</v>
      </c>
      <c r="K127" s="1">
        <v>376</v>
      </c>
      <c r="L127" s="1">
        <f t="shared" si="21"/>
        <v>25</v>
      </c>
      <c r="M127" t="str">
        <f t="shared" si="14"/>
        <v>ATT1Super</v>
      </c>
      <c r="N127" s="1">
        <f t="shared" si="15"/>
        <v>376</v>
      </c>
      <c r="O127" s="1">
        <v>25</v>
      </c>
      <c r="P127" s="35">
        <v>1</v>
      </c>
    </row>
    <row r="128" spans="1:23" x14ac:dyDescent="0.25">
      <c r="A128" t="s">
        <v>54</v>
      </c>
      <c r="B128" t="s">
        <v>154</v>
      </c>
      <c r="C128" t="s">
        <v>195</v>
      </c>
      <c r="D128" s="35">
        <v>2</v>
      </c>
      <c r="E128" t="s">
        <v>184</v>
      </c>
      <c r="F128" t="s">
        <v>184</v>
      </c>
      <c r="G128">
        <v>0.3</v>
      </c>
      <c r="H128" t="s">
        <v>250</v>
      </c>
      <c r="I128" t="str">
        <f t="shared" si="12"/>
        <v>None</v>
      </c>
      <c r="J128" s="39">
        <f t="shared" si="11"/>
        <v>0.15</v>
      </c>
      <c r="K128" s="1">
        <v>20</v>
      </c>
      <c r="L128" s="1">
        <f>15*D128</f>
        <v>30</v>
      </c>
      <c r="M128" t="str">
        <f t="shared" si="14"/>
        <v>ATT2None</v>
      </c>
      <c r="N128" s="1">
        <f t="shared" si="15"/>
        <v>20</v>
      </c>
      <c r="O128" s="1">
        <v>30</v>
      </c>
      <c r="P128" s="35">
        <v>2</v>
      </c>
    </row>
    <row r="129" spans="1:16" x14ac:dyDescent="0.25">
      <c r="A129" t="s">
        <v>54</v>
      </c>
      <c r="B129" t="s">
        <v>154</v>
      </c>
      <c r="C129" t="s">
        <v>195</v>
      </c>
      <c r="D129" s="35">
        <v>2</v>
      </c>
      <c r="E129" t="s">
        <v>184</v>
      </c>
      <c r="F129" t="s">
        <v>184</v>
      </c>
      <c r="G129">
        <v>1</v>
      </c>
      <c r="H129" t="s">
        <v>251</v>
      </c>
      <c r="I129" t="str">
        <f t="shared" si="12"/>
        <v>Low</v>
      </c>
      <c r="J129" s="39">
        <f t="shared" si="11"/>
        <v>0.5</v>
      </c>
      <c r="K129" s="1">
        <v>25</v>
      </c>
      <c r="L129" s="1">
        <f t="shared" ref="L129:L131" si="22">15*D129</f>
        <v>30</v>
      </c>
      <c r="M129" t="str">
        <f t="shared" si="14"/>
        <v>ATT2Low</v>
      </c>
      <c r="N129" s="1">
        <f t="shared" si="15"/>
        <v>25</v>
      </c>
      <c r="O129" s="1">
        <v>30</v>
      </c>
      <c r="P129" s="35">
        <v>2</v>
      </c>
    </row>
    <row r="130" spans="1:16" x14ac:dyDescent="0.25">
      <c r="A130" t="s">
        <v>54</v>
      </c>
      <c r="B130" t="s">
        <v>154</v>
      </c>
      <c r="C130" t="s">
        <v>195</v>
      </c>
      <c r="D130" s="35">
        <v>2</v>
      </c>
      <c r="E130" t="s">
        <v>184</v>
      </c>
      <c r="F130" t="s">
        <v>184</v>
      </c>
      <c r="G130">
        <v>3</v>
      </c>
      <c r="H130" t="s">
        <v>252</v>
      </c>
      <c r="I130" t="str">
        <f t="shared" si="12"/>
        <v>Low</v>
      </c>
      <c r="J130" s="39">
        <f t="shared" ref="J130:J193" si="23">IF(G130="Unlimited","Unlimited",G130/D130)</f>
        <v>1.5</v>
      </c>
      <c r="K130" s="1">
        <v>40</v>
      </c>
      <c r="L130" s="1">
        <f t="shared" si="22"/>
        <v>30</v>
      </c>
      <c r="M130" t="str">
        <f t="shared" si="14"/>
        <v>ATT2Low</v>
      </c>
      <c r="N130" s="1">
        <f t="shared" si="15"/>
        <v>40</v>
      </c>
      <c r="O130" s="1">
        <v>30</v>
      </c>
      <c r="P130" s="35">
        <v>2</v>
      </c>
    </row>
    <row r="131" spans="1:16" x14ac:dyDescent="0.25">
      <c r="A131" t="s">
        <v>54</v>
      </c>
      <c r="B131" t="s">
        <v>154</v>
      </c>
      <c r="C131" t="s">
        <v>195</v>
      </c>
      <c r="D131" s="35">
        <v>2</v>
      </c>
      <c r="E131" t="s">
        <v>184</v>
      </c>
      <c r="F131" t="s">
        <v>184</v>
      </c>
      <c r="G131">
        <v>6</v>
      </c>
      <c r="H131" t="s">
        <v>253</v>
      </c>
      <c r="I131" t="str">
        <f t="shared" ref="I131:I194" si="24">IF(J131&lt;0.5,"None",IF(J131&lt;2,"Low",IF(J131&lt;5,"Medium",IF(J131&lt;11,"High",IF(J131="Unlimited","Super","Super")))))</f>
        <v>Medium</v>
      </c>
      <c r="J131" s="39">
        <f t="shared" si="23"/>
        <v>3</v>
      </c>
      <c r="K131" s="1">
        <v>70</v>
      </c>
      <c r="L131" s="1">
        <f t="shared" si="22"/>
        <v>30</v>
      </c>
      <c r="M131" t="str">
        <f t="shared" ref="M131:M194" si="25">CONCATENATE(A131, D131, I131)</f>
        <v>ATT2Medium</v>
      </c>
      <c r="N131" s="1">
        <f t="shared" ref="N131:N194" si="26">K131</f>
        <v>70</v>
      </c>
      <c r="O131" s="1">
        <v>30</v>
      </c>
      <c r="P131" s="35">
        <v>2</v>
      </c>
    </row>
    <row r="132" spans="1:16" x14ac:dyDescent="0.25">
      <c r="A132" t="s">
        <v>54</v>
      </c>
      <c r="B132" t="s">
        <v>154</v>
      </c>
      <c r="C132" t="s">
        <v>195</v>
      </c>
      <c r="D132" s="35">
        <v>2</v>
      </c>
      <c r="E132" t="s">
        <v>184</v>
      </c>
      <c r="F132" t="s">
        <v>184</v>
      </c>
      <c r="G132">
        <v>10</v>
      </c>
      <c r="H132" t="s">
        <v>254</v>
      </c>
      <c r="I132" t="str">
        <f t="shared" si="24"/>
        <v>High</v>
      </c>
      <c r="J132" s="39">
        <f t="shared" si="23"/>
        <v>5</v>
      </c>
      <c r="K132" s="1">
        <v>100</v>
      </c>
      <c r="L132" s="1">
        <f>25*D132</f>
        <v>50</v>
      </c>
      <c r="M132" t="str">
        <f t="shared" si="25"/>
        <v>ATT2High</v>
      </c>
      <c r="N132" s="1">
        <f t="shared" si="26"/>
        <v>100</v>
      </c>
      <c r="O132" s="1">
        <v>50</v>
      </c>
      <c r="P132" s="35">
        <v>2</v>
      </c>
    </row>
    <row r="133" spans="1:16" x14ac:dyDescent="0.25">
      <c r="A133" t="s">
        <v>54</v>
      </c>
      <c r="B133" t="s">
        <v>154</v>
      </c>
      <c r="C133" t="s">
        <v>195</v>
      </c>
      <c r="D133" s="35">
        <v>2</v>
      </c>
      <c r="E133" t="s">
        <v>184</v>
      </c>
      <c r="F133" t="s">
        <v>184</v>
      </c>
      <c r="G133">
        <v>15</v>
      </c>
      <c r="H133" t="s">
        <v>255</v>
      </c>
      <c r="I133" t="str">
        <f t="shared" si="24"/>
        <v>High</v>
      </c>
      <c r="J133" s="39">
        <f t="shared" si="23"/>
        <v>7.5</v>
      </c>
      <c r="K133" s="1">
        <v>130</v>
      </c>
      <c r="L133" s="1">
        <f t="shared" ref="L133:L137" si="27">25*D133</f>
        <v>50</v>
      </c>
      <c r="M133" t="str">
        <f t="shared" si="25"/>
        <v>ATT2High</v>
      </c>
      <c r="N133" s="1">
        <f t="shared" si="26"/>
        <v>130</v>
      </c>
      <c r="O133" s="1">
        <v>50</v>
      </c>
      <c r="P133" s="35">
        <v>2</v>
      </c>
    </row>
    <row r="134" spans="1:16" x14ac:dyDescent="0.25">
      <c r="A134" t="s">
        <v>54</v>
      </c>
      <c r="B134" t="s">
        <v>154</v>
      </c>
      <c r="C134" t="s">
        <v>195</v>
      </c>
      <c r="D134" s="35">
        <v>2</v>
      </c>
      <c r="E134" t="s">
        <v>184</v>
      </c>
      <c r="F134" t="s">
        <v>184</v>
      </c>
      <c r="G134">
        <v>20</v>
      </c>
      <c r="H134" t="s">
        <v>256</v>
      </c>
      <c r="I134" t="str">
        <f t="shared" si="24"/>
        <v>High</v>
      </c>
      <c r="J134" s="39">
        <f t="shared" si="23"/>
        <v>10</v>
      </c>
      <c r="K134" s="1">
        <v>150</v>
      </c>
      <c r="L134" s="1">
        <f t="shared" si="27"/>
        <v>50</v>
      </c>
      <c r="M134" t="str">
        <f t="shared" si="25"/>
        <v>ATT2High</v>
      </c>
      <c r="N134" s="1">
        <f t="shared" si="26"/>
        <v>150</v>
      </c>
      <c r="O134" s="1">
        <v>50</v>
      </c>
      <c r="P134" s="35">
        <v>2</v>
      </c>
    </row>
    <row r="135" spans="1:16" x14ac:dyDescent="0.25">
      <c r="A135" t="s">
        <v>54</v>
      </c>
      <c r="B135" t="s">
        <v>154</v>
      </c>
      <c r="C135" t="s">
        <v>195</v>
      </c>
      <c r="D135" s="35">
        <v>2</v>
      </c>
      <c r="E135" t="s">
        <v>184</v>
      </c>
      <c r="F135" t="s">
        <v>184</v>
      </c>
      <c r="G135">
        <v>30</v>
      </c>
      <c r="H135" t="s">
        <v>257</v>
      </c>
      <c r="I135" t="str">
        <f t="shared" si="24"/>
        <v>Super</v>
      </c>
      <c r="J135" s="39">
        <f t="shared" si="23"/>
        <v>15</v>
      </c>
      <c r="K135" s="1">
        <v>225</v>
      </c>
      <c r="L135" s="1">
        <f t="shared" si="27"/>
        <v>50</v>
      </c>
      <c r="M135" t="str">
        <f t="shared" si="25"/>
        <v>ATT2Super</v>
      </c>
      <c r="N135" s="1">
        <f t="shared" si="26"/>
        <v>225</v>
      </c>
      <c r="O135" s="1">
        <v>50</v>
      </c>
      <c r="P135" s="35">
        <v>2</v>
      </c>
    </row>
    <row r="136" spans="1:16" x14ac:dyDescent="0.25">
      <c r="A136" t="s">
        <v>54</v>
      </c>
      <c r="B136" t="s">
        <v>154</v>
      </c>
      <c r="C136" t="s">
        <v>195</v>
      </c>
      <c r="D136" s="35">
        <v>2</v>
      </c>
      <c r="E136" t="s">
        <v>184</v>
      </c>
      <c r="F136" t="s">
        <v>184</v>
      </c>
      <c r="G136">
        <v>40</v>
      </c>
      <c r="H136" t="s">
        <v>258</v>
      </c>
      <c r="I136" t="str">
        <f t="shared" si="24"/>
        <v>Super</v>
      </c>
      <c r="J136" s="39">
        <f t="shared" si="23"/>
        <v>20</v>
      </c>
      <c r="K136" s="1">
        <v>300</v>
      </c>
      <c r="L136" s="1">
        <f t="shared" si="27"/>
        <v>50</v>
      </c>
      <c r="M136" t="str">
        <f t="shared" si="25"/>
        <v>ATT2Super</v>
      </c>
      <c r="N136" s="1">
        <f t="shared" si="26"/>
        <v>300</v>
      </c>
      <c r="O136" s="1">
        <v>50</v>
      </c>
      <c r="P136" s="35">
        <v>2</v>
      </c>
    </row>
    <row r="137" spans="1:16" x14ac:dyDescent="0.25">
      <c r="A137" t="s">
        <v>54</v>
      </c>
      <c r="B137" t="s">
        <v>154</v>
      </c>
      <c r="C137" t="s">
        <v>195</v>
      </c>
      <c r="D137" s="35">
        <v>2</v>
      </c>
      <c r="E137" t="s">
        <v>184</v>
      </c>
      <c r="F137" t="s">
        <v>184</v>
      </c>
      <c r="G137">
        <v>50</v>
      </c>
      <c r="H137" t="s">
        <v>259</v>
      </c>
      <c r="I137" t="str">
        <f t="shared" si="24"/>
        <v>Super</v>
      </c>
      <c r="J137" s="39">
        <f t="shared" si="23"/>
        <v>25</v>
      </c>
      <c r="K137" s="1">
        <v>376</v>
      </c>
      <c r="L137" s="1">
        <f t="shared" si="27"/>
        <v>50</v>
      </c>
      <c r="M137" t="str">
        <f t="shared" si="25"/>
        <v>ATT2Super</v>
      </c>
      <c r="N137" s="1">
        <f t="shared" si="26"/>
        <v>376</v>
      </c>
      <c r="O137" s="1">
        <v>50</v>
      </c>
      <c r="P137" s="35">
        <v>2</v>
      </c>
    </row>
    <row r="138" spans="1:16" x14ac:dyDescent="0.25">
      <c r="A138" t="s">
        <v>54</v>
      </c>
      <c r="B138" t="s">
        <v>154</v>
      </c>
      <c r="C138" t="s">
        <v>195</v>
      </c>
      <c r="D138" s="35">
        <v>3</v>
      </c>
      <c r="E138" t="s">
        <v>184</v>
      </c>
      <c r="F138" t="s">
        <v>184</v>
      </c>
      <c r="G138">
        <v>0.3</v>
      </c>
      <c r="H138" t="s">
        <v>250</v>
      </c>
      <c r="I138" t="str">
        <f t="shared" si="24"/>
        <v>None</v>
      </c>
      <c r="J138" s="39">
        <f t="shared" si="23"/>
        <v>9.9999999999999992E-2</v>
      </c>
      <c r="K138" s="1">
        <v>20</v>
      </c>
      <c r="L138" s="1">
        <f>15*D138</f>
        <v>45</v>
      </c>
      <c r="M138" t="str">
        <f t="shared" si="25"/>
        <v>ATT3None</v>
      </c>
      <c r="N138" s="1">
        <f t="shared" si="26"/>
        <v>20</v>
      </c>
      <c r="O138" s="1">
        <v>45</v>
      </c>
      <c r="P138" s="35">
        <v>3</v>
      </c>
    </row>
    <row r="139" spans="1:16" x14ac:dyDescent="0.25">
      <c r="A139" t="s">
        <v>54</v>
      </c>
      <c r="B139" t="s">
        <v>154</v>
      </c>
      <c r="C139" t="s">
        <v>195</v>
      </c>
      <c r="D139" s="35">
        <v>3</v>
      </c>
      <c r="E139" t="s">
        <v>184</v>
      </c>
      <c r="F139" t="s">
        <v>184</v>
      </c>
      <c r="G139">
        <v>1</v>
      </c>
      <c r="H139" t="s">
        <v>251</v>
      </c>
      <c r="I139" t="str">
        <f t="shared" si="24"/>
        <v>None</v>
      </c>
      <c r="J139" s="39">
        <f t="shared" si="23"/>
        <v>0.33333333333333331</v>
      </c>
      <c r="K139" s="1">
        <v>25</v>
      </c>
      <c r="L139" s="1">
        <f t="shared" ref="L139:L141" si="28">15*D139</f>
        <v>45</v>
      </c>
      <c r="M139" t="str">
        <f t="shared" si="25"/>
        <v>ATT3None</v>
      </c>
      <c r="N139" s="1">
        <f t="shared" si="26"/>
        <v>25</v>
      </c>
      <c r="O139" s="1">
        <v>45</v>
      </c>
      <c r="P139" s="35">
        <v>3</v>
      </c>
    </row>
    <row r="140" spans="1:16" x14ac:dyDescent="0.25">
      <c r="A140" t="s">
        <v>54</v>
      </c>
      <c r="B140" t="s">
        <v>154</v>
      </c>
      <c r="C140" t="s">
        <v>195</v>
      </c>
      <c r="D140" s="35">
        <v>3</v>
      </c>
      <c r="E140" t="s">
        <v>184</v>
      </c>
      <c r="F140" t="s">
        <v>184</v>
      </c>
      <c r="G140">
        <v>3</v>
      </c>
      <c r="H140" t="s">
        <v>252</v>
      </c>
      <c r="I140" t="str">
        <f t="shared" si="24"/>
        <v>Low</v>
      </c>
      <c r="J140" s="39">
        <f t="shared" si="23"/>
        <v>1</v>
      </c>
      <c r="K140" s="1">
        <v>40</v>
      </c>
      <c r="L140" s="1">
        <f t="shared" si="28"/>
        <v>45</v>
      </c>
      <c r="M140" t="str">
        <f t="shared" si="25"/>
        <v>ATT3Low</v>
      </c>
      <c r="N140" s="1">
        <f t="shared" si="26"/>
        <v>40</v>
      </c>
      <c r="O140" s="1">
        <v>45</v>
      </c>
      <c r="P140" s="35">
        <v>3</v>
      </c>
    </row>
    <row r="141" spans="1:16" x14ac:dyDescent="0.25">
      <c r="A141" t="s">
        <v>54</v>
      </c>
      <c r="B141" t="s">
        <v>154</v>
      </c>
      <c r="C141" t="s">
        <v>195</v>
      </c>
      <c r="D141" s="35">
        <v>3</v>
      </c>
      <c r="E141" t="s">
        <v>184</v>
      </c>
      <c r="F141" t="s">
        <v>184</v>
      </c>
      <c r="G141">
        <v>6</v>
      </c>
      <c r="H141" t="s">
        <v>253</v>
      </c>
      <c r="I141" t="str">
        <f t="shared" si="24"/>
        <v>Medium</v>
      </c>
      <c r="J141" s="39">
        <f t="shared" si="23"/>
        <v>2</v>
      </c>
      <c r="K141" s="1">
        <v>70</v>
      </c>
      <c r="L141" s="1">
        <f t="shared" si="28"/>
        <v>45</v>
      </c>
      <c r="M141" t="str">
        <f t="shared" si="25"/>
        <v>ATT3Medium</v>
      </c>
      <c r="N141" s="1">
        <f t="shared" si="26"/>
        <v>70</v>
      </c>
      <c r="O141" s="1">
        <v>45</v>
      </c>
      <c r="P141" s="35">
        <v>3</v>
      </c>
    </row>
    <row r="142" spans="1:16" x14ac:dyDescent="0.25">
      <c r="A142" t="s">
        <v>54</v>
      </c>
      <c r="B142" t="s">
        <v>154</v>
      </c>
      <c r="C142" t="s">
        <v>195</v>
      </c>
      <c r="D142" s="35">
        <v>3</v>
      </c>
      <c r="E142" t="s">
        <v>184</v>
      </c>
      <c r="F142" t="s">
        <v>184</v>
      </c>
      <c r="G142">
        <v>10</v>
      </c>
      <c r="H142" t="s">
        <v>254</v>
      </c>
      <c r="I142" t="str">
        <f t="shared" si="24"/>
        <v>Medium</v>
      </c>
      <c r="J142" s="39">
        <f t="shared" si="23"/>
        <v>3.3333333333333335</v>
      </c>
      <c r="K142" s="1">
        <v>100</v>
      </c>
      <c r="L142" s="1">
        <f>25*D142</f>
        <v>75</v>
      </c>
      <c r="M142" t="str">
        <f t="shared" si="25"/>
        <v>ATT3Medium</v>
      </c>
      <c r="N142" s="1">
        <f t="shared" si="26"/>
        <v>100</v>
      </c>
      <c r="O142" s="1">
        <v>75</v>
      </c>
      <c r="P142" s="35">
        <v>3</v>
      </c>
    </row>
    <row r="143" spans="1:16" x14ac:dyDescent="0.25">
      <c r="A143" t="s">
        <v>54</v>
      </c>
      <c r="B143" t="s">
        <v>154</v>
      </c>
      <c r="C143" t="s">
        <v>195</v>
      </c>
      <c r="D143" s="35">
        <v>3</v>
      </c>
      <c r="E143" t="s">
        <v>184</v>
      </c>
      <c r="F143" t="s">
        <v>184</v>
      </c>
      <c r="G143">
        <v>15</v>
      </c>
      <c r="H143" t="s">
        <v>255</v>
      </c>
      <c r="I143" t="str">
        <f t="shared" si="24"/>
        <v>High</v>
      </c>
      <c r="J143" s="39">
        <f t="shared" si="23"/>
        <v>5</v>
      </c>
      <c r="K143" s="1">
        <v>130</v>
      </c>
      <c r="L143" s="1">
        <f t="shared" ref="L143:L147" si="29">25*D143</f>
        <v>75</v>
      </c>
      <c r="M143" t="str">
        <f t="shared" si="25"/>
        <v>ATT3High</v>
      </c>
      <c r="N143" s="1">
        <f t="shared" si="26"/>
        <v>130</v>
      </c>
      <c r="O143" s="1">
        <v>75</v>
      </c>
      <c r="P143" s="35">
        <v>3</v>
      </c>
    </row>
    <row r="144" spans="1:16" x14ac:dyDescent="0.25">
      <c r="A144" t="s">
        <v>54</v>
      </c>
      <c r="B144" t="s">
        <v>154</v>
      </c>
      <c r="C144" t="s">
        <v>195</v>
      </c>
      <c r="D144" s="35">
        <v>3</v>
      </c>
      <c r="E144" t="s">
        <v>184</v>
      </c>
      <c r="F144" t="s">
        <v>184</v>
      </c>
      <c r="G144">
        <v>20</v>
      </c>
      <c r="H144" t="s">
        <v>256</v>
      </c>
      <c r="I144" t="str">
        <f t="shared" si="24"/>
        <v>High</v>
      </c>
      <c r="J144" s="39">
        <f t="shared" si="23"/>
        <v>6.666666666666667</v>
      </c>
      <c r="K144" s="1">
        <v>150</v>
      </c>
      <c r="L144" s="1">
        <f t="shared" si="29"/>
        <v>75</v>
      </c>
      <c r="M144" t="str">
        <f t="shared" si="25"/>
        <v>ATT3High</v>
      </c>
      <c r="N144" s="1">
        <f t="shared" si="26"/>
        <v>150</v>
      </c>
      <c r="O144" s="1">
        <v>75</v>
      </c>
      <c r="P144" s="35">
        <v>3</v>
      </c>
    </row>
    <row r="145" spans="1:16" x14ac:dyDescent="0.25">
      <c r="A145" t="s">
        <v>54</v>
      </c>
      <c r="B145" t="s">
        <v>154</v>
      </c>
      <c r="C145" t="s">
        <v>195</v>
      </c>
      <c r="D145" s="35">
        <v>3</v>
      </c>
      <c r="E145" t="s">
        <v>184</v>
      </c>
      <c r="F145" t="s">
        <v>184</v>
      </c>
      <c r="G145">
        <v>30</v>
      </c>
      <c r="H145" t="s">
        <v>257</v>
      </c>
      <c r="I145" t="str">
        <f t="shared" si="24"/>
        <v>High</v>
      </c>
      <c r="J145" s="39">
        <f t="shared" si="23"/>
        <v>10</v>
      </c>
      <c r="K145" s="1">
        <v>225</v>
      </c>
      <c r="L145" s="1">
        <f t="shared" si="29"/>
        <v>75</v>
      </c>
      <c r="M145" t="str">
        <f t="shared" si="25"/>
        <v>ATT3High</v>
      </c>
      <c r="N145" s="1">
        <f t="shared" si="26"/>
        <v>225</v>
      </c>
      <c r="O145" s="1">
        <v>75</v>
      </c>
      <c r="P145" s="35">
        <v>3</v>
      </c>
    </row>
    <row r="146" spans="1:16" x14ac:dyDescent="0.25">
      <c r="A146" t="s">
        <v>54</v>
      </c>
      <c r="B146" t="s">
        <v>154</v>
      </c>
      <c r="C146" t="s">
        <v>195</v>
      </c>
      <c r="D146" s="35">
        <v>3</v>
      </c>
      <c r="E146" t="s">
        <v>184</v>
      </c>
      <c r="F146" t="s">
        <v>184</v>
      </c>
      <c r="G146">
        <v>40</v>
      </c>
      <c r="H146" t="s">
        <v>258</v>
      </c>
      <c r="I146" t="str">
        <f t="shared" si="24"/>
        <v>Super</v>
      </c>
      <c r="J146" s="39">
        <f t="shared" si="23"/>
        <v>13.333333333333334</v>
      </c>
      <c r="K146" s="1">
        <v>300</v>
      </c>
      <c r="L146" s="1">
        <f t="shared" si="29"/>
        <v>75</v>
      </c>
      <c r="M146" t="str">
        <f t="shared" si="25"/>
        <v>ATT3Super</v>
      </c>
      <c r="N146" s="1">
        <f t="shared" si="26"/>
        <v>300</v>
      </c>
      <c r="O146" s="1">
        <v>75</v>
      </c>
      <c r="P146" s="35">
        <v>3</v>
      </c>
    </row>
    <row r="147" spans="1:16" x14ac:dyDescent="0.25">
      <c r="A147" t="s">
        <v>54</v>
      </c>
      <c r="B147" t="s">
        <v>154</v>
      </c>
      <c r="C147" t="s">
        <v>195</v>
      </c>
      <c r="D147" s="35">
        <v>3</v>
      </c>
      <c r="E147" t="s">
        <v>184</v>
      </c>
      <c r="F147" t="s">
        <v>184</v>
      </c>
      <c r="G147">
        <v>50</v>
      </c>
      <c r="H147" t="s">
        <v>259</v>
      </c>
      <c r="I147" t="str">
        <f t="shared" si="24"/>
        <v>Super</v>
      </c>
      <c r="J147" s="39">
        <f t="shared" si="23"/>
        <v>16.666666666666668</v>
      </c>
      <c r="K147" s="1">
        <v>376</v>
      </c>
      <c r="L147" s="1">
        <f t="shared" si="29"/>
        <v>75</v>
      </c>
      <c r="M147" t="str">
        <f t="shared" si="25"/>
        <v>ATT3Super</v>
      </c>
      <c r="N147" s="1">
        <f t="shared" si="26"/>
        <v>376</v>
      </c>
      <c r="O147" s="1">
        <v>75</v>
      </c>
      <c r="P147" s="35">
        <v>3</v>
      </c>
    </row>
    <row r="148" spans="1:16" x14ac:dyDescent="0.25">
      <c r="A148" t="s">
        <v>54</v>
      </c>
      <c r="B148" t="s">
        <v>154</v>
      </c>
      <c r="C148" t="s">
        <v>195</v>
      </c>
      <c r="D148" s="35">
        <v>4</v>
      </c>
      <c r="E148" t="s">
        <v>184</v>
      </c>
      <c r="F148" t="s">
        <v>184</v>
      </c>
      <c r="G148">
        <v>0.3</v>
      </c>
      <c r="H148" t="s">
        <v>250</v>
      </c>
      <c r="I148" t="str">
        <f t="shared" si="24"/>
        <v>None</v>
      </c>
      <c r="J148" s="39">
        <f t="shared" si="23"/>
        <v>7.4999999999999997E-2</v>
      </c>
      <c r="K148" s="1">
        <v>20</v>
      </c>
      <c r="L148" s="1">
        <f>15*D148</f>
        <v>60</v>
      </c>
      <c r="M148" t="str">
        <f t="shared" si="25"/>
        <v>ATT4None</v>
      </c>
      <c r="N148" s="1">
        <f t="shared" si="26"/>
        <v>20</v>
      </c>
      <c r="O148" s="1">
        <v>60</v>
      </c>
      <c r="P148" s="35">
        <v>4</v>
      </c>
    </row>
    <row r="149" spans="1:16" x14ac:dyDescent="0.25">
      <c r="A149" t="s">
        <v>54</v>
      </c>
      <c r="B149" t="s">
        <v>154</v>
      </c>
      <c r="C149" t="s">
        <v>195</v>
      </c>
      <c r="D149" s="35">
        <v>4</v>
      </c>
      <c r="E149" t="s">
        <v>184</v>
      </c>
      <c r="F149" t="s">
        <v>184</v>
      </c>
      <c r="G149">
        <v>1</v>
      </c>
      <c r="H149" t="s">
        <v>251</v>
      </c>
      <c r="I149" t="str">
        <f t="shared" si="24"/>
        <v>None</v>
      </c>
      <c r="J149" s="39">
        <f t="shared" si="23"/>
        <v>0.25</v>
      </c>
      <c r="K149" s="1">
        <v>25</v>
      </c>
      <c r="L149" s="1">
        <f t="shared" ref="L149:L151" si="30">15*D149</f>
        <v>60</v>
      </c>
      <c r="M149" t="str">
        <f t="shared" si="25"/>
        <v>ATT4None</v>
      </c>
      <c r="N149" s="1">
        <f t="shared" si="26"/>
        <v>25</v>
      </c>
      <c r="O149" s="1">
        <v>60</v>
      </c>
      <c r="P149" s="35">
        <v>4</v>
      </c>
    </row>
    <row r="150" spans="1:16" x14ac:dyDescent="0.25">
      <c r="A150" t="s">
        <v>54</v>
      </c>
      <c r="B150" t="s">
        <v>154</v>
      </c>
      <c r="C150" t="s">
        <v>195</v>
      </c>
      <c r="D150" s="35">
        <v>4</v>
      </c>
      <c r="E150" t="s">
        <v>184</v>
      </c>
      <c r="F150" t="s">
        <v>184</v>
      </c>
      <c r="G150">
        <v>3</v>
      </c>
      <c r="H150" t="s">
        <v>252</v>
      </c>
      <c r="I150" t="str">
        <f t="shared" si="24"/>
        <v>Low</v>
      </c>
      <c r="J150" s="39">
        <f t="shared" si="23"/>
        <v>0.75</v>
      </c>
      <c r="K150" s="1">
        <v>40</v>
      </c>
      <c r="L150" s="1">
        <f t="shared" si="30"/>
        <v>60</v>
      </c>
      <c r="M150" t="str">
        <f t="shared" si="25"/>
        <v>ATT4Low</v>
      </c>
      <c r="N150" s="1">
        <f t="shared" si="26"/>
        <v>40</v>
      </c>
      <c r="O150" s="1">
        <v>60</v>
      </c>
      <c r="P150" s="35">
        <v>4</v>
      </c>
    </row>
    <row r="151" spans="1:16" x14ac:dyDescent="0.25">
      <c r="A151" t="s">
        <v>54</v>
      </c>
      <c r="B151" t="s">
        <v>154</v>
      </c>
      <c r="C151" t="s">
        <v>195</v>
      </c>
      <c r="D151" s="35">
        <v>4</v>
      </c>
      <c r="E151" t="s">
        <v>184</v>
      </c>
      <c r="F151" t="s">
        <v>184</v>
      </c>
      <c r="G151">
        <v>6</v>
      </c>
      <c r="H151" t="s">
        <v>253</v>
      </c>
      <c r="I151" t="str">
        <f t="shared" si="24"/>
        <v>Low</v>
      </c>
      <c r="J151" s="39">
        <f t="shared" si="23"/>
        <v>1.5</v>
      </c>
      <c r="K151" s="1">
        <v>70</v>
      </c>
      <c r="L151" s="1">
        <f t="shared" si="30"/>
        <v>60</v>
      </c>
      <c r="M151" t="str">
        <f t="shared" si="25"/>
        <v>ATT4Low</v>
      </c>
      <c r="N151" s="1">
        <f t="shared" si="26"/>
        <v>70</v>
      </c>
      <c r="O151" s="1">
        <v>60</v>
      </c>
      <c r="P151" s="35">
        <v>4</v>
      </c>
    </row>
    <row r="152" spans="1:16" x14ac:dyDescent="0.25">
      <c r="A152" t="s">
        <v>54</v>
      </c>
      <c r="B152" t="s">
        <v>154</v>
      </c>
      <c r="C152" t="s">
        <v>195</v>
      </c>
      <c r="D152" s="35">
        <v>4</v>
      </c>
      <c r="E152" t="s">
        <v>184</v>
      </c>
      <c r="F152" t="s">
        <v>184</v>
      </c>
      <c r="G152">
        <v>10</v>
      </c>
      <c r="H152" t="s">
        <v>254</v>
      </c>
      <c r="I152" t="str">
        <f t="shared" si="24"/>
        <v>Medium</v>
      </c>
      <c r="J152" s="39">
        <f t="shared" si="23"/>
        <v>2.5</v>
      </c>
      <c r="K152" s="1">
        <v>100</v>
      </c>
      <c r="L152" s="1">
        <f>25*D152</f>
        <v>100</v>
      </c>
      <c r="M152" t="str">
        <f t="shared" si="25"/>
        <v>ATT4Medium</v>
      </c>
      <c r="N152" s="1">
        <f t="shared" si="26"/>
        <v>100</v>
      </c>
      <c r="O152" s="1">
        <v>100</v>
      </c>
      <c r="P152" s="35">
        <v>4</v>
      </c>
    </row>
    <row r="153" spans="1:16" x14ac:dyDescent="0.25">
      <c r="A153" t="s">
        <v>54</v>
      </c>
      <c r="B153" t="s">
        <v>154</v>
      </c>
      <c r="C153" t="s">
        <v>195</v>
      </c>
      <c r="D153" s="35">
        <v>4</v>
      </c>
      <c r="E153" t="s">
        <v>184</v>
      </c>
      <c r="F153" t="s">
        <v>184</v>
      </c>
      <c r="G153">
        <v>15</v>
      </c>
      <c r="H153" t="s">
        <v>255</v>
      </c>
      <c r="I153" t="str">
        <f t="shared" si="24"/>
        <v>Medium</v>
      </c>
      <c r="J153" s="39">
        <f t="shared" si="23"/>
        <v>3.75</v>
      </c>
      <c r="K153" s="1">
        <v>130</v>
      </c>
      <c r="L153" s="1">
        <f t="shared" ref="L153:L157" si="31">25*D153</f>
        <v>100</v>
      </c>
      <c r="M153" t="str">
        <f t="shared" si="25"/>
        <v>ATT4Medium</v>
      </c>
      <c r="N153" s="1">
        <f t="shared" si="26"/>
        <v>130</v>
      </c>
      <c r="O153" s="1">
        <v>100</v>
      </c>
      <c r="P153" s="35">
        <v>4</v>
      </c>
    </row>
    <row r="154" spans="1:16" x14ac:dyDescent="0.25">
      <c r="A154" t="s">
        <v>54</v>
      </c>
      <c r="B154" t="s">
        <v>154</v>
      </c>
      <c r="C154" t="s">
        <v>195</v>
      </c>
      <c r="D154" s="35">
        <v>4</v>
      </c>
      <c r="E154" t="s">
        <v>184</v>
      </c>
      <c r="F154" t="s">
        <v>184</v>
      </c>
      <c r="G154">
        <v>20</v>
      </c>
      <c r="H154" t="s">
        <v>256</v>
      </c>
      <c r="I154" t="str">
        <f t="shared" si="24"/>
        <v>High</v>
      </c>
      <c r="J154" s="39">
        <f t="shared" si="23"/>
        <v>5</v>
      </c>
      <c r="K154" s="1">
        <v>150</v>
      </c>
      <c r="L154" s="1">
        <f t="shared" si="31"/>
        <v>100</v>
      </c>
      <c r="M154" t="str">
        <f t="shared" si="25"/>
        <v>ATT4High</v>
      </c>
      <c r="N154" s="1">
        <f t="shared" si="26"/>
        <v>150</v>
      </c>
      <c r="O154" s="1">
        <v>100</v>
      </c>
      <c r="P154" s="35">
        <v>4</v>
      </c>
    </row>
    <row r="155" spans="1:16" x14ac:dyDescent="0.25">
      <c r="A155" t="s">
        <v>54</v>
      </c>
      <c r="B155" t="s">
        <v>154</v>
      </c>
      <c r="C155" t="s">
        <v>195</v>
      </c>
      <c r="D155" s="35">
        <v>4</v>
      </c>
      <c r="E155" t="s">
        <v>184</v>
      </c>
      <c r="F155" t="s">
        <v>184</v>
      </c>
      <c r="G155">
        <v>30</v>
      </c>
      <c r="H155" t="s">
        <v>257</v>
      </c>
      <c r="I155" t="str">
        <f t="shared" si="24"/>
        <v>High</v>
      </c>
      <c r="J155" s="39">
        <f t="shared" si="23"/>
        <v>7.5</v>
      </c>
      <c r="K155" s="1">
        <v>225</v>
      </c>
      <c r="L155" s="1">
        <f t="shared" si="31"/>
        <v>100</v>
      </c>
      <c r="M155" t="str">
        <f t="shared" si="25"/>
        <v>ATT4High</v>
      </c>
      <c r="N155" s="1">
        <f t="shared" si="26"/>
        <v>225</v>
      </c>
      <c r="O155" s="1">
        <v>100</v>
      </c>
      <c r="P155" s="35">
        <v>4</v>
      </c>
    </row>
    <row r="156" spans="1:16" x14ac:dyDescent="0.25">
      <c r="A156" t="s">
        <v>54</v>
      </c>
      <c r="B156" t="s">
        <v>154</v>
      </c>
      <c r="C156" t="s">
        <v>195</v>
      </c>
      <c r="D156" s="35">
        <v>4</v>
      </c>
      <c r="E156" t="s">
        <v>184</v>
      </c>
      <c r="F156" t="s">
        <v>184</v>
      </c>
      <c r="G156">
        <v>40</v>
      </c>
      <c r="H156" t="s">
        <v>258</v>
      </c>
      <c r="I156" t="str">
        <f t="shared" si="24"/>
        <v>High</v>
      </c>
      <c r="J156" s="39">
        <f t="shared" si="23"/>
        <v>10</v>
      </c>
      <c r="K156" s="1">
        <v>300</v>
      </c>
      <c r="L156" s="1">
        <f t="shared" si="31"/>
        <v>100</v>
      </c>
      <c r="M156" t="str">
        <f t="shared" si="25"/>
        <v>ATT4High</v>
      </c>
      <c r="N156" s="1">
        <f t="shared" si="26"/>
        <v>300</v>
      </c>
      <c r="O156" s="1">
        <v>100</v>
      </c>
      <c r="P156" s="35">
        <v>4</v>
      </c>
    </row>
    <row r="157" spans="1:16" x14ac:dyDescent="0.25">
      <c r="A157" t="s">
        <v>54</v>
      </c>
      <c r="B157" t="s">
        <v>154</v>
      </c>
      <c r="C157" t="s">
        <v>195</v>
      </c>
      <c r="D157" s="35">
        <v>4</v>
      </c>
      <c r="E157" t="s">
        <v>184</v>
      </c>
      <c r="F157" t="s">
        <v>184</v>
      </c>
      <c r="G157">
        <v>50</v>
      </c>
      <c r="H157" t="s">
        <v>259</v>
      </c>
      <c r="I157" t="str">
        <f t="shared" si="24"/>
        <v>Super</v>
      </c>
      <c r="J157" s="39">
        <f t="shared" si="23"/>
        <v>12.5</v>
      </c>
      <c r="K157" s="1">
        <v>376</v>
      </c>
      <c r="L157" s="1">
        <f t="shared" si="31"/>
        <v>100</v>
      </c>
      <c r="M157" t="str">
        <f t="shared" si="25"/>
        <v>ATT4Super</v>
      </c>
      <c r="N157" s="1">
        <f t="shared" si="26"/>
        <v>376</v>
      </c>
      <c r="O157" s="1">
        <v>100</v>
      </c>
      <c r="P157" s="35">
        <v>4</v>
      </c>
    </row>
    <row r="158" spans="1:16" x14ac:dyDescent="0.25">
      <c r="A158" t="s">
        <v>54</v>
      </c>
      <c r="B158" t="s">
        <v>154</v>
      </c>
      <c r="C158" t="s">
        <v>195</v>
      </c>
      <c r="D158" s="35">
        <v>5</v>
      </c>
      <c r="E158" t="s">
        <v>184</v>
      </c>
      <c r="F158" t="s">
        <v>184</v>
      </c>
      <c r="G158">
        <v>0.3</v>
      </c>
      <c r="H158" t="s">
        <v>250</v>
      </c>
      <c r="I158" t="str">
        <f t="shared" si="24"/>
        <v>None</v>
      </c>
      <c r="J158" s="39">
        <f t="shared" si="23"/>
        <v>0.06</v>
      </c>
      <c r="K158" s="1">
        <v>20</v>
      </c>
      <c r="L158" s="1">
        <f>15*D158</f>
        <v>75</v>
      </c>
      <c r="M158" t="str">
        <f t="shared" si="25"/>
        <v>ATT5None</v>
      </c>
      <c r="N158" s="1">
        <f t="shared" si="26"/>
        <v>20</v>
      </c>
      <c r="O158" s="1">
        <v>75</v>
      </c>
      <c r="P158" s="35">
        <v>5</v>
      </c>
    </row>
    <row r="159" spans="1:16" x14ac:dyDescent="0.25">
      <c r="A159" t="s">
        <v>54</v>
      </c>
      <c r="B159" t="s">
        <v>154</v>
      </c>
      <c r="C159" t="s">
        <v>195</v>
      </c>
      <c r="D159" s="35">
        <v>5</v>
      </c>
      <c r="E159" t="s">
        <v>184</v>
      </c>
      <c r="F159" t="s">
        <v>184</v>
      </c>
      <c r="G159">
        <v>1</v>
      </c>
      <c r="H159" t="s">
        <v>251</v>
      </c>
      <c r="I159" t="str">
        <f t="shared" si="24"/>
        <v>None</v>
      </c>
      <c r="J159" s="39">
        <f t="shared" si="23"/>
        <v>0.2</v>
      </c>
      <c r="K159" s="1">
        <v>25</v>
      </c>
      <c r="L159" s="1">
        <f t="shared" ref="L159:L161" si="32">15*D159</f>
        <v>75</v>
      </c>
      <c r="M159" t="str">
        <f t="shared" si="25"/>
        <v>ATT5None</v>
      </c>
      <c r="N159" s="1">
        <f t="shared" si="26"/>
        <v>25</v>
      </c>
      <c r="O159" s="1">
        <v>75</v>
      </c>
      <c r="P159" s="35">
        <v>5</v>
      </c>
    </row>
    <row r="160" spans="1:16" x14ac:dyDescent="0.25">
      <c r="A160" t="s">
        <v>54</v>
      </c>
      <c r="B160" t="s">
        <v>154</v>
      </c>
      <c r="C160" t="s">
        <v>195</v>
      </c>
      <c r="D160" s="35">
        <v>5</v>
      </c>
      <c r="E160" t="s">
        <v>184</v>
      </c>
      <c r="F160" t="s">
        <v>184</v>
      </c>
      <c r="G160">
        <v>3</v>
      </c>
      <c r="H160" t="s">
        <v>252</v>
      </c>
      <c r="I160" t="str">
        <f t="shared" si="24"/>
        <v>Low</v>
      </c>
      <c r="J160" s="39">
        <f t="shared" si="23"/>
        <v>0.6</v>
      </c>
      <c r="K160" s="1">
        <v>40</v>
      </c>
      <c r="L160" s="1">
        <f t="shared" si="32"/>
        <v>75</v>
      </c>
      <c r="M160" t="str">
        <f t="shared" si="25"/>
        <v>ATT5Low</v>
      </c>
      <c r="N160" s="1">
        <f t="shared" si="26"/>
        <v>40</v>
      </c>
      <c r="O160" s="1">
        <v>75</v>
      </c>
      <c r="P160" s="35">
        <v>5</v>
      </c>
    </row>
    <row r="161" spans="1:16" x14ac:dyDescent="0.25">
      <c r="A161" t="s">
        <v>54</v>
      </c>
      <c r="B161" t="s">
        <v>154</v>
      </c>
      <c r="C161" t="s">
        <v>195</v>
      </c>
      <c r="D161" s="35">
        <v>5</v>
      </c>
      <c r="E161" t="s">
        <v>184</v>
      </c>
      <c r="F161" t="s">
        <v>184</v>
      </c>
      <c r="G161">
        <v>6</v>
      </c>
      <c r="H161" t="s">
        <v>253</v>
      </c>
      <c r="I161" t="str">
        <f t="shared" si="24"/>
        <v>Low</v>
      </c>
      <c r="J161" s="39">
        <f t="shared" si="23"/>
        <v>1.2</v>
      </c>
      <c r="K161" s="1">
        <v>70</v>
      </c>
      <c r="L161" s="1">
        <f t="shared" si="32"/>
        <v>75</v>
      </c>
      <c r="M161" t="str">
        <f t="shared" si="25"/>
        <v>ATT5Low</v>
      </c>
      <c r="N161" s="1">
        <f t="shared" si="26"/>
        <v>70</v>
      </c>
      <c r="O161" s="1">
        <v>75</v>
      </c>
      <c r="P161" s="35">
        <v>5</v>
      </c>
    </row>
    <row r="162" spans="1:16" x14ac:dyDescent="0.25">
      <c r="A162" t="s">
        <v>54</v>
      </c>
      <c r="B162" t="s">
        <v>154</v>
      </c>
      <c r="C162" t="s">
        <v>195</v>
      </c>
      <c r="D162" s="35">
        <v>5</v>
      </c>
      <c r="E162" t="s">
        <v>184</v>
      </c>
      <c r="F162" t="s">
        <v>184</v>
      </c>
      <c r="G162">
        <v>10</v>
      </c>
      <c r="H162" t="s">
        <v>254</v>
      </c>
      <c r="I162" t="str">
        <f t="shared" si="24"/>
        <v>Medium</v>
      </c>
      <c r="J162" s="39">
        <f t="shared" si="23"/>
        <v>2</v>
      </c>
      <c r="K162" s="1">
        <v>100</v>
      </c>
      <c r="L162" s="1">
        <f>25*D162</f>
        <v>125</v>
      </c>
      <c r="M162" t="str">
        <f t="shared" si="25"/>
        <v>ATT5Medium</v>
      </c>
      <c r="N162" s="1">
        <f t="shared" si="26"/>
        <v>100</v>
      </c>
      <c r="O162" s="1">
        <v>125</v>
      </c>
      <c r="P162" s="35">
        <v>5</v>
      </c>
    </row>
    <row r="163" spans="1:16" x14ac:dyDescent="0.25">
      <c r="A163" t="s">
        <v>54</v>
      </c>
      <c r="B163" t="s">
        <v>154</v>
      </c>
      <c r="C163" t="s">
        <v>195</v>
      </c>
      <c r="D163" s="35">
        <v>5</v>
      </c>
      <c r="E163" t="s">
        <v>184</v>
      </c>
      <c r="F163" t="s">
        <v>184</v>
      </c>
      <c r="G163">
        <v>15</v>
      </c>
      <c r="H163" t="s">
        <v>255</v>
      </c>
      <c r="I163" t="str">
        <f t="shared" si="24"/>
        <v>Medium</v>
      </c>
      <c r="J163" s="39">
        <f t="shared" si="23"/>
        <v>3</v>
      </c>
      <c r="K163" s="1">
        <v>130</v>
      </c>
      <c r="L163" s="1">
        <f t="shared" ref="L163:L167" si="33">25*D163</f>
        <v>125</v>
      </c>
      <c r="M163" t="str">
        <f t="shared" si="25"/>
        <v>ATT5Medium</v>
      </c>
      <c r="N163" s="1">
        <f t="shared" si="26"/>
        <v>130</v>
      </c>
      <c r="O163" s="1">
        <v>125</v>
      </c>
      <c r="P163" s="35">
        <v>5</v>
      </c>
    </row>
    <row r="164" spans="1:16" x14ac:dyDescent="0.25">
      <c r="A164" t="s">
        <v>54</v>
      </c>
      <c r="B164" t="s">
        <v>154</v>
      </c>
      <c r="C164" t="s">
        <v>195</v>
      </c>
      <c r="D164" s="35">
        <v>5</v>
      </c>
      <c r="E164" t="s">
        <v>184</v>
      </c>
      <c r="F164" t="s">
        <v>184</v>
      </c>
      <c r="G164">
        <v>20</v>
      </c>
      <c r="H164" t="s">
        <v>256</v>
      </c>
      <c r="I164" t="str">
        <f t="shared" si="24"/>
        <v>Medium</v>
      </c>
      <c r="J164" s="39">
        <f t="shared" si="23"/>
        <v>4</v>
      </c>
      <c r="K164" s="1">
        <v>150</v>
      </c>
      <c r="L164" s="1">
        <f t="shared" si="33"/>
        <v>125</v>
      </c>
      <c r="M164" t="str">
        <f t="shared" si="25"/>
        <v>ATT5Medium</v>
      </c>
      <c r="N164" s="1">
        <f t="shared" si="26"/>
        <v>150</v>
      </c>
      <c r="O164" s="1">
        <v>125</v>
      </c>
      <c r="P164" s="35">
        <v>5</v>
      </c>
    </row>
    <row r="165" spans="1:16" x14ac:dyDescent="0.25">
      <c r="A165" t="s">
        <v>54</v>
      </c>
      <c r="B165" t="s">
        <v>154</v>
      </c>
      <c r="C165" t="s">
        <v>195</v>
      </c>
      <c r="D165" s="35">
        <v>5</v>
      </c>
      <c r="E165" t="s">
        <v>184</v>
      </c>
      <c r="F165" t="s">
        <v>184</v>
      </c>
      <c r="G165">
        <v>30</v>
      </c>
      <c r="H165" t="s">
        <v>257</v>
      </c>
      <c r="I165" t="str">
        <f t="shared" si="24"/>
        <v>High</v>
      </c>
      <c r="J165" s="39">
        <f t="shared" si="23"/>
        <v>6</v>
      </c>
      <c r="K165" s="1">
        <v>225</v>
      </c>
      <c r="L165" s="1">
        <f t="shared" si="33"/>
        <v>125</v>
      </c>
      <c r="M165" t="str">
        <f t="shared" si="25"/>
        <v>ATT5High</v>
      </c>
      <c r="N165" s="1">
        <f t="shared" si="26"/>
        <v>225</v>
      </c>
      <c r="O165" s="1">
        <v>125</v>
      </c>
      <c r="P165" s="35">
        <v>5</v>
      </c>
    </row>
    <row r="166" spans="1:16" x14ac:dyDescent="0.25">
      <c r="A166" t="s">
        <v>54</v>
      </c>
      <c r="B166" t="s">
        <v>154</v>
      </c>
      <c r="C166" t="s">
        <v>195</v>
      </c>
      <c r="D166" s="35">
        <v>5</v>
      </c>
      <c r="E166" t="s">
        <v>184</v>
      </c>
      <c r="F166" t="s">
        <v>184</v>
      </c>
      <c r="G166">
        <v>40</v>
      </c>
      <c r="H166" t="s">
        <v>258</v>
      </c>
      <c r="I166" t="str">
        <f t="shared" si="24"/>
        <v>High</v>
      </c>
      <c r="J166" s="39">
        <f t="shared" si="23"/>
        <v>8</v>
      </c>
      <c r="K166" s="1">
        <v>300</v>
      </c>
      <c r="L166" s="1">
        <f t="shared" si="33"/>
        <v>125</v>
      </c>
      <c r="M166" t="str">
        <f t="shared" si="25"/>
        <v>ATT5High</v>
      </c>
      <c r="N166" s="1">
        <f t="shared" si="26"/>
        <v>300</v>
      </c>
      <c r="O166" s="1">
        <v>125</v>
      </c>
      <c r="P166" s="35">
        <v>5</v>
      </c>
    </row>
    <row r="167" spans="1:16" x14ac:dyDescent="0.25">
      <c r="A167" t="s">
        <v>54</v>
      </c>
      <c r="B167" t="s">
        <v>154</v>
      </c>
      <c r="C167" t="s">
        <v>195</v>
      </c>
      <c r="D167" s="35">
        <v>5</v>
      </c>
      <c r="E167" t="s">
        <v>184</v>
      </c>
      <c r="F167" t="s">
        <v>184</v>
      </c>
      <c r="G167">
        <v>50</v>
      </c>
      <c r="H167" t="s">
        <v>259</v>
      </c>
      <c r="I167" t="str">
        <f t="shared" si="24"/>
        <v>High</v>
      </c>
      <c r="J167" s="39">
        <f t="shared" si="23"/>
        <v>10</v>
      </c>
      <c r="K167" s="1">
        <v>376</v>
      </c>
      <c r="L167" s="1">
        <f t="shared" si="33"/>
        <v>125</v>
      </c>
      <c r="M167" t="str">
        <f t="shared" si="25"/>
        <v>ATT5High</v>
      </c>
      <c r="N167" s="1">
        <f t="shared" si="26"/>
        <v>376</v>
      </c>
      <c r="O167" s="1">
        <v>125</v>
      </c>
      <c r="P167" s="35">
        <v>5</v>
      </c>
    </row>
    <row r="168" spans="1:16" x14ac:dyDescent="0.25">
      <c r="A168" t="s">
        <v>54</v>
      </c>
      <c r="B168" t="s">
        <v>154</v>
      </c>
      <c r="C168" t="s">
        <v>195</v>
      </c>
      <c r="D168" s="35">
        <v>6</v>
      </c>
      <c r="E168" t="s">
        <v>184</v>
      </c>
      <c r="F168" t="s">
        <v>184</v>
      </c>
      <c r="G168">
        <v>0.3</v>
      </c>
      <c r="H168" t="s">
        <v>250</v>
      </c>
      <c r="I168" t="str">
        <f t="shared" si="24"/>
        <v>None</v>
      </c>
      <c r="J168" s="39">
        <f t="shared" si="23"/>
        <v>4.9999999999999996E-2</v>
      </c>
      <c r="K168" s="1">
        <v>20</v>
      </c>
      <c r="L168" s="1">
        <f>15*D168</f>
        <v>90</v>
      </c>
      <c r="M168" t="str">
        <f t="shared" si="25"/>
        <v>ATT6None</v>
      </c>
      <c r="N168" s="1">
        <f t="shared" si="26"/>
        <v>20</v>
      </c>
      <c r="O168" s="1">
        <v>90</v>
      </c>
      <c r="P168" s="35">
        <v>6</v>
      </c>
    </row>
    <row r="169" spans="1:16" x14ac:dyDescent="0.25">
      <c r="A169" t="s">
        <v>54</v>
      </c>
      <c r="B169" t="s">
        <v>154</v>
      </c>
      <c r="C169" t="s">
        <v>195</v>
      </c>
      <c r="D169" s="35">
        <v>6</v>
      </c>
      <c r="E169" t="s">
        <v>184</v>
      </c>
      <c r="F169" t="s">
        <v>184</v>
      </c>
      <c r="G169">
        <v>1</v>
      </c>
      <c r="H169" t="s">
        <v>251</v>
      </c>
      <c r="I169" t="str">
        <f t="shared" si="24"/>
        <v>None</v>
      </c>
      <c r="J169" s="39">
        <f t="shared" si="23"/>
        <v>0.16666666666666666</v>
      </c>
      <c r="K169" s="1">
        <v>25</v>
      </c>
      <c r="L169" s="1">
        <f t="shared" ref="L169:L171" si="34">15*D169</f>
        <v>90</v>
      </c>
      <c r="M169" t="str">
        <f t="shared" si="25"/>
        <v>ATT6None</v>
      </c>
      <c r="N169" s="1">
        <f t="shared" si="26"/>
        <v>25</v>
      </c>
      <c r="O169" s="1">
        <v>90</v>
      </c>
      <c r="P169" s="35">
        <v>6</v>
      </c>
    </row>
    <row r="170" spans="1:16" x14ac:dyDescent="0.25">
      <c r="A170" t="s">
        <v>54</v>
      </c>
      <c r="B170" t="s">
        <v>154</v>
      </c>
      <c r="C170" t="s">
        <v>195</v>
      </c>
      <c r="D170" s="35">
        <v>6</v>
      </c>
      <c r="E170" t="s">
        <v>184</v>
      </c>
      <c r="F170" t="s">
        <v>184</v>
      </c>
      <c r="G170">
        <v>3</v>
      </c>
      <c r="H170" t="s">
        <v>252</v>
      </c>
      <c r="I170" t="str">
        <f t="shared" si="24"/>
        <v>Low</v>
      </c>
      <c r="J170" s="39">
        <f t="shared" si="23"/>
        <v>0.5</v>
      </c>
      <c r="K170" s="1">
        <v>40</v>
      </c>
      <c r="L170" s="1">
        <f t="shared" si="34"/>
        <v>90</v>
      </c>
      <c r="M170" t="str">
        <f t="shared" si="25"/>
        <v>ATT6Low</v>
      </c>
      <c r="N170" s="1">
        <f t="shared" si="26"/>
        <v>40</v>
      </c>
      <c r="O170" s="1">
        <v>90</v>
      </c>
      <c r="P170" s="35">
        <v>6</v>
      </c>
    </row>
    <row r="171" spans="1:16" x14ac:dyDescent="0.25">
      <c r="A171" t="s">
        <v>54</v>
      </c>
      <c r="B171" t="s">
        <v>154</v>
      </c>
      <c r="C171" t="s">
        <v>195</v>
      </c>
      <c r="D171" s="35">
        <v>6</v>
      </c>
      <c r="E171" t="s">
        <v>184</v>
      </c>
      <c r="F171" t="s">
        <v>184</v>
      </c>
      <c r="G171">
        <v>6</v>
      </c>
      <c r="H171" t="s">
        <v>253</v>
      </c>
      <c r="I171" t="str">
        <f t="shared" si="24"/>
        <v>Low</v>
      </c>
      <c r="J171" s="39">
        <f t="shared" si="23"/>
        <v>1</v>
      </c>
      <c r="K171" s="1">
        <v>70</v>
      </c>
      <c r="L171" s="1">
        <f t="shared" si="34"/>
        <v>90</v>
      </c>
      <c r="M171" t="str">
        <f t="shared" si="25"/>
        <v>ATT6Low</v>
      </c>
      <c r="N171" s="1">
        <f t="shared" si="26"/>
        <v>70</v>
      </c>
      <c r="O171" s="1">
        <v>90</v>
      </c>
      <c r="P171" s="35">
        <v>6</v>
      </c>
    </row>
    <row r="172" spans="1:16" x14ac:dyDescent="0.25">
      <c r="A172" t="s">
        <v>54</v>
      </c>
      <c r="B172" t="s">
        <v>154</v>
      </c>
      <c r="C172" t="s">
        <v>195</v>
      </c>
      <c r="D172" s="35">
        <v>6</v>
      </c>
      <c r="E172" t="s">
        <v>184</v>
      </c>
      <c r="F172" t="s">
        <v>184</v>
      </c>
      <c r="G172">
        <v>10</v>
      </c>
      <c r="H172" t="s">
        <v>254</v>
      </c>
      <c r="I172" t="str">
        <f t="shared" si="24"/>
        <v>Low</v>
      </c>
      <c r="J172" s="39">
        <f t="shared" si="23"/>
        <v>1.6666666666666667</v>
      </c>
      <c r="K172" s="1">
        <v>100</v>
      </c>
      <c r="L172" s="1">
        <f>25*D172</f>
        <v>150</v>
      </c>
      <c r="M172" t="str">
        <f t="shared" si="25"/>
        <v>ATT6Low</v>
      </c>
      <c r="N172" s="1">
        <f t="shared" si="26"/>
        <v>100</v>
      </c>
      <c r="O172" s="1">
        <v>150</v>
      </c>
      <c r="P172" s="35">
        <v>6</v>
      </c>
    </row>
    <row r="173" spans="1:16" x14ac:dyDescent="0.25">
      <c r="A173" t="s">
        <v>54</v>
      </c>
      <c r="B173" t="s">
        <v>154</v>
      </c>
      <c r="C173" t="s">
        <v>195</v>
      </c>
      <c r="D173" s="35">
        <v>6</v>
      </c>
      <c r="E173" t="s">
        <v>184</v>
      </c>
      <c r="F173" t="s">
        <v>184</v>
      </c>
      <c r="G173">
        <v>15</v>
      </c>
      <c r="H173" t="s">
        <v>255</v>
      </c>
      <c r="I173" t="str">
        <f t="shared" si="24"/>
        <v>Medium</v>
      </c>
      <c r="J173" s="39">
        <f t="shared" si="23"/>
        <v>2.5</v>
      </c>
      <c r="K173" s="1">
        <v>130</v>
      </c>
      <c r="L173" s="1">
        <f t="shared" ref="L173:L177" si="35">25*D173</f>
        <v>150</v>
      </c>
      <c r="M173" t="str">
        <f t="shared" si="25"/>
        <v>ATT6Medium</v>
      </c>
      <c r="N173" s="1">
        <f t="shared" si="26"/>
        <v>130</v>
      </c>
      <c r="O173" s="1">
        <v>150</v>
      </c>
      <c r="P173" s="35">
        <v>6</v>
      </c>
    </row>
    <row r="174" spans="1:16" x14ac:dyDescent="0.25">
      <c r="A174" t="s">
        <v>54</v>
      </c>
      <c r="B174" t="s">
        <v>154</v>
      </c>
      <c r="C174" t="s">
        <v>195</v>
      </c>
      <c r="D174" s="35">
        <v>6</v>
      </c>
      <c r="E174" t="s">
        <v>184</v>
      </c>
      <c r="F174" t="s">
        <v>184</v>
      </c>
      <c r="G174">
        <v>20</v>
      </c>
      <c r="H174" t="s">
        <v>256</v>
      </c>
      <c r="I174" t="str">
        <f t="shared" si="24"/>
        <v>Medium</v>
      </c>
      <c r="J174" s="39">
        <f t="shared" si="23"/>
        <v>3.3333333333333335</v>
      </c>
      <c r="K174" s="1">
        <v>150</v>
      </c>
      <c r="L174" s="1">
        <f t="shared" si="35"/>
        <v>150</v>
      </c>
      <c r="M174" t="str">
        <f t="shared" si="25"/>
        <v>ATT6Medium</v>
      </c>
      <c r="N174" s="1">
        <f t="shared" si="26"/>
        <v>150</v>
      </c>
      <c r="O174" s="1">
        <v>150</v>
      </c>
      <c r="P174" s="35">
        <v>6</v>
      </c>
    </row>
    <row r="175" spans="1:16" x14ac:dyDescent="0.25">
      <c r="A175" t="s">
        <v>54</v>
      </c>
      <c r="B175" t="s">
        <v>154</v>
      </c>
      <c r="C175" t="s">
        <v>195</v>
      </c>
      <c r="D175" s="35">
        <v>6</v>
      </c>
      <c r="E175" t="s">
        <v>184</v>
      </c>
      <c r="F175" t="s">
        <v>184</v>
      </c>
      <c r="G175">
        <v>30</v>
      </c>
      <c r="H175" t="s">
        <v>257</v>
      </c>
      <c r="I175" t="str">
        <f t="shared" si="24"/>
        <v>High</v>
      </c>
      <c r="J175" s="39">
        <f t="shared" si="23"/>
        <v>5</v>
      </c>
      <c r="K175" s="1">
        <v>225</v>
      </c>
      <c r="L175" s="1">
        <f t="shared" si="35"/>
        <v>150</v>
      </c>
      <c r="M175" t="str">
        <f t="shared" si="25"/>
        <v>ATT6High</v>
      </c>
      <c r="N175" s="1">
        <f t="shared" si="26"/>
        <v>225</v>
      </c>
      <c r="O175" s="1">
        <v>150</v>
      </c>
      <c r="P175" s="35">
        <v>6</v>
      </c>
    </row>
    <row r="176" spans="1:16" x14ac:dyDescent="0.25">
      <c r="A176" t="s">
        <v>54</v>
      </c>
      <c r="B176" t="s">
        <v>154</v>
      </c>
      <c r="C176" t="s">
        <v>195</v>
      </c>
      <c r="D176" s="35">
        <v>6</v>
      </c>
      <c r="E176" t="s">
        <v>184</v>
      </c>
      <c r="F176" t="s">
        <v>184</v>
      </c>
      <c r="G176">
        <v>40</v>
      </c>
      <c r="H176" t="s">
        <v>258</v>
      </c>
      <c r="I176" t="str">
        <f t="shared" si="24"/>
        <v>High</v>
      </c>
      <c r="J176" s="39">
        <f t="shared" si="23"/>
        <v>6.666666666666667</v>
      </c>
      <c r="K176" s="1">
        <v>300</v>
      </c>
      <c r="L176" s="1">
        <f t="shared" si="35"/>
        <v>150</v>
      </c>
      <c r="M176" t="str">
        <f t="shared" si="25"/>
        <v>ATT6High</v>
      </c>
      <c r="N176" s="1">
        <f t="shared" si="26"/>
        <v>300</v>
      </c>
      <c r="O176" s="1">
        <v>150</v>
      </c>
      <c r="P176" s="35">
        <v>6</v>
      </c>
    </row>
    <row r="177" spans="1:16" x14ac:dyDescent="0.25">
      <c r="A177" t="s">
        <v>54</v>
      </c>
      <c r="B177" t="s">
        <v>154</v>
      </c>
      <c r="C177" t="s">
        <v>195</v>
      </c>
      <c r="D177" s="35">
        <v>6</v>
      </c>
      <c r="E177" t="s">
        <v>184</v>
      </c>
      <c r="F177" t="s">
        <v>184</v>
      </c>
      <c r="G177">
        <v>50</v>
      </c>
      <c r="H177" t="s">
        <v>259</v>
      </c>
      <c r="I177" t="str">
        <f t="shared" si="24"/>
        <v>High</v>
      </c>
      <c r="J177" s="39">
        <f t="shared" si="23"/>
        <v>8.3333333333333339</v>
      </c>
      <c r="K177" s="1">
        <v>376</v>
      </c>
      <c r="L177" s="1">
        <f t="shared" si="35"/>
        <v>150</v>
      </c>
      <c r="M177" t="str">
        <f t="shared" si="25"/>
        <v>ATT6High</v>
      </c>
      <c r="N177" s="1">
        <f t="shared" si="26"/>
        <v>376</v>
      </c>
      <c r="O177" s="1">
        <v>150</v>
      </c>
      <c r="P177" s="35">
        <v>6</v>
      </c>
    </row>
    <row r="178" spans="1:16" x14ac:dyDescent="0.25">
      <c r="A178" t="s">
        <v>205</v>
      </c>
      <c r="B178" t="s">
        <v>264</v>
      </c>
      <c r="C178" t="s">
        <v>147</v>
      </c>
      <c r="D178" s="35">
        <v>1</v>
      </c>
      <c r="E178">
        <v>1500</v>
      </c>
      <c r="F178" t="s">
        <v>184</v>
      </c>
      <c r="G178">
        <v>0.1</v>
      </c>
      <c r="H178" t="s">
        <v>265</v>
      </c>
      <c r="I178" t="str">
        <f t="shared" si="24"/>
        <v>None</v>
      </c>
      <c r="J178" s="39">
        <f t="shared" si="23"/>
        <v>0.1</v>
      </c>
      <c r="K178" s="1">
        <v>30</v>
      </c>
      <c r="L178" s="1">
        <v>0</v>
      </c>
      <c r="M178" t="str">
        <f t="shared" si="25"/>
        <v>Straight Talk1None</v>
      </c>
      <c r="N178" s="1">
        <f t="shared" si="26"/>
        <v>30</v>
      </c>
      <c r="O178" s="1">
        <v>0</v>
      </c>
      <c r="P178" s="35">
        <v>1</v>
      </c>
    </row>
    <row r="179" spans="1:16" x14ac:dyDescent="0.25">
      <c r="A179" t="s">
        <v>205</v>
      </c>
      <c r="B179" t="s">
        <v>264</v>
      </c>
      <c r="C179" t="s">
        <v>147</v>
      </c>
      <c r="D179" s="35">
        <v>1</v>
      </c>
      <c r="E179" t="s">
        <v>184</v>
      </c>
      <c r="F179" t="s">
        <v>184</v>
      </c>
      <c r="G179">
        <v>3</v>
      </c>
      <c r="H179" t="s">
        <v>266</v>
      </c>
      <c r="I179" t="str">
        <f t="shared" si="24"/>
        <v>Medium</v>
      </c>
      <c r="J179" s="39">
        <f t="shared" si="23"/>
        <v>3</v>
      </c>
      <c r="K179" s="1">
        <v>45</v>
      </c>
      <c r="L179" s="1">
        <v>0</v>
      </c>
      <c r="M179" t="str">
        <f t="shared" si="25"/>
        <v>Straight Talk1Medium</v>
      </c>
      <c r="N179" s="1">
        <f t="shared" si="26"/>
        <v>45</v>
      </c>
      <c r="O179" s="1">
        <v>0</v>
      </c>
      <c r="P179" s="35">
        <v>1</v>
      </c>
    </row>
    <row r="180" spans="1:16" x14ac:dyDescent="0.25">
      <c r="A180" t="s">
        <v>205</v>
      </c>
      <c r="B180" t="s">
        <v>264</v>
      </c>
      <c r="C180" t="s">
        <v>147</v>
      </c>
      <c r="D180" s="35">
        <v>1</v>
      </c>
      <c r="E180" t="s">
        <v>184</v>
      </c>
      <c r="F180" t="s">
        <v>184</v>
      </c>
      <c r="G180">
        <v>3</v>
      </c>
      <c r="H180" t="s">
        <v>267</v>
      </c>
      <c r="I180" t="str">
        <f t="shared" si="24"/>
        <v>Medium</v>
      </c>
      <c r="J180" s="39">
        <f t="shared" si="23"/>
        <v>3</v>
      </c>
      <c r="K180" s="1">
        <f>130/3</f>
        <v>43.333333333333336</v>
      </c>
      <c r="L180" s="1">
        <v>0</v>
      </c>
      <c r="M180" t="str">
        <f t="shared" si="25"/>
        <v>Straight Talk1Medium</v>
      </c>
      <c r="N180" s="1">
        <f t="shared" si="26"/>
        <v>43.333333333333336</v>
      </c>
      <c r="O180" s="1">
        <v>0</v>
      </c>
      <c r="P180" s="35">
        <v>1</v>
      </c>
    </row>
    <row r="181" spans="1:16" x14ac:dyDescent="0.25">
      <c r="A181" t="s">
        <v>205</v>
      </c>
      <c r="B181" t="s">
        <v>264</v>
      </c>
      <c r="C181" t="s">
        <v>147</v>
      </c>
      <c r="D181" s="35">
        <v>1</v>
      </c>
      <c r="E181" t="s">
        <v>184</v>
      </c>
      <c r="F181" t="s">
        <v>184</v>
      </c>
      <c r="G181">
        <v>3</v>
      </c>
      <c r="H181" t="s">
        <v>268</v>
      </c>
      <c r="I181" t="str">
        <f t="shared" si="24"/>
        <v>Medium</v>
      </c>
      <c r="J181" s="39">
        <f t="shared" si="23"/>
        <v>3</v>
      </c>
      <c r="K181" s="1">
        <f>255/6</f>
        <v>42.5</v>
      </c>
      <c r="L181" s="1">
        <v>0</v>
      </c>
      <c r="M181" t="str">
        <f t="shared" si="25"/>
        <v>Straight Talk1Medium</v>
      </c>
      <c r="N181" s="1">
        <f t="shared" si="26"/>
        <v>42.5</v>
      </c>
      <c r="O181" s="1">
        <v>0</v>
      </c>
      <c r="P181" s="35">
        <v>1</v>
      </c>
    </row>
    <row r="182" spans="1:16" x14ac:dyDescent="0.25">
      <c r="A182" t="s">
        <v>205</v>
      </c>
      <c r="B182" t="s">
        <v>264</v>
      </c>
      <c r="C182" t="s">
        <v>147</v>
      </c>
      <c r="D182" s="35">
        <v>1</v>
      </c>
      <c r="E182" t="s">
        <v>184</v>
      </c>
      <c r="F182" t="s">
        <v>184</v>
      </c>
      <c r="G182">
        <v>3</v>
      </c>
      <c r="H182" t="s">
        <v>269</v>
      </c>
      <c r="I182" t="str">
        <f t="shared" si="24"/>
        <v>Medium</v>
      </c>
      <c r="J182" s="39">
        <f t="shared" si="23"/>
        <v>3</v>
      </c>
      <c r="K182" s="1">
        <f>495/12</f>
        <v>41.25</v>
      </c>
      <c r="L182" s="1">
        <v>0</v>
      </c>
      <c r="M182" t="str">
        <f t="shared" si="25"/>
        <v>Straight Talk1Medium</v>
      </c>
      <c r="N182" s="1">
        <f t="shared" si="26"/>
        <v>41.25</v>
      </c>
      <c r="O182" s="1">
        <v>0</v>
      </c>
      <c r="P182" s="35">
        <v>1</v>
      </c>
    </row>
    <row r="183" spans="1:16" x14ac:dyDescent="0.25">
      <c r="A183" t="s">
        <v>133</v>
      </c>
      <c r="B183" t="s">
        <v>154</v>
      </c>
      <c r="C183" t="s">
        <v>147</v>
      </c>
      <c r="D183" s="35">
        <v>1</v>
      </c>
      <c r="E183" t="s">
        <v>184</v>
      </c>
      <c r="F183" t="s">
        <v>184</v>
      </c>
      <c r="G183" t="s">
        <v>184</v>
      </c>
      <c r="H183" t="s">
        <v>271</v>
      </c>
      <c r="I183" t="str">
        <f t="shared" si="24"/>
        <v>Super</v>
      </c>
      <c r="J183" s="39" t="str">
        <f t="shared" si="23"/>
        <v>Unlimited</v>
      </c>
      <c r="K183" s="1">
        <v>50</v>
      </c>
      <c r="L183" s="1">
        <v>0</v>
      </c>
      <c r="M183" t="str">
        <f t="shared" si="25"/>
        <v>Sprint1Super</v>
      </c>
      <c r="N183" s="1">
        <f t="shared" si="26"/>
        <v>50</v>
      </c>
      <c r="O183" s="1">
        <v>0</v>
      </c>
      <c r="P183" s="35">
        <v>1</v>
      </c>
    </row>
    <row r="184" spans="1:16" x14ac:dyDescent="0.25">
      <c r="A184" t="s">
        <v>133</v>
      </c>
      <c r="B184" t="s">
        <v>154</v>
      </c>
      <c r="C184" t="s">
        <v>147</v>
      </c>
      <c r="D184" s="35">
        <v>1</v>
      </c>
      <c r="E184" t="s">
        <v>184</v>
      </c>
      <c r="F184" t="s">
        <v>184</v>
      </c>
      <c r="G184" t="s">
        <v>184</v>
      </c>
      <c r="H184" t="s">
        <v>272</v>
      </c>
      <c r="I184" t="str">
        <f t="shared" si="24"/>
        <v>Super</v>
      </c>
      <c r="J184" s="39" t="str">
        <f t="shared" si="23"/>
        <v>Unlimited</v>
      </c>
      <c r="K184" s="1">
        <v>60</v>
      </c>
      <c r="L184" s="1">
        <v>0</v>
      </c>
      <c r="M184" t="str">
        <f t="shared" si="25"/>
        <v>Sprint1Super</v>
      </c>
      <c r="N184" s="1">
        <f t="shared" si="26"/>
        <v>60</v>
      </c>
      <c r="O184" s="1">
        <v>0</v>
      </c>
      <c r="P184" s="35">
        <v>1</v>
      </c>
    </row>
    <row r="185" spans="1:16" x14ac:dyDescent="0.25">
      <c r="A185" s="16" t="s">
        <v>133</v>
      </c>
      <c r="B185" s="16" t="s">
        <v>154</v>
      </c>
      <c r="C185" t="s">
        <v>147</v>
      </c>
      <c r="D185" s="34">
        <v>1</v>
      </c>
      <c r="E185" s="16" t="s">
        <v>184</v>
      </c>
      <c r="F185" s="16" t="s">
        <v>184</v>
      </c>
      <c r="G185" s="16" t="s">
        <v>184</v>
      </c>
      <c r="H185" s="16" t="s">
        <v>273</v>
      </c>
      <c r="I185" t="str">
        <f t="shared" si="24"/>
        <v>Super</v>
      </c>
      <c r="J185" s="39" t="str">
        <f t="shared" si="23"/>
        <v>Unlimited</v>
      </c>
      <c r="K185" s="26">
        <v>80</v>
      </c>
      <c r="L185" s="26">
        <v>0</v>
      </c>
      <c r="M185" t="str">
        <f t="shared" si="25"/>
        <v>Sprint1Super</v>
      </c>
      <c r="N185" s="1">
        <f t="shared" si="26"/>
        <v>80</v>
      </c>
      <c r="O185" s="26">
        <v>0</v>
      </c>
      <c r="P185" s="34">
        <v>1</v>
      </c>
    </row>
    <row r="186" spans="1:16" x14ac:dyDescent="0.25">
      <c r="A186" s="16" t="s">
        <v>133</v>
      </c>
      <c r="B186" s="16" t="s">
        <v>154</v>
      </c>
      <c r="C186" t="s">
        <v>147</v>
      </c>
      <c r="D186" s="34">
        <v>1</v>
      </c>
      <c r="E186" s="16" t="s">
        <v>184</v>
      </c>
      <c r="F186" s="16" t="s">
        <v>184</v>
      </c>
      <c r="G186" s="16" t="s">
        <v>184</v>
      </c>
      <c r="H186" s="16" t="s">
        <v>274</v>
      </c>
      <c r="I186" t="str">
        <f t="shared" si="24"/>
        <v>Super</v>
      </c>
      <c r="J186" s="39" t="str">
        <f t="shared" si="23"/>
        <v>Unlimited</v>
      </c>
      <c r="K186" s="26">
        <v>85</v>
      </c>
      <c r="L186" s="26">
        <v>0</v>
      </c>
      <c r="M186" t="str">
        <f t="shared" si="25"/>
        <v>Sprint1Super</v>
      </c>
      <c r="N186" s="1">
        <f t="shared" si="26"/>
        <v>85</v>
      </c>
      <c r="O186" s="26">
        <v>0</v>
      </c>
      <c r="P186" s="34">
        <v>1</v>
      </c>
    </row>
    <row r="187" spans="1:16" x14ac:dyDescent="0.25">
      <c r="A187" s="16" t="s">
        <v>133</v>
      </c>
      <c r="B187" s="16" t="s">
        <v>154</v>
      </c>
      <c r="C187" t="s">
        <v>195</v>
      </c>
      <c r="D187" s="34">
        <v>1</v>
      </c>
      <c r="E187" s="16" t="s">
        <v>184</v>
      </c>
      <c r="F187" s="16" t="s">
        <v>184</v>
      </c>
      <c r="G187" s="16">
        <v>1</v>
      </c>
      <c r="H187" s="16" t="s">
        <v>275</v>
      </c>
      <c r="I187" t="str">
        <f t="shared" si="24"/>
        <v>Low</v>
      </c>
      <c r="J187" s="39">
        <f t="shared" si="23"/>
        <v>1</v>
      </c>
      <c r="K187" s="26">
        <v>20</v>
      </c>
      <c r="L187" s="26">
        <f>15*D187</f>
        <v>15</v>
      </c>
      <c r="M187" t="str">
        <f t="shared" si="25"/>
        <v>Sprint1Low</v>
      </c>
      <c r="N187" s="1">
        <f t="shared" si="26"/>
        <v>20</v>
      </c>
      <c r="O187" s="26">
        <v>15</v>
      </c>
      <c r="P187" s="34">
        <v>1</v>
      </c>
    </row>
    <row r="188" spans="1:16" x14ac:dyDescent="0.25">
      <c r="A188" s="16" t="s">
        <v>133</v>
      </c>
      <c r="B188" s="16" t="s">
        <v>154</v>
      </c>
      <c r="C188" t="s">
        <v>195</v>
      </c>
      <c r="D188" s="34">
        <v>1</v>
      </c>
      <c r="E188" s="16" t="s">
        <v>184</v>
      </c>
      <c r="F188" s="16" t="s">
        <v>184</v>
      </c>
      <c r="G188" s="16">
        <v>2</v>
      </c>
      <c r="H188" s="16" t="s">
        <v>276</v>
      </c>
      <c r="I188" t="str">
        <f t="shared" si="24"/>
        <v>Medium</v>
      </c>
      <c r="J188" s="39">
        <f t="shared" si="23"/>
        <v>2</v>
      </c>
      <c r="K188" s="26">
        <v>25</v>
      </c>
      <c r="L188" s="26">
        <f t="shared" ref="L188:L190" si="36">15*D188</f>
        <v>15</v>
      </c>
      <c r="M188" t="str">
        <f t="shared" si="25"/>
        <v>Sprint1Medium</v>
      </c>
      <c r="N188" s="1">
        <f t="shared" si="26"/>
        <v>25</v>
      </c>
      <c r="O188" s="26">
        <v>15</v>
      </c>
      <c r="P188" s="34">
        <v>1</v>
      </c>
    </row>
    <row r="189" spans="1:16" x14ac:dyDescent="0.25">
      <c r="A189" s="16" t="s">
        <v>133</v>
      </c>
      <c r="B189" s="16" t="s">
        <v>154</v>
      </c>
      <c r="C189" t="s">
        <v>195</v>
      </c>
      <c r="D189" s="34">
        <v>1</v>
      </c>
      <c r="E189" s="16" t="s">
        <v>184</v>
      </c>
      <c r="F189" s="16" t="s">
        <v>184</v>
      </c>
      <c r="G189" s="16">
        <v>4</v>
      </c>
      <c r="H189" s="16" t="s">
        <v>277</v>
      </c>
      <c r="I189" t="str">
        <f t="shared" si="24"/>
        <v>Medium</v>
      </c>
      <c r="J189" s="39">
        <f t="shared" si="23"/>
        <v>4</v>
      </c>
      <c r="K189" s="26">
        <v>40</v>
      </c>
      <c r="L189" s="26">
        <f t="shared" si="36"/>
        <v>15</v>
      </c>
      <c r="M189" t="str">
        <f t="shared" si="25"/>
        <v>Sprint1Medium</v>
      </c>
      <c r="N189" s="1">
        <f t="shared" si="26"/>
        <v>40</v>
      </c>
      <c r="O189" s="26">
        <v>15</v>
      </c>
      <c r="P189" s="34">
        <v>1</v>
      </c>
    </row>
    <row r="190" spans="1:16" x14ac:dyDescent="0.25">
      <c r="A190" s="16" t="s">
        <v>133</v>
      </c>
      <c r="B190" s="16" t="s">
        <v>154</v>
      </c>
      <c r="C190" t="s">
        <v>195</v>
      </c>
      <c r="D190" s="34">
        <v>1</v>
      </c>
      <c r="E190" s="16" t="s">
        <v>184</v>
      </c>
      <c r="F190" s="16" t="s">
        <v>184</v>
      </c>
      <c r="G190" s="16">
        <v>8</v>
      </c>
      <c r="H190" s="16" t="s">
        <v>278</v>
      </c>
      <c r="I190" t="str">
        <f t="shared" si="24"/>
        <v>High</v>
      </c>
      <c r="J190" s="39">
        <f t="shared" si="23"/>
        <v>8</v>
      </c>
      <c r="K190" s="26">
        <v>70</v>
      </c>
      <c r="L190" s="26">
        <f t="shared" si="36"/>
        <v>15</v>
      </c>
      <c r="M190" t="str">
        <f t="shared" si="25"/>
        <v>Sprint1High</v>
      </c>
      <c r="N190" s="1">
        <f t="shared" si="26"/>
        <v>70</v>
      </c>
      <c r="O190" s="26">
        <v>15</v>
      </c>
      <c r="P190" s="34">
        <v>1</v>
      </c>
    </row>
    <row r="191" spans="1:16" x14ac:dyDescent="0.25">
      <c r="A191" s="16" t="s">
        <v>133</v>
      </c>
      <c r="B191" s="16" t="s">
        <v>154</v>
      </c>
      <c r="C191" t="s">
        <v>195</v>
      </c>
      <c r="D191" s="34">
        <v>1</v>
      </c>
      <c r="E191" s="16" t="s">
        <v>184</v>
      </c>
      <c r="F191" s="16" t="s">
        <v>184</v>
      </c>
      <c r="G191" s="16">
        <v>12</v>
      </c>
      <c r="H191" s="16" t="s">
        <v>279</v>
      </c>
      <c r="I191" t="str">
        <f t="shared" si="24"/>
        <v>Super</v>
      </c>
      <c r="J191" s="39">
        <f t="shared" si="23"/>
        <v>12</v>
      </c>
      <c r="K191" s="26">
        <v>90</v>
      </c>
      <c r="L191" s="26">
        <f>25*D191</f>
        <v>25</v>
      </c>
      <c r="M191" t="str">
        <f t="shared" si="25"/>
        <v>Sprint1Super</v>
      </c>
      <c r="N191" s="1">
        <f t="shared" si="26"/>
        <v>90</v>
      </c>
      <c r="O191" s="26">
        <v>25</v>
      </c>
      <c r="P191" s="34">
        <v>1</v>
      </c>
    </row>
    <row r="192" spans="1:16" x14ac:dyDescent="0.25">
      <c r="A192" s="16" t="s">
        <v>133</v>
      </c>
      <c r="B192" s="16" t="s">
        <v>154</v>
      </c>
      <c r="C192" t="s">
        <v>195</v>
      </c>
      <c r="D192" s="34">
        <v>1</v>
      </c>
      <c r="E192" s="16" t="s">
        <v>184</v>
      </c>
      <c r="F192" s="16" t="s">
        <v>184</v>
      </c>
      <c r="G192" s="16">
        <v>20</v>
      </c>
      <c r="H192" s="16" t="s">
        <v>280</v>
      </c>
      <c r="I192" t="str">
        <f t="shared" si="24"/>
        <v>Super</v>
      </c>
      <c r="J192" s="39">
        <f t="shared" si="23"/>
        <v>20</v>
      </c>
      <c r="K192" s="26">
        <v>100</v>
      </c>
      <c r="L192" s="26">
        <f t="shared" ref="L192:L195" si="37">25*D192</f>
        <v>25</v>
      </c>
      <c r="M192" t="str">
        <f t="shared" si="25"/>
        <v>Sprint1Super</v>
      </c>
      <c r="N192" s="1">
        <f t="shared" si="26"/>
        <v>100</v>
      </c>
      <c r="O192" s="26">
        <v>25</v>
      </c>
      <c r="P192" s="34">
        <v>1</v>
      </c>
    </row>
    <row r="193" spans="1:16" x14ac:dyDescent="0.25">
      <c r="A193" s="16" t="s">
        <v>133</v>
      </c>
      <c r="B193" s="16" t="s">
        <v>154</v>
      </c>
      <c r="C193" t="s">
        <v>195</v>
      </c>
      <c r="D193" s="34">
        <v>1</v>
      </c>
      <c r="E193" s="16" t="s">
        <v>184</v>
      </c>
      <c r="F193" s="16" t="s">
        <v>184</v>
      </c>
      <c r="G193" s="16">
        <v>32</v>
      </c>
      <c r="H193" s="16" t="s">
        <v>281</v>
      </c>
      <c r="I193" t="str">
        <f t="shared" si="24"/>
        <v>Super</v>
      </c>
      <c r="J193" s="39">
        <f t="shared" si="23"/>
        <v>32</v>
      </c>
      <c r="K193" s="26">
        <v>130</v>
      </c>
      <c r="L193" s="26">
        <f t="shared" si="37"/>
        <v>25</v>
      </c>
      <c r="M193" t="str">
        <f t="shared" si="25"/>
        <v>Sprint1Super</v>
      </c>
      <c r="N193" s="1">
        <f t="shared" si="26"/>
        <v>130</v>
      </c>
      <c r="O193" s="26">
        <v>25</v>
      </c>
      <c r="P193" s="34">
        <v>1</v>
      </c>
    </row>
    <row r="194" spans="1:16" x14ac:dyDescent="0.25">
      <c r="A194" s="16" t="s">
        <v>133</v>
      </c>
      <c r="B194" s="16" t="s">
        <v>154</v>
      </c>
      <c r="C194" t="s">
        <v>195</v>
      </c>
      <c r="D194" s="34">
        <v>1</v>
      </c>
      <c r="E194" s="16" t="s">
        <v>184</v>
      </c>
      <c r="F194" s="16" t="s">
        <v>184</v>
      </c>
      <c r="G194" s="16">
        <v>40</v>
      </c>
      <c r="H194" s="16" t="s">
        <v>282</v>
      </c>
      <c r="I194" t="str">
        <f t="shared" si="24"/>
        <v>Super</v>
      </c>
      <c r="J194" s="39">
        <f t="shared" ref="J194:J261" si="38">IF(G194="Unlimited","Unlimited",G194/D194)</f>
        <v>40</v>
      </c>
      <c r="K194" s="26">
        <v>150</v>
      </c>
      <c r="L194" s="26">
        <f t="shared" si="37"/>
        <v>25</v>
      </c>
      <c r="M194" t="str">
        <f t="shared" si="25"/>
        <v>Sprint1Super</v>
      </c>
      <c r="N194" s="1">
        <f t="shared" si="26"/>
        <v>150</v>
      </c>
      <c r="O194" s="26">
        <v>25</v>
      </c>
      <c r="P194" s="34">
        <v>1</v>
      </c>
    </row>
    <row r="195" spans="1:16" x14ac:dyDescent="0.25">
      <c r="A195" s="16" t="s">
        <v>133</v>
      </c>
      <c r="B195" s="16" t="s">
        <v>154</v>
      </c>
      <c r="C195" t="s">
        <v>195</v>
      </c>
      <c r="D195" s="34">
        <v>1</v>
      </c>
      <c r="E195" s="16" t="s">
        <v>184</v>
      </c>
      <c r="F195" s="16" t="s">
        <v>184</v>
      </c>
      <c r="G195" s="16">
        <v>60</v>
      </c>
      <c r="H195" s="16" t="s">
        <v>283</v>
      </c>
      <c r="I195" t="str">
        <f t="shared" ref="I195:I254" si="39">IF(J195&lt;0.5,"None",IF(J195&lt;2,"Low",IF(J195&lt;5,"Medium",IF(J195&lt;11,"High",IF(J195="Unlimited","Super","Super")))))</f>
        <v>Super</v>
      </c>
      <c r="J195" s="39">
        <f t="shared" si="38"/>
        <v>60</v>
      </c>
      <c r="K195" s="26">
        <v>225</v>
      </c>
      <c r="L195" s="26">
        <f t="shared" si="37"/>
        <v>25</v>
      </c>
      <c r="M195" t="str">
        <f t="shared" ref="M195:M258" si="40">CONCATENATE(A195, D195, I195)</f>
        <v>Sprint1Super</v>
      </c>
      <c r="N195" s="1">
        <f t="shared" ref="N195:N258" si="41">K195</f>
        <v>225</v>
      </c>
      <c r="O195" s="26">
        <v>25</v>
      </c>
      <c r="P195" s="34">
        <v>1</v>
      </c>
    </row>
    <row r="196" spans="1:16" x14ac:dyDescent="0.25">
      <c r="A196" s="16" t="s">
        <v>133</v>
      </c>
      <c r="B196" s="16" t="s">
        <v>154</v>
      </c>
      <c r="C196" t="s">
        <v>195</v>
      </c>
      <c r="D196" s="34">
        <v>2</v>
      </c>
      <c r="E196" s="16" t="s">
        <v>184</v>
      </c>
      <c r="F196" s="16" t="s">
        <v>184</v>
      </c>
      <c r="G196" s="16">
        <v>1</v>
      </c>
      <c r="H196" s="16" t="s">
        <v>275</v>
      </c>
      <c r="I196" t="str">
        <f t="shared" si="39"/>
        <v>Low</v>
      </c>
      <c r="J196" s="39">
        <f t="shared" si="38"/>
        <v>0.5</v>
      </c>
      <c r="K196" s="26">
        <v>20</v>
      </c>
      <c r="L196" s="26">
        <f>15*D196</f>
        <v>30</v>
      </c>
      <c r="M196" t="str">
        <f t="shared" si="40"/>
        <v>Sprint2Low</v>
      </c>
      <c r="N196" s="1">
        <f t="shared" si="41"/>
        <v>20</v>
      </c>
      <c r="O196" s="26">
        <v>30</v>
      </c>
      <c r="P196" s="34">
        <v>2</v>
      </c>
    </row>
    <row r="197" spans="1:16" x14ac:dyDescent="0.25">
      <c r="A197" s="16" t="s">
        <v>133</v>
      </c>
      <c r="B197" s="16" t="s">
        <v>154</v>
      </c>
      <c r="C197" t="s">
        <v>195</v>
      </c>
      <c r="D197" s="34">
        <v>2</v>
      </c>
      <c r="E197" s="16" t="s">
        <v>184</v>
      </c>
      <c r="F197" s="16" t="s">
        <v>184</v>
      </c>
      <c r="G197" s="16">
        <v>2</v>
      </c>
      <c r="H197" s="16" t="s">
        <v>276</v>
      </c>
      <c r="I197" t="str">
        <f t="shared" si="39"/>
        <v>Low</v>
      </c>
      <c r="J197" s="39">
        <f t="shared" si="38"/>
        <v>1</v>
      </c>
      <c r="K197" s="26">
        <v>25</v>
      </c>
      <c r="L197" s="26">
        <f t="shared" ref="L197:L199" si="42">15*D197</f>
        <v>30</v>
      </c>
      <c r="M197" t="str">
        <f t="shared" si="40"/>
        <v>Sprint2Low</v>
      </c>
      <c r="N197" s="1">
        <f t="shared" si="41"/>
        <v>25</v>
      </c>
      <c r="O197" s="26">
        <v>30</v>
      </c>
      <c r="P197" s="34">
        <v>2</v>
      </c>
    </row>
    <row r="198" spans="1:16" x14ac:dyDescent="0.25">
      <c r="A198" s="16" t="s">
        <v>133</v>
      </c>
      <c r="B198" s="16" t="s">
        <v>154</v>
      </c>
      <c r="C198" t="s">
        <v>195</v>
      </c>
      <c r="D198" s="34">
        <v>2</v>
      </c>
      <c r="E198" s="16" t="s">
        <v>184</v>
      </c>
      <c r="F198" s="16" t="s">
        <v>184</v>
      </c>
      <c r="G198" s="16">
        <v>4</v>
      </c>
      <c r="H198" s="16" t="s">
        <v>277</v>
      </c>
      <c r="I198" t="str">
        <f t="shared" si="39"/>
        <v>Medium</v>
      </c>
      <c r="J198" s="39">
        <f t="shared" si="38"/>
        <v>2</v>
      </c>
      <c r="K198" s="26">
        <v>40</v>
      </c>
      <c r="L198" s="26">
        <f t="shared" si="42"/>
        <v>30</v>
      </c>
      <c r="M198" t="str">
        <f t="shared" si="40"/>
        <v>Sprint2Medium</v>
      </c>
      <c r="N198" s="1">
        <f t="shared" si="41"/>
        <v>40</v>
      </c>
      <c r="O198" s="26">
        <v>30</v>
      </c>
      <c r="P198" s="34">
        <v>2</v>
      </c>
    </row>
    <row r="199" spans="1:16" x14ac:dyDescent="0.25">
      <c r="A199" s="16" t="s">
        <v>133</v>
      </c>
      <c r="B199" s="16" t="s">
        <v>154</v>
      </c>
      <c r="C199" t="s">
        <v>195</v>
      </c>
      <c r="D199" s="34">
        <v>2</v>
      </c>
      <c r="E199" s="16" t="s">
        <v>184</v>
      </c>
      <c r="F199" s="16" t="s">
        <v>184</v>
      </c>
      <c r="G199" s="16">
        <v>8</v>
      </c>
      <c r="H199" s="16" t="s">
        <v>278</v>
      </c>
      <c r="I199" t="str">
        <f t="shared" si="39"/>
        <v>Medium</v>
      </c>
      <c r="J199" s="39">
        <f t="shared" si="38"/>
        <v>4</v>
      </c>
      <c r="K199" s="26">
        <v>70</v>
      </c>
      <c r="L199" s="26">
        <f t="shared" si="42"/>
        <v>30</v>
      </c>
      <c r="M199" t="str">
        <f t="shared" si="40"/>
        <v>Sprint2Medium</v>
      </c>
      <c r="N199" s="1">
        <f t="shared" si="41"/>
        <v>70</v>
      </c>
      <c r="O199" s="26">
        <v>30</v>
      </c>
      <c r="P199" s="34">
        <v>2</v>
      </c>
    </row>
    <row r="200" spans="1:16" x14ac:dyDescent="0.25">
      <c r="A200" s="16" t="s">
        <v>133</v>
      </c>
      <c r="B200" s="16" t="s">
        <v>154</v>
      </c>
      <c r="C200" t="s">
        <v>195</v>
      </c>
      <c r="D200" s="34">
        <v>2</v>
      </c>
      <c r="E200" s="16" t="s">
        <v>184</v>
      </c>
      <c r="F200" s="16" t="s">
        <v>184</v>
      </c>
      <c r="G200" s="16">
        <v>12</v>
      </c>
      <c r="H200" s="16" t="s">
        <v>279</v>
      </c>
      <c r="I200" t="str">
        <f t="shared" si="39"/>
        <v>High</v>
      </c>
      <c r="J200" s="39">
        <f t="shared" si="38"/>
        <v>6</v>
      </c>
      <c r="K200" s="26">
        <v>90</v>
      </c>
      <c r="L200" s="26">
        <f>25*D200</f>
        <v>50</v>
      </c>
      <c r="M200" t="str">
        <f t="shared" si="40"/>
        <v>Sprint2High</v>
      </c>
      <c r="N200" s="1">
        <f t="shared" si="41"/>
        <v>90</v>
      </c>
      <c r="O200" s="26">
        <v>50</v>
      </c>
      <c r="P200" s="34">
        <v>2</v>
      </c>
    </row>
    <row r="201" spans="1:16" x14ac:dyDescent="0.25">
      <c r="A201" s="16" t="s">
        <v>133</v>
      </c>
      <c r="B201" s="16" t="s">
        <v>154</v>
      </c>
      <c r="C201" t="s">
        <v>195</v>
      </c>
      <c r="D201" s="34">
        <v>2</v>
      </c>
      <c r="E201" s="16" t="s">
        <v>184</v>
      </c>
      <c r="F201" s="16" t="s">
        <v>184</v>
      </c>
      <c r="G201" s="16">
        <v>20</v>
      </c>
      <c r="H201" s="16" t="s">
        <v>280</v>
      </c>
      <c r="I201" t="str">
        <f t="shared" si="39"/>
        <v>High</v>
      </c>
      <c r="J201" s="39">
        <f t="shared" si="38"/>
        <v>10</v>
      </c>
      <c r="K201" s="26">
        <v>100</v>
      </c>
      <c r="L201" s="26">
        <f t="shared" ref="L201:L204" si="43">25*D201</f>
        <v>50</v>
      </c>
      <c r="M201" t="str">
        <f t="shared" si="40"/>
        <v>Sprint2High</v>
      </c>
      <c r="N201" s="1">
        <f t="shared" si="41"/>
        <v>100</v>
      </c>
      <c r="O201" s="26">
        <v>50</v>
      </c>
      <c r="P201" s="34">
        <v>2</v>
      </c>
    </row>
    <row r="202" spans="1:16" x14ac:dyDescent="0.25">
      <c r="A202" s="16" t="s">
        <v>133</v>
      </c>
      <c r="B202" s="16" t="s">
        <v>154</v>
      </c>
      <c r="C202" t="s">
        <v>195</v>
      </c>
      <c r="D202" s="34">
        <v>2</v>
      </c>
      <c r="E202" s="16" t="s">
        <v>184</v>
      </c>
      <c r="F202" s="16" t="s">
        <v>184</v>
      </c>
      <c r="G202" s="16">
        <v>32</v>
      </c>
      <c r="H202" s="16" t="s">
        <v>281</v>
      </c>
      <c r="I202" t="str">
        <f t="shared" si="39"/>
        <v>Super</v>
      </c>
      <c r="J202" s="39">
        <f t="shared" si="38"/>
        <v>16</v>
      </c>
      <c r="K202" s="26">
        <v>130</v>
      </c>
      <c r="L202" s="26">
        <f t="shared" si="43"/>
        <v>50</v>
      </c>
      <c r="M202" t="str">
        <f t="shared" si="40"/>
        <v>Sprint2Super</v>
      </c>
      <c r="N202" s="1">
        <f t="shared" si="41"/>
        <v>130</v>
      </c>
      <c r="O202" s="26">
        <v>50</v>
      </c>
      <c r="P202" s="34">
        <v>2</v>
      </c>
    </row>
    <row r="203" spans="1:16" x14ac:dyDescent="0.25">
      <c r="A203" s="16" t="s">
        <v>133</v>
      </c>
      <c r="B203" s="16" t="s">
        <v>154</v>
      </c>
      <c r="C203" t="s">
        <v>195</v>
      </c>
      <c r="D203" s="34">
        <v>2</v>
      </c>
      <c r="E203" s="16" t="s">
        <v>184</v>
      </c>
      <c r="F203" s="16" t="s">
        <v>184</v>
      </c>
      <c r="G203" s="16">
        <v>40</v>
      </c>
      <c r="H203" s="16" t="s">
        <v>282</v>
      </c>
      <c r="I203" t="str">
        <f t="shared" si="39"/>
        <v>Super</v>
      </c>
      <c r="J203" s="39">
        <f t="shared" si="38"/>
        <v>20</v>
      </c>
      <c r="K203" s="26">
        <v>150</v>
      </c>
      <c r="L203" s="26">
        <f t="shared" si="43"/>
        <v>50</v>
      </c>
      <c r="M203" t="str">
        <f t="shared" si="40"/>
        <v>Sprint2Super</v>
      </c>
      <c r="N203" s="1">
        <f t="shared" si="41"/>
        <v>150</v>
      </c>
      <c r="O203" s="26">
        <v>50</v>
      </c>
      <c r="P203" s="34">
        <v>2</v>
      </c>
    </row>
    <row r="204" spans="1:16" x14ac:dyDescent="0.25">
      <c r="A204" s="16" t="s">
        <v>133</v>
      </c>
      <c r="B204" s="16" t="s">
        <v>154</v>
      </c>
      <c r="C204" t="s">
        <v>195</v>
      </c>
      <c r="D204" s="34">
        <v>2</v>
      </c>
      <c r="E204" s="16" t="s">
        <v>184</v>
      </c>
      <c r="F204" s="16" t="s">
        <v>184</v>
      </c>
      <c r="G204" s="16">
        <v>60</v>
      </c>
      <c r="H204" s="16" t="s">
        <v>283</v>
      </c>
      <c r="I204" t="str">
        <f t="shared" si="39"/>
        <v>Super</v>
      </c>
      <c r="J204" s="39">
        <f t="shared" si="38"/>
        <v>30</v>
      </c>
      <c r="K204" s="26">
        <v>225</v>
      </c>
      <c r="L204" s="26">
        <f t="shared" si="43"/>
        <v>50</v>
      </c>
      <c r="M204" t="str">
        <f t="shared" si="40"/>
        <v>Sprint2Super</v>
      </c>
      <c r="N204" s="1">
        <f t="shared" si="41"/>
        <v>225</v>
      </c>
      <c r="O204" s="26">
        <v>50</v>
      </c>
      <c r="P204" s="34">
        <v>2</v>
      </c>
    </row>
    <row r="205" spans="1:16" x14ac:dyDescent="0.25">
      <c r="A205" s="16" t="s">
        <v>133</v>
      </c>
      <c r="B205" s="16" t="s">
        <v>154</v>
      </c>
      <c r="C205" t="s">
        <v>195</v>
      </c>
      <c r="D205" s="34">
        <v>3</v>
      </c>
      <c r="E205" s="16" t="s">
        <v>184</v>
      </c>
      <c r="F205" s="16" t="s">
        <v>184</v>
      </c>
      <c r="G205" s="16">
        <v>1</v>
      </c>
      <c r="H205" s="16" t="s">
        <v>275</v>
      </c>
      <c r="I205" t="str">
        <f t="shared" si="39"/>
        <v>None</v>
      </c>
      <c r="J205" s="39">
        <f t="shared" si="38"/>
        <v>0.33333333333333331</v>
      </c>
      <c r="K205" s="26">
        <v>20</v>
      </c>
      <c r="L205" s="26">
        <f>15*D205</f>
        <v>45</v>
      </c>
      <c r="M205" t="str">
        <f t="shared" si="40"/>
        <v>Sprint3None</v>
      </c>
      <c r="N205" s="1">
        <f t="shared" si="41"/>
        <v>20</v>
      </c>
      <c r="O205" s="26">
        <v>45</v>
      </c>
      <c r="P205" s="34">
        <v>3</v>
      </c>
    </row>
    <row r="206" spans="1:16" x14ac:dyDescent="0.25">
      <c r="A206" s="16" t="s">
        <v>133</v>
      </c>
      <c r="B206" s="16" t="s">
        <v>154</v>
      </c>
      <c r="C206" t="s">
        <v>195</v>
      </c>
      <c r="D206" s="34">
        <v>3</v>
      </c>
      <c r="E206" s="16" t="s">
        <v>184</v>
      </c>
      <c r="F206" s="16" t="s">
        <v>184</v>
      </c>
      <c r="G206" s="16">
        <v>2</v>
      </c>
      <c r="H206" s="16" t="s">
        <v>276</v>
      </c>
      <c r="I206" t="str">
        <f t="shared" si="39"/>
        <v>Low</v>
      </c>
      <c r="J206" s="39">
        <f t="shared" si="38"/>
        <v>0.66666666666666663</v>
      </c>
      <c r="K206" s="26">
        <v>25</v>
      </c>
      <c r="L206" s="26">
        <f t="shared" ref="L206:L208" si="44">15*D206</f>
        <v>45</v>
      </c>
      <c r="M206" t="str">
        <f t="shared" si="40"/>
        <v>Sprint3Low</v>
      </c>
      <c r="N206" s="1">
        <f t="shared" si="41"/>
        <v>25</v>
      </c>
      <c r="O206" s="26">
        <v>45</v>
      </c>
      <c r="P206" s="34">
        <v>3</v>
      </c>
    </row>
    <row r="207" spans="1:16" x14ac:dyDescent="0.25">
      <c r="A207" s="16" t="s">
        <v>133</v>
      </c>
      <c r="B207" s="16" t="s">
        <v>154</v>
      </c>
      <c r="C207" t="s">
        <v>195</v>
      </c>
      <c r="D207" s="34">
        <v>3</v>
      </c>
      <c r="E207" s="16" t="s">
        <v>184</v>
      </c>
      <c r="F207" s="16" t="s">
        <v>184</v>
      </c>
      <c r="G207" s="16">
        <v>4</v>
      </c>
      <c r="H207" s="16" t="s">
        <v>277</v>
      </c>
      <c r="I207" t="str">
        <f t="shared" si="39"/>
        <v>Low</v>
      </c>
      <c r="J207" s="39">
        <f t="shared" si="38"/>
        <v>1.3333333333333333</v>
      </c>
      <c r="K207" s="26">
        <v>40</v>
      </c>
      <c r="L207" s="26">
        <f t="shared" si="44"/>
        <v>45</v>
      </c>
      <c r="M207" t="str">
        <f t="shared" si="40"/>
        <v>Sprint3Low</v>
      </c>
      <c r="N207" s="1">
        <f t="shared" si="41"/>
        <v>40</v>
      </c>
      <c r="O207" s="26">
        <v>45</v>
      </c>
      <c r="P207" s="34">
        <v>3</v>
      </c>
    </row>
    <row r="208" spans="1:16" x14ac:dyDescent="0.25">
      <c r="A208" s="16" t="s">
        <v>133</v>
      </c>
      <c r="B208" s="16" t="s">
        <v>154</v>
      </c>
      <c r="C208" t="s">
        <v>195</v>
      </c>
      <c r="D208" s="34">
        <v>3</v>
      </c>
      <c r="E208" s="16" t="s">
        <v>184</v>
      </c>
      <c r="F208" s="16" t="s">
        <v>184</v>
      </c>
      <c r="G208" s="16">
        <v>8</v>
      </c>
      <c r="H208" s="16" t="s">
        <v>278</v>
      </c>
      <c r="I208" t="str">
        <f t="shared" si="39"/>
        <v>Medium</v>
      </c>
      <c r="J208" s="39">
        <f t="shared" si="38"/>
        <v>2.6666666666666665</v>
      </c>
      <c r="K208" s="26">
        <v>70</v>
      </c>
      <c r="L208" s="26">
        <f t="shared" si="44"/>
        <v>45</v>
      </c>
      <c r="M208" t="str">
        <f t="shared" si="40"/>
        <v>Sprint3Medium</v>
      </c>
      <c r="N208" s="1">
        <f t="shared" si="41"/>
        <v>70</v>
      </c>
      <c r="O208" s="26">
        <v>45</v>
      </c>
      <c r="P208" s="34">
        <v>3</v>
      </c>
    </row>
    <row r="209" spans="1:16" x14ac:dyDescent="0.25">
      <c r="A209" s="16" t="s">
        <v>133</v>
      </c>
      <c r="B209" s="16" t="s">
        <v>154</v>
      </c>
      <c r="C209" t="s">
        <v>195</v>
      </c>
      <c r="D209" s="34">
        <v>3</v>
      </c>
      <c r="E209" s="16" t="s">
        <v>184</v>
      </c>
      <c r="F209" s="16" t="s">
        <v>184</v>
      </c>
      <c r="G209" s="16">
        <v>12</v>
      </c>
      <c r="H209" s="16" t="s">
        <v>279</v>
      </c>
      <c r="I209" t="str">
        <f t="shared" si="39"/>
        <v>Medium</v>
      </c>
      <c r="J209" s="39">
        <f t="shared" si="38"/>
        <v>4</v>
      </c>
      <c r="K209" s="26">
        <v>90</v>
      </c>
      <c r="L209" s="26">
        <f>25*D209</f>
        <v>75</v>
      </c>
      <c r="M209" t="str">
        <f t="shared" si="40"/>
        <v>Sprint3Medium</v>
      </c>
      <c r="N209" s="1">
        <f t="shared" si="41"/>
        <v>90</v>
      </c>
      <c r="O209" s="26">
        <v>75</v>
      </c>
      <c r="P209" s="34">
        <v>3</v>
      </c>
    </row>
    <row r="210" spans="1:16" x14ac:dyDescent="0.25">
      <c r="A210" s="16" t="s">
        <v>133</v>
      </c>
      <c r="B210" s="16" t="s">
        <v>154</v>
      </c>
      <c r="C210" t="s">
        <v>195</v>
      </c>
      <c r="D210" s="34">
        <v>3</v>
      </c>
      <c r="E210" s="16" t="s">
        <v>184</v>
      </c>
      <c r="F210" s="16" t="s">
        <v>184</v>
      </c>
      <c r="G210" s="16">
        <v>20</v>
      </c>
      <c r="H210" s="16" t="s">
        <v>280</v>
      </c>
      <c r="I210" t="str">
        <f t="shared" si="39"/>
        <v>High</v>
      </c>
      <c r="J210" s="39">
        <f t="shared" si="38"/>
        <v>6.666666666666667</v>
      </c>
      <c r="K210" s="26">
        <v>100</v>
      </c>
      <c r="L210" s="26">
        <f t="shared" ref="L210:L213" si="45">25*D210</f>
        <v>75</v>
      </c>
      <c r="M210" t="str">
        <f t="shared" si="40"/>
        <v>Sprint3High</v>
      </c>
      <c r="N210" s="1">
        <f t="shared" si="41"/>
        <v>100</v>
      </c>
      <c r="O210" s="26">
        <v>75</v>
      </c>
      <c r="P210" s="34">
        <v>3</v>
      </c>
    </row>
    <row r="211" spans="1:16" x14ac:dyDescent="0.25">
      <c r="A211" s="16" t="s">
        <v>133</v>
      </c>
      <c r="B211" s="16" t="s">
        <v>154</v>
      </c>
      <c r="C211" t="s">
        <v>195</v>
      </c>
      <c r="D211" s="34">
        <v>3</v>
      </c>
      <c r="E211" s="16" t="s">
        <v>184</v>
      </c>
      <c r="F211" s="16" t="s">
        <v>184</v>
      </c>
      <c r="G211" s="16">
        <v>32</v>
      </c>
      <c r="H211" s="16" t="s">
        <v>281</v>
      </c>
      <c r="I211" t="str">
        <f t="shared" si="39"/>
        <v>High</v>
      </c>
      <c r="J211" s="39">
        <f t="shared" si="38"/>
        <v>10.666666666666666</v>
      </c>
      <c r="K211" s="26">
        <v>130</v>
      </c>
      <c r="L211" s="26">
        <f t="shared" si="45"/>
        <v>75</v>
      </c>
      <c r="M211" t="str">
        <f t="shared" si="40"/>
        <v>Sprint3High</v>
      </c>
      <c r="N211" s="1">
        <f t="shared" si="41"/>
        <v>130</v>
      </c>
      <c r="O211" s="26">
        <v>75</v>
      </c>
      <c r="P211" s="34">
        <v>3</v>
      </c>
    </row>
    <row r="212" spans="1:16" x14ac:dyDescent="0.25">
      <c r="A212" s="16" t="s">
        <v>133</v>
      </c>
      <c r="B212" s="16" t="s">
        <v>154</v>
      </c>
      <c r="C212" t="s">
        <v>195</v>
      </c>
      <c r="D212" s="34">
        <v>3</v>
      </c>
      <c r="E212" s="16" t="s">
        <v>184</v>
      </c>
      <c r="F212" s="16" t="s">
        <v>184</v>
      </c>
      <c r="G212" s="16">
        <v>40</v>
      </c>
      <c r="H212" s="16" t="s">
        <v>282</v>
      </c>
      <c r="I212" t="str">
        <f t="shared" si="39"/>
        <v>Super</v>
      </c>
      <c r="J212" s="39">
        <f t="shared" si="38"/>
        <v>13.333333333333334</v>
      </c>
      <c r="K212" s="26">
        <v>150</v>
      </c>
      <c r="L212" s="26">
        <f t="shared" si="45"/>
        <v>75</v>
      </c>
      <c r="M212" t="str">
        <f t="shared" si="40"/>
        <v>Sprint3Super</v>
      </c>
      <c r="N212" s="1">
        <f t="shared" si="41"/>
        <v>150</v>
      </c>
      <c r="O212" s="26">
        <v>75</v>
      </c>
      <c r="P212" s="34">
        <v>3</v>
      </c>
    </row>
    <row r="213" spans="1:16" x14ac:dyDescent="0.25">
      <c r="A213" s="16" t="s">
        <v>133</v>
      </c>
      <c r="B213" s="16" t="s">
        <v>154</v>
      </c>
      <c r="C213" t="s">
        <v>195</v>
      </c>
      <c r="D213" s="34">
        <v>3</v>
      </c>
      <c r="E213" s="16" t="s">
        <v>184</v>
      </c>
      <c r="F213" s="16" t="s">
        <v>184</v>
      </c>
      <c r="G213" s="16">
        <v>60</v>
      </c>
      <c r="H213" s="16" t="s">
        <v>283</v>
      </c>
      <c r="I213" t="str">
        <f t="shared" si="39"/>
        <v>Super</v>
      </c>
      <c r="J213" s="39">
        <f t="shared" si="38"/>
        <v>20</v>
      </c>
      <c r="K213" s="26">
        <v>225</v>
      </c>
      <c r="L213" s="26">
        <f t="shared" si="45"/>
        <v>75</v>
      </c>
      <c r="M213" t="str">
        <f t="shared" si="40"/>
        <v>Sprint3Super</v>
      </c>
      <c r="N213" s="1">
        <f t="shared" si="41"/>
        <v>225</v>
      </c>
      <c r="O213" s="26">
        <v>75</v>
      </c>
      <c r="P213" s="34">
        <v>3</v>
      </c>
    </row>
    <row r="214" spans="1:16" x14ac:dyDescent="0.25">
      <c r="A214" s="16" t="s">
        <v>133</v>
      </c>
      <c r="B214" s="16" t="s">
        <v>154</v>
      </c>
      <c r="C214" t="s">
        <v>195</v>
      </c>
      <c r="D214" s="34">
        <v>4</v>
      </c>
      <c r="E214" s="16" t="s">
        <v>184</v>
      </c>
      <c r="F214" s="16" t="s">
        <v>184</v>
      </c>
      <c r="G214" s="16">
        <v>1</v>
      </c>
      <c r="H214" s="16" t="s">
        <v>275</v>
      </c>
      <c r="I214" t="str">
        <f t="shared" si="39"/>
        <v>None</v>
      </c>
      <c r="J214" s="39">
        <f t="shared" si="38"/>
        <v>0.25</v>
      </c>
      <c r="K214" s="26">
        <v>20</v>
      </c>
      <c r="L214" s="26">
        <f>15*D214</f>
        <v>60</v>
      </c>
      <c r="M214" t="str">
        <f t="shared" si="40"/>
        <v>Sprint4None</v>
      </c>
      <c r="N214" s="1">
        <f t="shared" si="41"/>
        <v>20</v>
      </c>
      <c r="O214" s="26">
        <v>60</v>
      </c>
      <c r="P214" s="34">
        <v>4</v>
      </c>
    </row>
    <row r="215" spans="1:16" x14ac:dyDescent="0.25">
      <c r="A215" s="16" t="s">
        <v>133</v>
      </c>
      <c r="B215" s="16" t="s">
        <v>154</v>
      </c>
      <c r="C215" t="s">
        <v>195</v>
      </c>
      <c r="D215" s="34">
        <v>4</v>
      </c>
      <c r="E215" s="16" t="s">
        <v>184</v>
      </c>
      <c r="F215" s="16" t="s">
        <v>184</v>
      </c>
      <c r="G215" s="16">
        <v>2</v>
      </c>
      <c r="H215" s="16" t="s">
        <v>276</v>
      </c>
      <c r="I215" t="str">
        <f t="shared" si="39"/>
        <v>Low</v>
      </c>
      <c r="J215" s="39">
        <f t="shared" si="38"/>
        <v>0.5</v>
      </c>
      <c r="K215" s="26">
        <v>25</v>
      </c>
      <c r="L215" s="26">
        <f t="shared" ref="L215:L217" si="46">15*D215</f>
        <v>60</v>
      </c>
      <c r="M215" t="str">
        <f t="shared" si="40"/>
        <v>Sprint4Low</v>
      </c>
      <c r="N215" s="1">
        <f t="shared" si="41"/>
        <v>25</v>
      </c>
      <c r="O215" s="26">
        <v>60</v>
      </c>
      <c r="P215" s="34">
        <v>4</v>
      </c>
    </row>
    <row r="216" spans="1:16" x14ac:dyDescent="0.25">
      <c r="A216" s="16" t="s">
        <v>133</v>
      </c>
      <c r="B216" s="16" t="s">
        <v>154</v>
      </c>
      <c r="C216" t="s">
        <v>195</v>
      </c>
      <c r="D216" s="34">
        <v>4</v>
      </c>
      <c r="E216" s="16" t="s">
        <v>184</v>
      </c>
      <c r="F216" s="16" t="s">
        <v>184</v>
      </c>
      <c r="G216" s="16">
        <v>4</v>
      </c>
      <c r="H216" s="16" t="s">
        <v>277</v>
      </c>
      <c r="I216" t="str">
        <f t="shared" si="39"/>
        <v>Low</v>
      </c>
      <c r="J216" s="39">
        <f t="shared" si="38"/>
        <v>1</v>
      </c>
      <c r="K216" s="26">
        <v>40</v>
      </c>
      <c r="L216" s="26">
        <f t="shared" si="46"/>
        <v>60</v>
      </c>
      <c r="M216" t="str">
        <f t="shared" si="40"/>
        <v>Sprint4Low</v>
      </c>
      <c r="N216" s="1">
        <f t="shared" si="41"/>
        <v>40</v>
      </c>
      <c r="O216" s="26">
        <v>60</v>
      </c>
      <c r="P216" s="34">
        <v>4</v>
      </c>
    </row>
    <row r="217" spans="1:16" x14ac:dyDescent="0.25">
      <c r="A217" s="16" t="s">
        <v>133</v>
      </c>
      <c r="B217" s="16" t="s">
        <v>154</v>
      </c>
      <c r="C217" t="s">
        <v>195</v>
      </c>
      <c r="D217" s="34">
        <v>4</v>
      </c>
      <c r="E217" s="16" t="s">
        <v>184</v>
      </c>
      <c r="F217" s="16" t="s">
        <v>184</v>
      </c>
      <c r="G217" s="16">
        <v>8</v>
      </c>
      <c r="H217" s="16" t="s">
        <v>278</v>
      </c>
      <c r="I217" t="str">
        <f t="shared" si="39"/>
        <v>Medium</v>
      </c>
      <c r="J217" s="39">
        <f t="shared" si="38"/>
        <v>2</v>
      </c>
      <c r="K217" s="26">
        <v>70</v>
      </c>
      <c r="L217" s="26">
        <f t="shared" si="46"/>
        <v>60</v>
      </c>
      <c r="M217" t="str">
        <f t="shared" si="40"/>
        <v>Sprint4Medium</v>
      </c>
      <c r="N217" s="1">
        <f t="shared" si="41"/>
        <v>70</v>
      </c>
      <c r="O217" s="26">
        <v>60</v>
      </c>
      <c r="P217" s="34">
        <v>4</v>
      </c>
    </row>
    <row r="218" spans="1:16" x14ac:dyDescent="0.25">
      <c r="A218" s="16" t="s">
        <v>133</v>
      </c>
      <c r="B218" s="16" t="s">
        <v>154</v>
      </c>
      <c r="C218" t="s">
        <v>195</v>
      </c>
      <c r="D218" s="34">
        <v>4</v>
      </c>
      <c r="E218" s="16" t="s">
        <v>184</v>
      </c>
      <c r="F218" s="16" t="s">
        <v>184</v>
      </c>
      <c r="G218" s="16">
        <v>12</v>
      </c>
      <c r="H218" s="16" t="s">
        <v>279</v>
      </c>
      <c r="I218" t="str">
        <f t="shared" si="39"/>
        <v>Medium</v>
      </c>
      <c r="J218" s="39">
        <f t="shared" si="38"/>
        <v>3</v>
      </c>
      <c r="K218" s="26">
        <v>90</v>
      </c>
      <c r="L218" s="26">
        <f>25*D218</f>
        <v>100</v>
      </c>
      <c r="M218" t="str">
        <f t="shared" si="40"/>
        <v>Sprint4Medium</v>
      </c>
      <c r="N218" s="1">
        <f t="shared" si="41"/>
        <v>90</v>
      </c>
      <c r="O218" s="26">
        <v>100</v>
      </c>
      <c r="P218" s="34">
        <v>4</v>
      </c>
    </row>
    <row r="219" spans="1:16" x14ac:dyDescent="0.25">
      <c r="A219" s="16" t="s">
        <v>133</v>
      </c>
      <c r="B219" s="16" t="s">
        <v>154</v>
      </c>
      <c r="C219" t="s">
        <v>195</v>
      </c>
      <c r="D219" s="34">
        <v>4</v>
      </c>
      <c r="E219" s="16" t="s">
        <v>184</v>
      </c>
      <c r="F219" s="16" t="s">
        <v>184</v>
      </c>
      <c r="G219" s="16">
        <v>20</v>
      </c>
      <c r="H219" s="16" t="s">
        <v>280</v>
      </c>
      <c r="I219" t="str">
        <f t="shared" si="39"/>
        <v>High</v>
      </c>
      <c r="J219" s="39">
        <f t="shared" si="38"/>
        <v>5</v>
      </c>
      <c r="K219" s="26">
        <v>100</v>
      </c>
      <c r="L219" s="26">
        <f t="shared" ref="L219:L222" si="47">25*D219</f>
        <v>100</v>
      </c>
      <c r="M219" t="str">
        <f t="shared" si="40"/>
        <v>Sprint4High</v>
      </c>
      <c r="N219" s="1">
        <f t="shared" si="41"/>
        <v>100</v>
      </c>
      <c r="O219" s="26">
        <v>100</v>
      </c>
      <c r="P219" s="34">
        <v>4</v>
      </c>
    </row>
    <row r="220" spans="1:16" x14ac:dyDescent="0.25">
      <c r="A220" s="16" t="s">
        <v>133</v>
      </c>
      <c r="B220" s="16" t="s">
        <v>154</v>
      </c>
      <c r="C220" t="s">
        <v>195</v>
      </c>
      <c r="D220" s="34">
        <v>4</v>
      </c>
      <c r="E220" s="16" t="s">
        <v>184</v>
      </c>
      <c r="F220" s="16" t="s">
        <v>184</v>
      </c>
      <c r="G220" s="16">
        <v>32</v>
      </c>
      <c r="H220" s="16" t="s">
        <v>281</v>
      </c>
      <c r="I220" t="str">
        <f t="shared" si="39"/>
        <v>High</v>
      </c>
      <c r="J220" s="39">
        <f t="shared" si="38"/>
        <v>8</v>
      </c>
      <c r="K220" s="26">
        <v>130</v>
      </c>
      <c r="L220" s="26">
        <f t="shared" si="47"/>
        <v>100</v>
      </c>
      <c r="M220" t="str">
        <f t="shared" si="40"/>
        <v>Sprint4High</v>
      </c>
      <c r="N220" s="1">
        <f t="shared" si="41"/>
        <v>130</v>
      </c>
      <c r="O220" s="26">
        <v>100</v>
      </c>
      <c r="P220" s="34">
        <v>4</v>
      </c>
    </row>
    <row r="221" spans="1:16" x14ac:dyDescent="0.25">
      <c r="A221" s="16" t="s">
        <v>133</v>
      </c>
      <c r="B221" s="16" t="s">
        <v>154</v>
      </c>
      <c r="C221" t="s">
        <v>195</v>
      </c>
      <c r="D221" s="34">
        <v>4</v>
      </c>
      <c r="E221" s="16" t="s">
        <v>184</v>
      </c>
      <c r="F221" s="16" t="s">
        <v>184</v>
      </c>
      <c r="G221" s="16">
        <v>40</v>
      </c>
      <c r="H221" s="16" t="s">
        <v>282</v>
      </c>
      <c r="I221" t="str">
        <f t="shared" si="39"/>
        <v>High</v>
      </c>
      <c r="J221" s="39">
        <f t="shared" si="38"/>
        <v>10</v>
      </c>
      <c r="K221" s="26">
        <v>150</v>
      </c>
      <c r="L221" s="26">
        <f t="shared" si="47"/>
        <v>100</v>
      </c>
      <c r="M221" t="str">
        <f t="shared" si="40"/>
        <v>Sprint4High</v>
      </c>
      <c r="N221" s="1">
        <f t="shared" si="41"/>
        <v>150</v>
      </c>
      <c r="O221" s="26">
        <v>100</v>
      </c>
      <c r="P221" s="34">
        <v>4</v>
      </c>
    </row>
    <row r="222" spans="1:16" x14ac:dyDescent="0.25">
      <c r="A222" s="16" t="s">
        <v>133</v>
      </c>
      <c r="B222" s="16" t="s">
        <v>154</v>
      </c>
      <c r="C222" t="s">
        <v>195</v>
      </c>
      <c r="D222" s="34">
        <v>4</v>
      </c>
      <c r="E222" s="16" t="s">
        <v>184</v>
      </c>
      <c r="F222" s="16" t="s">
        <v>184</v>
      </c>
      <c r="G222" s="16">
        <v>60</v>
      </c>
      <c r="H222" s="16" t="s">
        <v>283</v>
      </c>
      <c r="I222" t="str">
        <f t="shared" si="39"/>
        <v>Super</v>
      </c>
      <c r="J222" s="39">
        <f t="shared" si="38"/>
        <v>15</v>
      </c>
      <c r="K222" s="26">
        <v>225</v>
      </c>
      <c r="L222" s="26">
        <f t="shared" si="47"/>
        <v>100</v>
      </c>
      <c r="M222" t="str">
        <f t="shared" si="40"/>
        <v>Sprint4Super</v>
      </c>
      <c r="N222" s="1">
        <f t="shared" si="41"/>
        <v>225</v>
      </c>
      <c r="O222" s="26">
        <v>100</v>
      </c>
      <c r="P222" s="34">
        <v>4</v>
      </c>
    </row>
    <row r="223" spans="1:16" x14ac:dyDescent="0.25">
      <c r="A223" s="16" t="s">
        <v>133</v>
      </c>
      <c r="B223" s="16" t="s">
        <v>154</v>
      </c>
      <c r="C223" t="s">
        <v>195</v>
      </c>
      <c r="D223" s="34">
        <v>5</v>
      </c>
      <c r="E223" s="16" t="s">
        <v>184</v>
      </c>
      <c r="F223" s="16" t="s">
        <v>184</v>
      </c>
      <c r="G223" s="16">
        <v>1</v>
      </c>
      <c r="H223" s="16" t="s">
        <v>275</v>
      </c>
      <c r="I223" t="str">
        <f t="shared" si="39"/>
        <v>None</v>
      </c>
      <c r="J223" s="39">
        <f t="shared" si="38"/>
        <v>0.2</v>
      </c>
      <c r="K223" s="26">
        <v>20</v>
      </c>
      <c r="L223" s="26">
        <f>15*D223</f>
        <v>75</v>
      </c>
      <c r="M223" t="str">
        <f t="shared" si="40"/>
        <v>Sprint5None</v>
      </c>
      <c r="N223" s="1">
        <f t="shared" si="41"/>
        <v>20</v>
      </c>
      <c r="O223" s="26">
        <v>75</v>
      </c>
      <c r="P223" s="34">
        <v>5</v>
      </c>
    </row>
    <row r="224" spans="1:16" x14ac:dyDescent="0.25">
      <c r="A224" s="16" t="s">
        <v>133</v>
      </c>
      <c r="B224" s="16" t="s">
        <v>154</v>
      </c>
      <c r="C224" t="s">
        <v>195</v>
      </c>
      <c r="D224" s="34">
        <v>5</v>
      </c>
      <c r="E224" s="16" t="s">
        <v>184</v>
      </c>
      <c r="F224" s="16" t="s">
        <v>184</v>
      </c>
      <c r="G224" s="16">
        <v>2</v>
      </c>
      <c r="H224" s="16" t="s">
        <v>276</v>
      </c>
      <c r="I224" t="str">
        <f t="shared" si="39"/>
        <v>None</v>
      </c>
      <c r="J224" s="39">
        <f t="shared" si="38"/>
        <v>0.4</v>
      </c>
      <c r="K224" s="26">
        <v>25</v>
      </c>
      <c r="L224" s="26">
        <f t="shared" ref="L224:L226" si="48">15*D224</f>
        <v>75</v>
      </c>
      <c r="M224" t="str">
        <f t="shared" si="40"/>
        <v>Sprint5None</v>
      </c>
      <c r="N224" s="1">
        <f t="shared" si="41"/>
        <v>25</v>
      </c>
      <c r="O224" s="26">
        <v>75</v>
      </c>
      <c r="P224" s="34">
        <v>5</v>
      </c>
    </row>
    <row r="225" spans="1:16" x14ac:dyDescent="0.25">
      <c r="A225" s="16" t="s">
        <v>133</v>
      </c>
      <c r="B225" s="16" t="s">
        <v>154</v>
      </c>
      <c r="C225" t="s">
        <v>195</v>
      </c>
      <c r="D225" s="34">
        <v>5</v>
      </c>
      <c r="E225" s="16" t="s">
        <v>184</v>
      </c>
      <c r="F225" s="16" t="s">
        <v>184</v>
      </c>
      <c r="G225" s="16">
        <v>4</v>
      </c>
      <c r="H225" s="16" t="s">
        <v>277</v>
      </c>
      <c r="I225" t="str">
        <f t="shared" si="39"/>
        <v>Low</v>
      </c>
      <c r="J225" s="39">
        <f t="shared" si="38"/>
        <v>0.8</v>
      </c>
      <c r="K225" s="26">
        <v>40</v>
      </c>
      <c r="L225" s="26">
        <f t="shared" si="48"/>
        <v>75</v>
      </c>
      <c r="M225" t="str">
        <f t="shared" si="40"/>
        <v>Sprint5Low</v>
      </c>
      <c r="N225" s="1">
        <f t="shared" si="41"/>
        <v>40</v>
      </c>
      <c r="O225" s="26">
        <v>75</v>
      </c>
      <c r="P225" s="34">
        <v>5</v>
      </c>
    </row>
    <row r="226" spans="1:16" x14ac:dyDescent="0.25">
      <c r="A226" s="16" t="s">
        <v>133</v>
      </c>
      <c r="B226" s="16" t="s">
        <v>154</v>
      </c>
      <c r="C226" t="s">
        <v>195</v>
      </c>
      <c r="D226" s="34">
        <v>5</v>
      </c>
      <c r="E226" s="16" t="s">
        <v>184</v>
      </c>
      <c r="F226" s="16" t="s">
        <v>184</v>
      </c>
      <c r="G226" s="16">
        <v>8</v>
      </c>
      <c r="H226" s="16" t="s">
        <v>278</v>
      </c>
      <c r="I226" t="str">
        <f t="shared" si="39"/>
        <v>Low</v>
      </c>
      <c r="J226" s="39">
        <f t="shared" si="38"/>
        <v>1.6</v>
      </c>
      <c r="K226" s="26">
        <v>70</v>
      </c>
      <c r="L226" s="26">
        <f t="shared" si="48"/>
        <v>75</v>
      </c>
      <c r="M226" t="str">
        <f t="shared" si="40"/>
        <v>Sprint5Low</v>
      </c>
      <c r="N226" s="1">
        <f t="shared" si="41"/>
        <v>70</v>
      </c>
      <c r="O226" s="26">
        <v>75</v>
      </c>
      <c r="P226" s="34">
        <v>5</v>
      </c>
    </row>
    <row r="227" spans="1:16" x14ac:dyDescent="0.25">
      <c r="A227" s="16" t="s">
        <v>133</v>
      </c>
      <c r="B227" s="16" t="s">
        <v>154</v>
      </c>
      <c r="C227" t="s">
        <v>195</v>
      </c>
      <c r="D227" s="34">
        <v>5</v>
      </c>
      <c r="E227" s="16" t="s">
        <v>184</v>
      </c>
      <c r="F227" s="16" t="s">
        <v>184</v>
      </c>
      <c r="G227" s="16">
        <v>12</v>
      </c>
      <c r="H227" s="16" t="s">
        <v>279</v>
      </c>
      <c r="I227" t="str">
        <f t="shared" si="39"/>
        <v>Medium</v>
      </c>
      <c r="J227" s="39">
        <f t="shared" si="38"/>
        <v>2.4</v>
      </c>
      <c r="K227" s="26">
        <v>90</v>
      </c>
      <c r="L227" s="26">
        <f>25*D227</f>
        <v>125</v>
      </c>
      <c r="M227" t="str">
        <f t="shared" si="40"/>
        <v>Sprint5Medium</v>
      </c>
      <c r="N227" s="1">
        <f t="shared" si="41"/>
        <v>90</v>
      </c>
      <c r="O227" s="26">
        <v>125</v>
      </c>
      <c r="P227" s="34">
        <v>5</v>
      </c>
    </row>
    <row r="228" spans="1:16" x14ac:dyDescent="0.25">
      <c r="A228" s="16" t="s">
        <v>133</v>
      </c>
      <c r="B228" s="16" t="s">
        <v>154</v>
      </c>
      <c r="C228" t="s">
        <v>195</v>
      </c>
      <c r="D228" s="34">
        <v>5</v>
      </c>
      <c r="E228" s="16" t="s">
        <v>184</v>
      </c>
      <c r="F228" s="16" t="s">
        <v>184</v>
      </c>
      <c r="G228" s="16">
        <v>20</v>
      </c>
      <c r="H228" s="16" t="s">
        <v>280</v>
      </c>
      <c r="I228" t="str">
        <f t="shared" si="39"/>
        <v>Medium</v>
      </c>
      <c r="J228" s="39">
        <f t="shared" si="38"/>
        <v>4</v>
      </c>
      <c r="K228" s="26">
        <v>100</v>
      </c>
      <c r="L228" s="26">
        <f t="shared" ref="L228:L231" si="49">25*D228</f>
        <v>125</v>
      </c>
      <c r="M228" t="str">
        <f t="shared" si="40"/>
        <v>Sprint5Medium</v>
      </c>
      <c r="N228" s="1">
        <f t="shared" si="41"/>
        <v>100</v>
      </c>
      <c r="O228" s="26">
        <v>125</v>
      </c>
      <c r="P228" s="34">
        <v>5</v>
      </c>
    </row>
    <row r="229" spans="1:16" x14ac:dyDescent="0.25">
      <c r="A229" s="16" t="s">
        <v>133</v>
      </c>
      <c r="B229" s="16" t="s">
        <v>154</v>
      </c>
      <c r="C229" t="s">
        <v>195</v>
      </c>
      <c r="D229" s="34">
        <v>5</v>
      </c>
      <c r="E229" s="16" t="s">
        <v>184</v>
      </c>
      <c r="F229" s="16" t="s">
        <v>184</v>
      </c>
      <c r="G229" s="16">
        <v>32</v>
      </c>
      <c r="H229" s="16" t="s">
        <v>281</v>
      </c>
      <c r="I229" t="str">
        <f t="shared" si="39"/>
        <v>High</v>
      </c>
      <c r="J229" s="39">
        <f t="shared" si="38"/>
        <v>6.4</v>
      </c>
      <c r="K229" s="26">
        <v>130</v>
      </c>
      <c r="L229" s="26">
        <f t="shared" si="49"/>
        <v>125</v>
      </c>
      <c r="M229" t="str">
        <f t="shared" si="40"/>
        <v>Sprint5High</v>
      </c>
      <c r="N229" s="1">
        <f t="shared" si="41"/>
        <v>130</v>
      </c>
      <c r="O229" s="26">
        <v>125</v>
      </c>
      <c r="P229" s="34">
        <v>5</v>
      </c>
    </row>
    <row r="230" spans="1:16" x14ac:dyDescent="0.25">
      <c r="A230" s="16" t="s">
        <v>133</v>
      </c>
      <c r="B230" s="16" t="s">
        <v>154</v>
      </c>
      <c r="C230" t="s">
        <v>195</v>
      </c>
      <c r="D230" s="34">
        <v>5</v>
      </c>
      <c r="E230" s="16" t="s">
        <v>184</v>
      </c>
      <c r="F230" s="16" t="s">
        <v>184</v>
      </c>
      <c r="G230" s="16">
        <v>40</v>
      </c>
      <c r="H230" s="16" t="s">
        <v>282</v>
      </c>
      <c r="I230" t="str">
        <f t="shared" si="39"/>
        <v>High</v>
      </c>
      <c r="J230" s="39">
        <f t="shared" si="38"/>
        <v>8</v>
      </c>
      <c r="K230" s="26">
        <v>150</v>
      </c>
      <c r="L230" s="26">
        <f t="shared" si="49"/>
        <v>125</v>
      </c>
      <c r="M230" t="str">
        <f t="shared" si="40"/>
        <v>Sprint5High</v>
      </c>
      <c r="N230" s="1">
        <f t="shared" si="41"/>
        <v>150</v>
      </c>
      <c r="O230" s="26">
        <v>125</v>
      </c>
      <c r="P230" s="34">
        <v>5</v>
      </c>
    </row>
    <row r="231" spans="1:16" x14ac:dyDescent="0.25">
      <c r="A231" s="16" t="s">
        <v>133</v>
      </c>
      <c r="B231" s="16" t="s">
        <v>154</v>
      </c>
      <c r="C231" t="s">
        <v>195</v>
      </c>
      <c r="D231" s="34">
        <v>5</v>
      </c>
      <c r="E231" s="16" t="s">
        <v>184</v>
      </c>
      <c r="F231" s="16" t="s">
        <v>184</v>
      </c>
      <c r="G231" s="16">
        <v>60</v>
      </c>
      <c r="H231" s="16" t="s">
        <v>283</v>
      </c>
      <c r="I231" t="str">
        <f t="shared" si="39"/>
        <v>Super</v>
      </c>
      <c r="J231" s="39">
        <f t="shared" si="38"/>
        <v>12</v>
      </c>
      <c r="K231" s="26">
        <v>225</v>
      </c>
      <c r="L231" s="26">
        <f t="shared" si="49"/>
        <v>125</v>
      </c>
      <c r="M231" t="str">
        <f t="shared" si="40"/>
        <v>Sprint5Super</v>
      </c>
      <c r="N231" s="1">
        <f t="shared" si="41"/>
        <v>225</v>
      </c>
      <c r="O231" s="26">
        <v>125</v>
      </c>
      <c r="P231" s="34">
        <v>5</v>
      </c>
    </row>
    <row r="232" spans="1:16" x14ac:dyDescent="0.25">
      <c r="A232" s="16" t="s">
        <v>133</v>
      </c>
      <c r="B232" s="16" t="s">
        <v>154</v>
      </c>
      <c r="C232" t="s">
        <v>195</v>
      </c>
      <c r="D232" s="34">
        <v>6</v>
      </c>
      <c r="E232" s="16" t="s">
        <v>184</v>
      </c>
      <c r="F232" s="16" t="s">
        <v>184</v>
      </c>
      <c r="G232" s="16">
        <v>1</v>
      </c>
      <c r="H232" s="16" t="s">
        <v>275</v>
      </c>
      <c r="I232" t="str">
        <f t="shared" si="39"/>
        <v>None</v>
      </c>
      <c r="J232" s="39">
        <f t="shared" si="38"/>
        <v>0.16666666666666666</v>
      </c>
      <c r="K232" s="26">
        <v>20</v>
      </c>
      <c r="L232" s="26">
        <f>15*D232</f>
        <v>90</v>
      </c>
      <c r="M232" t="str">
        <f t="shared" si="40"/>
        <v>Sprint6None</v>
      </c>
      <c r="N232" s="1">
        <f t="shared" si="41"/>
        <v>20</v>
      </c>
      <c r="O232" s="26">
        <v>90</v>
      </c>
      <c r="P232" s="34">
        <v>6</v>
      </c>
    </row>
    <row r="233" spans="1:16" x14ac:dyDescent="0.25">
      <c r="A233" s="16" t="s">
        <v>133</v>
      </c>
      <c r="B233" s="16" t="s">
        <v>154</v>
      </c>
      <c r="C233" t="s">
        <v>195</v>
      </c>
      <c r="D233" s="34">
        <v>6</v>
      </c>
      <c r="E233" s="16" t="s">
        <v>184</v>
      </c>
      <c r="F233" s="16" t="s">
        <v>184</v>
      </c>
      <c r="G233" s="16">
        <v>2</v>
      </c>
      <c r="H233" s="16" t="s">
        <v>276</v>
      </c>
      <c r="I233" t="str">
        <f t="shared" si="39"/>
        <v>None</v>
      </c>
      <c r="J233" s="39">
        <f t="shared" si="38"/>
        <v>0.33333333333333331</v>
      </c>
      <c r="K233" s="26">
        <v>25</v>
      </c>
      <c r="L233" s="26">
        <f t="shared" ref="L233:L235" si="50">15*D233</f>
        <v>90</v>
      </c>
      <c r="M233" t="str">
        <f t="shared" si="40"/>
        <v>Sprint6None</v>
      </c>
      <c r="N233" s="1">
        <f t="shared" si="41"/>
        <v>25</v>
      </c>
      <c r="O233" s="26">
        <v>90</v>
      </c>
      <c r="P233" s="34">
        <v>6</v>
      </c>
    </row>
    <row r="234" spans="1:16" x14ac:dyDescent="0.25">
      <c r="A234" s="16" t="s">
        <v>133</v>
      </c>
      <c r="B234" s="16" t="s">
        <v>154</v>
      </c>
      <c r="C234" t="s">
        <v>195</v>
      </c>
      <c r="D234" s="34">
        <v>6</v>
      </c>
      <c r="E234" s="16" t="s">
        <v>184</v>
      </c>
      <c r="F234" s="16" t="s">
        <v>184</v>
      </c>
      <c r="G234" s="16">
        <v>4</v>
      </c>
      <c r="H234" s="16" t="s">
        <v>277</v>
      </c>
      <c r="I234" t="str">
        <f t="shared" si="39"/>
        <v>Low</v>
      </c>
      <c r="J234" s="39">
        <f t="shared" si="38"/>
        <v>0.66666666666666663</v>
      </c>
      <c r="K234" s="26">
        <v>40</v>
      </c>
      <c r="L234" s="26">
        <f t="shared" si="50"/>
        <v>90</v>
      </c>
      <c r="M234" t="str">
        <f t="shared" si="40"/>
        <v>Sprint6Low</v>
      </c>
      <c r="N234" s="1">
        <f t="shared" si="41"/>
        <v>40</v>
      </c>
      <c r="O234" s="26">
        <v>90</v>
      </c>
      <c r="P234" s="34">
        <v>6</v>
      </c>
    </row>
    <row r="235" spans="1:16" x14ac:dyDescent="0.25">
      <c r="A235" s="16" t="s">
        <v>133</v>
      </c>
      <c r="B235" s="16" t="s">
        <v>154</v>
      </c>
      <c r="C235" t="s">
        <v>195</v>
      </c>
      <c r="D235" s="34">
        <v>6</v>
      </c>
      <c r="E235" s="16" t="s">
        <v>184</v>
      </c>
      <c r="F235" s="16" t="s">
        <v>184</v>
      </c>
      <c r="G235" s="16">
        <v>8</v>
      </c>
      <c r="H235" s="16" t="s">
        <v>278</v>
      </c>
      <c r="I235" t="str">
        <f t="shared" si="39"/>
        <v>Low</v>
      </c>
      <c r="J235" s="39">
        <f t="shared" si="38"/>
        <v>1.3333333333333333</v>
      </c>
      <c r="K235" s="26">
        <v>70</v>
      </c>
      <c r="L235" s="26">
        <f t="shared" si="50"/>
        <v>90</v>
      </c>
      <c r="M235" t="str">
        <f t="shared" si="40"/>
        <v>Sprint6Low</v>
      </c>
      <c r="N235" s="1">
        <f t="shared" si="41"/>
        <v>70</v>
      </c>
      <c r="O235" s="26">
        <v>90</v>
      </c>
      <c r="P235" s="34">
        <v>6</v>
      </c>
    </row>
    <row r="236" spans="1:16" x14ac:dyDescent="0.25">
      <c r="A236" s="16" t="s">
        <v>133</v>
      </c>
      <c r="B236" s="16" t="s">
        <v>154</v>
      </c>
      <c r="C236" t="s">
        <v>195</v>
      </c>
      <c r="D236" s="34">
        <v>6</v>
      </c>
      <c r="E236" s="16" t="s">
        <v>184</v>
      </c>
      <c r="F236" s="16" t="s">
        <v>184</v>
      </c>
      <c r="G236" s="16">
        <v>12</v>
      </c>
      <c r="H236" s="16" t="s">
        <v>279</v>
      </c>
      <c r="I236" t="str">
        <f t="shared" si="39"/>
        <v>Medium</v>
      </c>
      <c r="J236" s="39">
        <f t="shared" si="38"/>
        <v>2</v>
      </c>
      <c r="K236" s="26">
        <v>90</v>
      </c>
      <c r="L236" s="26">
        <f>25*D236</f>
        <v>150</v>
      </c>
      <c r="M236" t="str">
        <f t="shared" si="40"/>
        <v>Sprint6Medium</v>
      </c>
      <c r="N236" s="1">
        <f t="shared" si="41"/>
        <v>90</v>
      </c>
      <c r="O236" s="26">
        <v>150</v>
      </c>
      <c r="P236" s="34">
        <v>6</v>
      </c>
    </row>
    <row r="237" spans="1:16" x14ac:dyDescent="0.25">
      <c r="A237" s="16" t="s">
        <v>133</v>
      </c>
      <c r="B237" s="16" t="s">
        <v>154</v>
      </c>
      <c r="C237" t="s">
        <v>195</v>
      </c>
      <c r="D237" s="34">
        <v>6</v>
      </c>
      <c r="E237" s="16" t="s">
        <v>184</v>
      </c>
      <c r="F237" s="16" t="s">
        <v>184</v>
      </c>
      <c r="G237" s="16">
        <v>20</v>
      </c>
      <c r="H237" s="16" t="s">
        <v>280</v>
      </c>
      <c r="I237" t="str">
        <f t="shared" si="39"/>
        <v>Medium</v>
      </c>
      <c r="J237" s="39">
        <f t="shared" si="38"/>
        <v>3.3333333333333335</v>
      </c>
      <c r="K237" s="26">
        <v>100</v>
      </c>
      <c r="L237" s="26">
        <f t="shared" ref="L237:L240" si="51">25*D237</f>
        <v>150</v>
      </c>
      <c r="M237" t="str">
        <f t="shared" si="40"/>
        <v>Sprint6Medium</v>
      </c>
      <c r="N237" s="1">
        <f t="shared" si="41"/>
        <v>100</v>
      </c>
      <c r="O237" s="26">
        <v>150</v>
      </c>
      <c r="P237" s="34">
        <v>6</v>
      </c>
    </row>
    <row r="238" spans="1:16" x14ac:dyDescent="0.25">
      <c r="A238" s="16" t="s">
        <v>133</v>
      </c>
      <c r="B238" s="16" t="s">
        <v>154</v>
      </c>
      <c r="C238" t="s">
        <v>195</v>
      </c>
      <c r="D238" s="34">
        <v>6</v>
      </c>
      <c r="E238" s="16" t="s">
        <v>184</v>
      </c>
      <c r="F238" s="16" t="s">
        <v>184</v>
      </c>
      <c r="G238" s="16">
        <v>32</v>
      </c>
      <c r="H238" s="16" t="s">
        <v>281</v>
      </c>
      <c r="I238" t="str">
        <f t="shared" si="39"/>
        <v>High</v>
      </c>
      <c r="J238" s="39">
        <f t="shared" si="38"/>
        <v>5.333333333333333</v>
      </c>
      <c r="K238" s="26">
        <v>130</v>
      </c>
      <c r="L238" s="26">
        <f t="shared" si="51"/>
        <v>150</v>
      </c>
      <c r="M238" t="str">
        <f t="shared" si="40"/>
        <v>Sprint6High</v>
      </c>
      <c r="N238" s="1">
        <f t="shared" si="41"/>
        <v>130</v>
      </c>
      <c r="O238" s="26">
        <v>150</v>
      </c>
      <c r="P238" s="34">
        <v>6</v>
      </c>
    </row>
    <row r="239" spans="1:16" x14ac:dyDescent="0.25">
      <c r="A239" s="16" t="s">
        <v>133</v>
      </c>
      <c r="B239" s="16" t="s">
        <v>154</v>
      </c>
      <c r="C239" t="s">
        <v>195</v>
      </c>
      <c r="D239" s="34">
        <v>6</v>
      </c>
      <c r="E239" s="16" t="s">
        <v>184</v>
      </c>
      <c r="F239" s="16" t="s">
        <v>184</v>
      </c>
      <c r="G239" s="16">
        <v>40</v>
      </c>
      <c r="H239" s="16" t="s">
        <v>282</v>
      </c>
      <c r="I239" t="str">
        <f t="shared" si="39"/>
        <v>High</v>
      </c>
      <c r="J239" s="39">
        <f t="shared" si="38"/>
        <v>6.666666666666667</v>
      </c>
      <c r="K239" s="26">
        <v>150</v>
      </c>
      <c r="L239" s="26">
        <f t="shared" si="51"/>
        <v>150</v>
      </c>
      <c r="M239" t="str">
        <f t="shared" si="40"/>
        <v>Sprint6High</v>
      </c>
      <c r="N239" s="1">
        <f t="shared" si="41"/>
        <v>150</v>
      </c>
      <c r="O239" s="26">
        <v>150</v>
      </c>
      <c r="P239" s="34">
        <v>6</v>
      </c>
    </row>
    <row r="240" spans="1:16" x14ac:dyDescent="0.25">
      <c r="A240" s="16" t="s">
        <v>133</v>
      </c>
      <c r="B240" s="16" t="s">
        <v>154</v>
      </c>
      <c r="C240" t="s">
        <v>195</v>
      </c>
      <c r="D240" s="34">
        <v>6</v>
      </c>
      <c r="E240" s="16" t="s">
        <v>184</v>
      </c>
      <c r="F240" s="16" t="s">
        <v>184</v>
      </c>
      <c r="G240" s="16">
        <v>60</v>
      </c>
      <c r="H240" s="16" t="s">
        <v>283</v>
      </c>
      <c r="I240" t="str">
        <f t="shared" si="39"/>
        <v>High</v>
      </c>
      <c r="J240" s="39">
        <f t="shared" si="38"/>
        <v>10</v>
      </c>
      <c r="K240" s="26">
        <v>225</v>
      </c>
      <c r="L240" s="26">
        <f t="shared" si="51"/>
        <v>150</v>
      </c>
      <c r="M240" t="str">
        <f t="shared" si="40"/>
        <v>Sprint6High</v>
      </c>
      <c r="N240" s="1">
        <f t="shared" si="41"/>
        <v>225</v>
      </c>
      <c r="O240" s="26">
        <v>150</v>
      </c>
      <c r="P240" s="34">
        <v>6</v>
      </c>
    </row>
    <row r="241" spans="1:16" x14ac:dyDescent="0.25">
      <c r="A241" s="16" t="s">
        <v>133</v>
      </c>
      <c r="B241" s="16" t="s">
        <v>154</v>
      </c>
      <c r="C241" s="16" t="s">
        <v>147</v>
      </c>
      <c r="D241" s="35">
        <v>2</v>
      </c>
      <c r="E241" s="16" t="s">
        <v>184</v>
      </c>
      <c r="F241" s="16" t="s">
        <v>184</v>
      </c>
      <c r="G241" s="16" t="s">
        <v>184</v>
      </c>
      <c r="H241" s="16" t="s">
        <v>284</v>
      </c>
      <c r="I241" t="str">
        <f t="shared" si="39"/>
        <v>Super</v>
      </c>
      <c r="J241" s="39" t="str">
        <f t="shared" si="38"/>
        <v>Unlimited</v>
      </c>
      <c r="K241" s="26">
        <f>100+((D241-2)*40)</f>
        <v>100</v>
      </c>
      <c r="L241" s="26">
        <v>0</v>
      </c>
      <c r="M241" t="str">
        <f t="shared" si="40"/>
        <v>Sprint2Super</v>
      </c>
      <c r="N241" s="1">
        <f t="shared" si="41"/>
        <v>100</v>
      </c>
      <c r="O241" s="26">
        <v>0</v>
      </c>
      <c r="P241" s="35">
        <v>2</v>
      </c>
    </row>
    <row r="242" spans="1:16" x14ac:dyDescent="0.25">
      <c r="A242" s="16" t="s">
        <v>133</v>
      </c>
      <c r="B242" s="16" t="s">
        <v>154</v>
      </c>
      <c r="C242" s="16" t="s">
        <v>147</v>
      </c>
      <c r="D242" s="35">
        <v>3</v>
      </c>
      <c r="E242" s="16" t="s">
        <v>184</v>
      </c>
      <c r="F242" s="16" t="s">
        <v>184</v>
      </c>
      <c r="G242" s="16" t="s">
        <v>184</v>
      </c>
      <c r="H242" s="16" t="s">
        <v>285</v>
      </c>
      <c r="I242" t="str">
        <f t="shared" si="39"/>
        <v>Super</v>
      </c>
      <c r="J242" s="39" t="str">
        <f t="shared" si="38"/>
        <v>Unlimited</v>
      </c>
      <c r="K242" s="26">
        <f>100+((D242-2)*40)</f>
        <v>140</v>
      </c>
      <c r="L242" s="26">
        <v>0</v>
      </c>
      <c r="M242" t="str">
        <f t="shared" si="40"/>
        <v>Sprint3Super</v>
      </c>
      <c r="N242" s="1">
        <f t="shared" si="41"/>
        <v>140</v>
      </c>
      <c r="O242" s="26">
        <v>0</v>
      </c>
      <c r="P242" s="35">
        <v>3</v>
      </c>
    </row>
    <row r="243" spans="1:16" x14ac:dyDescent="0.25">
      <c r="A243" s="16" t="s">
        <v>133</v>
      </c>
      <c r="B243" s="16" t="s">
        <v>154</v>
      </c>
      <c r="C243" s="16" t="s">
        <v>147</v>
      </c>
      <c r="D243" s="35">
        <v>4</v>
      </c>
      <c r="E243" s="16" t="s">
        <v>184</v>
      </c>
      <c r="F243" s="16" t="s">
        <v>184</v>
      </c>
      <c r="G243" s="16" t="s">
        <v>184</v>
      </c>
      <c r="H243" s="16" t="s">
        <v>286</v>
      </c>
      <c r="I243" t="str">
        <f t="shared" si="39"/>
        <v>Super</v>
      </c>
      <c r="J243" s="39" t="str">
        <f t="shared" si="38"/>
        <v>Unlimited</v>
      </c>
      <c r="K243" s="26">
        <f>100+((D243-2)*40)</f>
        <v>180</v>
      </c>
      <c r="L243" s="26">
        <v>0</v>
      </c>
      <c r="M243" t="str">
        <f t="shared" si="40"/>
        <v>Sprint4Super</v>
      </c>
      <c r="N243" s="1">
        <f t="shared" si="41"/>
        <v>180</v>
      </c>
      <c r="O243" s="26">
        <v>0</v>
      </c>
      <c r="P243" s="35">
        <v>4</v>
      </c>
    </row>
    <row r="244" spans="1:16" x14ac:dyDescent="0.25">
      <c r="A244" s="16" t="s">
        <v>133</v>
      </c>
      <c r="B244" s="16" t="s">
        <v>154</v>
      </c>
      <c r="C244" s="16" t="s">
        <v>147</v>
      </c>
      <c r="D244" s="35">
        <v>5</v>
      </c>
      <c r="E244" s="16" t="s">
        <v>184</v>
      </c>
      <c r="F244" s="16" t="s">
        <v>184</v>
      </c>
      <c r="G244" s="16" t="s">
        <v>184</v>
      </c>
      <c r="H244" s="16" t="s">
        <v>287</v>
      </c>
      <c r="I244" t="str">
        <f t="shared" si="39"/>
        <v>Super</v>
      </c>
      <c r="J244" s="39" t="str">
        <f t="shared" si="38"/>
        <v>Unlimited</v>
      </c>
      <c r="K244" s="26">
        <f>100+((D244-2)*40)</f>
        <v>220</v>
      </c>
      <c r="L244" s="26">
        <v>0</v>
      </c>
      <c r="M244" t="str">
        <f t="shared" si="40"/>
        <v>Sprint5Super</v>
      </c>
      <c r="N244" s="1">
        <f t="shared" si="41"/>
        <v>220</v>
      </c>
      <c r="O244" s="26">
        <v>0</v>
      </c>
      <c r="P244" s="35">
        <v>5</v>
      </c>
    </row>
    <row r="245" spans="1:16" x14ac:dyDescent="0.25">
      <c r="A245" s="16" t="s">
        <v>133</v>
      </c>
      <c r="B245" s="16" t="s">
        <v>154</v>
      </c>
      <c r="C245" s="16" t="s">
        <v>147</v>
      </c>
      <c r="D245" s="35">
        <v>6</v>
      </c>
      <c r="E245" s="16" t="s">
        <v>184</v>
      </c>
      <c r="F245" s="16" t="s">
        <v>184</v>
      </c>
      <c r="G245" s="16" t="s">
        <v>184</v>
      </c>
      <c r="H245" s="16" t="s">
        <v>288</v>
      </c>
      <c r="I245" t="str">
        <f t="shared" si="39"/>
        <v>Super</v>
      </c>
      <c r="J245" s="39" t="str">
        <f t="shared" si="38"/>
        <v>Unlimited</v>
      </c>
      <c r="K245" s="26">
        <f>100+((D245-2)*40)</f>
        <v>260</v>
      </c>
      <c r="L245" s="26">
        <v>0</v>
      </c>
      <c r="M245" t="str">
        <f t="shared" si="40"/>
        <v>Sprint6Super</v>
      </c>
      <c r="N245" s="1">
        <f t="shared" si="41"/>
        <v>260</v>
      </c>
      <c r="O245" s="26">
        <v>0</v>
      </c>
      <c r="P245" s="35">
        <v>6</v>
      </c>
    </row>
    <row r="246" spans="1:16" x14ac:dyDescent="0.25">
      <c r="A246" s="16" t="s">
        <v>305</v>
      </c>
      <c r="B246" s="16" t="s">
        <v>154</v>
      </c>
      <c r="C246" s="16" t="s">
        <v>147</v>
      </c>
      <c r="D246" s="35">
        <v>1</v>
      </c>
      <c r="E246" s="16" t="s">
        <v>184</v>
      </c>
      <c r="F246" s="16" t="s">
        <v>184</v>
      </c>
      <c r="G246">
        <v>1</v>
      </c>
      <c r="H246" s="16" t="s">
        <v>306</v>
      </c>
      <c r="I246" t="str">
        <f t="shared" si="39"/>
        <v>Low</v>
      </c>
      <c r="J246" s="39">
        <f t="shared" si="38"/>
        <v>1</v>
      </c>
      <c r="K246" s="1">
        <v>50</v>
      </c>
      <c r="L246" s="26">
        <v>0</v>
      </c>
      <c r="M246" t="str">
        <f t="shared" si="40"/>
        <v>T-Mobile1Low</v>
      </c>
      <c r="N246" s="1">
        <f t="shared" si="41"/>
        <v>50</v>
      </c>
      <c r="O246" s="26">
        <v>0</v>
      </c>
      <c r="P246" s="35">
        <v>1</v>
      </c>
    </row>
    <row r="247" spans="1:16" x14ac:dyDescent="0.25">
      <c r="A247" s="16" t="s">
        <v>305</v>
      </c>
      <c r="B247" s="16" t="s">
        <v>154</v>
      </c>
      <c r="C247" s="16" t="s">
        <v>147</v>
      </c>
      <c r="D247" s="35">
        <v>1</v>
      </c>
      <c r="E247" s="16" t="s">
        <v>184</v>
      </c>
      <c r="F247" s="16" t="s">
        <v>184</v>
      </c>
      <c r="G247">
        <v>3</v>
      </c>
      <c r="H247" s="16" t="s">
        <v>310</v>
      </c>
      <c r="I247" t="str">
        <f t="shared" si="39"/>
        <v>Medium</v>
      </c>
      <c r="J247" s="39">
        <f t="shared" si="38"/>
        <v>3</v>
      </c>
      <c r="K247" s="1">
        <v>60</v>
      </c>
      <c r="L247" s="26">
        <v>0</v>
      </c>
      <c r="M247" t="str">
        <f t="shared" si="40"/>
        <v>T-Mobile1Medium</v>
      </c>
      <c r="N247" s="1">
        <f t="shared" si="41"/>
        <v>60</v>
      </c>
      <c r="O247" s="26">
        <v>0</v>
      </c>
      <c r="P247" s="35">
        <v>1</v>
      </c>
    </row>
    <row r="248" spans="1:16" x14ac:dyDescent="0.25">
      <c r="A248" s="16" t="s">
        <v>305</v>
      </c>
      <c r="B248" s="16" t="s">
        <v>154</v>
      </c>
      <c r="C248" s="16" t="s">
        <v>147</v>
      </c>
      <c r="D248" s="35">
        <v>1</v>
      </c>
      <c r="E248" s="16" t="s">
        <v>184</v>
      </c>
      <c r="F248" s="16" t="s">
        <v>184</v>
      </c>
      <c r="G248">
        <v>5</v>
      </c>
      <c r="H248" s="16" t="s">
        <v>311</v>
      </c>
      <c r="I248" t="str">
        <f t="shared" si="39"/>
        <v>High</v>
      </c>
      <c r="J248" s="39">
        <f t="shared" si="38"/>
        <v>5</v>
      </c>
      <c r="K248" s="1">
        <v>70</v>
      </c>
      <c r="L248" s="26">
        <v>0</v>
      </c>
      <c r="M248" t="str">
        <f t="shared" si="40"/>
        <v>T-Mobile1High</v>
      </c>
      <c r="N248" s="1">
        <f t="shared" si="41"/>
        <v>70</v>
      </c>
      <c r="O248" s="26">
        <v>0</v>
      </c>
      <c r="P248" s="35">
        <v>1</v>
      </c>
    </row>
    <row r="249" spans="1:16" x14ac:dyDescent="0.25">
      <c r="A249" s="16" t="s">
        <v>305</v>
      </c>
      <c r="B249" s="16" t="s">
        <v>154</v>
      </c>
      <c r="C249" s="16" t="s">
        <v>147</v>
      </c>
      <c r="D249" s="35">
        <v>1</v>
      </c>
      <c r="E249" s="16" t="s">
        <v>184</v>
      </c>
      <c r="F249" s="16" t="s">
        <v>184</v>
      </c>
      <c r="G249" t="s">
        <v>184</v>
      </c>
      <c r="H249" s="16" t="s">
        <v>312</v>
      </c>
      <c r="I249" t="str">
        <f t="shared" si="39"/>
        <v>Super</v>
      </c>
      <c r="J249" s="39" t="str">
        <f t="shared" si="38"/>
        <v>Unlimited</v>
      </c>
      <c r="K249" s="1">
        <v>80</v>
      </c>
      <c r="L249" s="26">
        <v>0</v>
      </c>
      <c r="M249" t="str">
        <f t="shared" si="40"/>
        <v>T-Mobile1Super</v>
      </c>
      <c r="N249" s="1">
        <f t="shared" si="41"/>
        <v>80</v>
      </c>
      <c r="O249" s="26">
        <v>0</v>
      </c>
      <c r="P249" s="35">
        <v>1</v>
      </c>
    </row>
    <row r="250" spans="1:16" x14ac:dyDescent="0.25">
      <c r="A250" s="16" t="s">
        <v>305</v>
      </c>
      <c r="B250" s="16" t="s">
        <v>154</v>
      </c>
      <c r="C250" s="16" t="s">
        <v>147</v>
      </c>
      <c r="D250" s="35">
        <v>2</v>
      </c>
      <c r="E250" s="16" t="s">
        <v>184</v>
      </c>
      <c r="F250" s="16" t="s">
        <v>184</v>
      </c>
      <c r="G250">
        <v>2</v>
      </c>
      <c r="H250" s="16" t="s">
        <v>307</v>
      </c>
      <c r="I250" t="str">
        <f t="shared" si="39"/>
        <v>Low</v>
      </c>
      <c r="J250" s="39">
        <f t="shared" si="38"/>
        <v>1</v>
      </c>
      <c r="K250" s="1">
        <v>80</v>
      </c>
      <c r="L250" s="26">
        <v>0</v>
      </c>
      <c r="M250" t="str">
        <f t="shared" si="40"/>
        <v>T-Mobile2Low</v>
      </c>
      <c r="N250" s="1">
        <f t="shared" si="41"/>
        <v>80</v>
      </c>
      <c r="O250" s="26">
        <v>0</v>
      </c>
      <c r="P250" s="35">
        <v>2</v>
      </c>
    </row>
    <row r="251" spans="1:16" x14ac:dyDescent="0.25">
      <c r="A251" s="16" t="s">
        <v>305</v>
      </c>
      <c r="B251" s="16" t="s">
        <v>154</v>
      </c>
      <c r="C251" s="16" t="s">
        <v>147</v>
      </c>
      <c r="D251" s="35">
        <v>2</v>
      </c>
      <c r="E251" s="16" t="s">
        <v>184</v>
      </c>
      <c r="F251" s="16" t="s">
        <v>184</v>
      </c>
      <c r="G251">
        <v>6</v>
      </c>
      <c r="H251" s="16" t="s">
        <v>313</v>
      </c>
      <c r="I251" t="str">
        <f t="shared" si="39"/>
        <v>Medium</v>
      </c>
      <c r="J251" s="39">
        <f t="shared" si="38"/>
        <v>3</v>
      </c>
      <c r="K251" s="1">
        <v>100</v>
      </c>
      <c r="L251" s="26">
        <v>0</v>
      </c>
      <c r="M251" t="str">
        <f t="shared" si="40"/>
        <v>T-Mobile2Medium</v>
      </c>
      <c r="N251" s="1">
        <f t="shared" si="41"/>
        <v>100</v>
      </c>
      <c r="O251" s="26">
        <v>0</v>
      </c>
      <c r="P251" s="35">
        <v>2</v>
      </c>
    </row>
    <row r="252" spans="1:16" x14ac:dyDescent="0.25">
      <c r="A252" s="16" t="s">
        <v>305</v>
      </c>
      <c r="B252" s="16" t="s">
        <v>154</v>
      </c>
      <c r="C252" s="16" t="s">
        <v>147</v>
      </c>
      <c r="D252" s="35">
        <v>2</v>
      </c>
      <c r="E252" s="16" t="s">
        <v>184</v>
      </c>
      <c r="F252" s="16" t="s">
        <v>184</v>
      </c>
      <c r="G252">
        <v>10</v>
      </c>
      <c r="H252" s="16" t="s">
        <v>314</v>
      </c>
      <c r="I252" t="str">
        <f t="shared" si="39"/>
        <v>High</v>
      </c>
      <c r="J252" s="39">
        <f t="shared" si="38"/>
        <v>5</v>
      </c>
      <c r="K252" s="1">
        <v>120</v>
      </c>
      <c r="L252" s="26">
        <v>0</v>
      </c>
      <c r="M252" t="str">
        <f t="shared" si="40"/>
        <v>T-Mobile2High</v>
      </c>
      <c r="N252" s="1">
        <f t="shared" si="41"/>
        <v>120</v>
      </c>
      <c r="O252" s="26">
        <v>0</v>
      </c>
      <c r="P252" s="35">
        <v>2</v>
      </c>
    </row>
    <row r="253" spans="1:16" x14ac:dyDescent="0.25">
      <c r="A253" s="16" t="s">
        <v>305</v>
      </c>
      <c r="B253" s="16" t="s">
        <v>154</v>
      </c>
      <c r="C253" s="16" t="s">
        <v>147</v>
      </c>
      <c r="D253" s="35">
        <v>2</v>
      </c>
      <c r="E253" s="16" t="s">
        <v>184</v>
      </c>
      <c r="F253" s="16" t="s">
        <v>184</v>
      </c>
      <c r="G253" t="s">
        <v>184</v>
      </c>
      <c r="H253" s="16" t="s">
        <v>315</v>
      </c>
      <c r="I253" t="str">
        <f t="shared" si="39"/>
        <v>Super</v>
      </c>
      <c r="J253" s="39" t="str">
        <f t="shared" si="38"/>
        <v>Unlimited</v>
      </c>
      <c r="K253" s="1">
        <v>140</v>
      </c>
      <c r="L253" s="26">
        <v>0</v>
      </c>
      <c r="M253" t="str">
        <f t="shared" si="40"/>
        <v>T-Mobile2Super</v>
      </c>
      <c r="N253" s="1">
        <f t="shared" si="41"/>
        <v>140</v>
      </c>
      <c r="O253" s="26">
        <v>0</v>
      </c>
      <c r="P253" s="35">
        <v>2</v>
      </c>
    </row>
    <row r="254" spans="1:16" x14ac:dyDescent="0.25">
      <c r="A254" s="16" t="s">
        <v>305</v>
      </c>
      <c r="B254" s="16" t="s">
        <v>154</v>
      </c>
      <c r="C254" s="16" t="s">
        <v>147</v>
      </c>
      <c r="D254" s="35">
        <v>3</v>
      </c>
      <c r="E254" s="16" t="s">
        <v>184</v>
      </c>
      <c r="F254" s="16" t="s">
        <v>184</v>
      </c>
      <c r="G254">
        <v>3</v>
      </c>
      <c r="H254" s="16" t="s">
        <v>308</v>
      </c>
      <c r="I254" t="str">
        <f t="shared" si="39"/>
        <v>Low</v>
      </c>
      <c r="J254" s="39">
        <f t="shared" si="38"/>
        <v>1</v>
      </c>
      <c r="K254" s="1">
        <v>90</v>
      </c>
      <c r="L254" s="26">
        <v>0</v>
      </c>
      <c r="M254" t="str">
        <f t="shared" si="40"/>
        <v>T-Mobile3Low</v>
      </c>
      <c r="N254" s="1">
        <f t="shared" si="41"/>
        <v>90</v>
      </c>
      <c r="O254" s="26">
        <v>0</v>
      </c>
      <c r="P254" s="35">
        <v>3</v>
      </c>
    </row>
    <row r="255" spans="1:16" x14ac:dyDescent="0.25">
      <c r="A255" s="16" t="s">
        <v>305</v>
      </c>
      <c r="B255" s="16" t="s">
        <v>154</v>
      </c>
      <c r="C255" s="16" t="s">
        <v>147</v>
      </c>
      <c r="D255" s="35">
        <v>3</v>
      </c>
      <c r="E255" s="16" t="s">
        <v>184</v>
      </c>
      <c r="F255" s="16" t="s">
        <v>184</v>
      </c>
      <c r="G255">
        <v>7</v>
      </c>
      <c r="H255" s="16" t="s">
        <v>316</v>
      </c>
      <c r="I255" t="str">
        <f t="shared" ref="I255:I261" si="52">IF(J255&lt;0.5,"None",IF(J255&lt;2,"Low",IF(J255&lt;5,"Medium",IF(J255&lt;11,"High",IF(J255="Unlimited","Super","Super")))))</f>
        <v>Medium</v>
      </c>
      <c r="J255" s="39">
        <f t="shared" si="38"/>
        <v>2.3333333333333335</v>
      </c>
      <c r="K255" s="1">
        <v>110</v>
      </c>
      <c r="L255" s="26">
        <v>0</v>
      </c>
      <c r="M255" t="str">
        <f t="shared" si="40"/>
        <v>T-Mobile3Medium</v>
      </c>
      <c r="N255" s="1">
        <f t="shared" si="41"/>
        <v>110</v>
      </c>
      <c r="O255" s="26">
        <v>0</v>
      </c>
      <c r="P255" s="35">
        <v>3</v>
      </c>
    </row>
    <row r="256" spans="1:16" x14ac:dyDescent="0.25">
      <c r="A256" s="16" t="s">
        <v>305</v>
      </c>
      <c r="B256" s="16" t="s">
        <v>154</v>
      </c>
      <c r="C256" s="16" t="s">
        <v>147</v>
      </c>
      <c r="D256" s="35">
        <v>3</v>
      </c>
      <c r="E256" s="16" t="s">
        <v>184</v>
      </c>
      <c r="F256" s="16" t="s">
        <v>184</v>
      </c>
      <c r="G256">
        <v>13</v>
      </c>
      <c r="H256" s="16" t="s">
        <v>317</v>
      </c>
      <c r="I256" t="str">
        <f t="shared" si="52"/>
        <v>Medium</v>
      </c>
      <c r="J256" s="39">
        <f t="shared" si="38"/>
        <v>4.333333333333333</v>
      </c>
      <c r="K256" s="1">
        <v>140</v>
      </c>
      <c r="L256" s="26">
        <v>0</v>
      </c>
      <c r="M256" t="str">
        <f t="shared" si="40"/>
        <v>T-Mobile3Medium</v>
      </c>
      <c r="N256" s="1">
        <f t="shared" si="41"/>
        <v>140</v>
      </c>
      <c r="O256" s="26">
        <v>0</v>
      </c>
      <c r="P256" s="35">
        <v>3</v>
      </c>
    </row>
    <row r="257" spans="1:16" x14ac:dyDescent="0.25">
      <c r="A257" s="16" t="s">
        <v>305</v>
      </c>
      <c r="B257" s="16" t="s">
        <v>154</v>
      </c>
      <c r="C257" s="16" t="s">
        <v>147</v>
      </c>
      <c r="D257" s="35">
        <v>3</v>
      </c>
      <c r="E257" s="16" t="s">
        <v>184</v>
      </c>
      <c r="F257" s="16" t="s">
        <v>184</v>
      </c>
      <c r="G257" t="s">
        <v>184</v>
      </c>
      <c r="H257" s="16" t="s">
        <v>318</v>
      </c>
      <c r="I257" t="str">
        <f t="shared" si="52"/>
        <v>Super</v>
      </c>
      <c r="J257" s="39" t="str">
        <f t="shared" si="38"/>
        <v>Unlimited</v>
      </c>
      <c r="K257" s="1">
        <v>180</v>
      </c>
      <c r="L257" s="26">
        <v>0</v>
      </c>
      <c r="M257" t="str">
        <f t="shared" si="40"/>
        <v>T-Mobile3Super</v>
      </c>
      <c r="N257" s="1">
        <f t="shared" si="41"/>
        <v>180</v>
      </c>
      <c r="O257" s="26">
        <v>0</v>
      </c>
      <c r="P257" s="35">
        <v>3</v>
      </c>
    </row>
    <row r="258" spans="1:16" x14ac:dyDescent="0.25">
      <c r="A258" s="16" t="s">
        <v>305</v>
      </c>
      <c r="B258" s="16" t="s">
        <v>154</v>
      </c>
      <c r="C258" s="16" t="s">
        <v>147</v>
      </c>
      <c r="D258" s="35">
        <v>4</v>
      </c>
      <c r="E258" s="16" t="s">
        <v>184</v>
      </c>
      <c r="F258" s="16" t="s">
        <v>184</v>
      </c>
      <c r="G258">
        <v>4</v>
      </c>
      <c r="H258" s="16" t="s">
        <v>309</v>
      </c>
      <c r="I258" t="str">
        <f t="shared" si="52"/>
        <v>Low</v>
      </c>
      <c r="J258" s="39">
        <f t="shared" si="38"/>
        <v>1</v>
      </c>
      <c r="K258" s="1">
        <v>100</v>
      </c>
      <c r="L258" s="26">
        <v>0</v>
      </c>
      <c r="M258" t="str">
        <f t="shared" si="40"/>
        <v>T-Mobile4Low</v>
      </c>
      <c r="N258" s="1">
        <f t="shared" si="41"/>
        <v>100</v>
      </c>
      <c r="O258" s="26">
        <v>0</v>
      </c>
      <c r="P258" s="35">
        <v>4</v>
      </c>
    </row>
    <row r="259" spans="1:16" x14ac:dyDescent="0.25">
      <c r="A259" s="16" t="s">
        <v>305</v>
      </c>
      <c r="B259" s="16" t="s">
        <v>154</v>
      </c>
      <c r="C259" s="16" t="s">
        <v>147</v>
      </c>
      <c r="D259" s="35">
        <v>4</v>
      </c>
      <c r="E259" s="16" t="s">
        <v>184</v>
      </c>
      <c r="F259" s="16" t="s">
        <v>184</v>
      </c>
      <c r="G259">
        <v>8</v>
      </c>
      <c r="H259" s="16" t="s">
        <v>319</v>
      </c>
      <c r="I259" t="str">
        <f t="shared" si="52"/>
        <v>Medium</v>
      </c>
      <c r="J259" s="39">
        <f t="shared" si="38"/>
        <v>2</v>
      </c>
      <c r="K259" s="1">
        <v>120</v>
      </c>
      <c r="L259" s="26">
        <v>0</v>
      </c>
      <c r="M259" t="str">
        <f t="shared" ref="M259:M261" si="53">CONCATENATE(A259, D259, I259)</f>
        <v>T-Mobile4Medium</v>
      </c>
      <c r="N259" s="1">
        <f t="shared" ref="N259:N261" si="54">K259</f>
        <v>120</v>
      </c>
      <c r="O259" s="26">
        <v>0</v>
      </c>
      <c r="P259" s="35">
        <v>4</v>
      </c>
    </row>
    <row r="260" spans="1:16" x14ac:dyDescent="0.25">
      <c r="A260" s="16" t="s">
        <v>305</v>
      </c>
      <c r="B260" s="16" t="s">
        <v>154</v>
      </c>
      <c r="C260" s="16" t="s">
        <v>147</v>
      </c>
      <c r="D260" s="35">
        <v>4</v>
      </c>
      <c r="E260" s="16" t="s">
        <v>184</v>
      </c>
      <c r="F260" s="16" t="s">
        <v>184</v>
      </c>
      <c r="G260">
        <v>14</v>
      </c>
      <c r="H260" s="16" t="s">
        <v>320</v>
      </c>
      <c r="I260" t="str">
        <f t="shared" si="52"/>
        <v>Medium</v>
      </c>
      <c r="J260" s="39">
        <f t="shared" si="38"/>
        <v>3.5</v>
      </c>
      <c r="K260" s="1">
        <v>150</v>
      </c>
      <c r="L260" s="26">
        <v>0</v>
      </c>
      <c r="M260" t="str">
        <f t="shared" si="53"/>
        <v>T-Mobile4Medium</v>
      </c>
      <c r="N260" s="1">
        <f t="shared" si="54"/>
        <v>150</v>
      </c>
      <c r="O260" s="26">
        <v>0</v>
      </c>
      <c r="P260" s="35">
        <v>4</v>
      </c>
    </row>
    <row r="261" spans="1:16" x14ac:dyDescent="0.25">
      <c r="A261" s="16" t="s">
        <v>305</v>
      </c>
      <c r="B261" s="16" t="s">
        <v>154</v>
      </c>
      <c r="C261" s="16" t="s">
        <v>147</v>
      </c>
      <c r="D261" s="35">
        <v>4</v>
      </c>
      <c r="E261" s="16" t="s">
        <v>184</v>
      </c>
      <c r="F261" s="16" t="s">
        <v>184</v>
      </c>
      <c r="G261" t="s">
        <v>184</v>
      </c>
      <c r="H261" s="16" t="s">
        <v>321</v>
      </c>
      <c r="I261" t="str">
        <f t="shared" si="52"/>
        <v>Super</v>
      </c>
      <c r="J261" s="39" t="str">
        <f t="shared" si="38"/>
        <v>Unlimited</v>
      </c>
      <c r="K261" s="1">
        <v>220</v>
      </c>
      <c r="L261" s="26">
        <v>0</v>
      </c>
      <c r="M261" t="str">
        <f t="shared" si="53"/>
        <v>T-Mobile4Super</v>
      </c>
      <c r="N261" s="1">
        <f t="shared" si="54"/>
        <v>220</v>
      </c>
      <c r="O261" s="26">
        <v>0</v>
      </c>
      <c r="P261" s="3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1"/>
  <sheetViews>
    <sheetView zoomScaleNormal="100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2" width="11.85546875" bestFit="1" customWidth="1"/>
    <col min="3" max="3" width="15.140625" bestFit="1" customWidth="1"/>
    <col min="4" max="4" width="15.140625" customWidth="1"/>
    <col min="5" max="5" width="11.85546875" customWidth="1"/>
    <col min="9" max="9" width="11.28515625" customWidth="1"/>
    <col min="11" max="11" width="13.5703125" style="74" customWidth="1"/>
    <col min="12" max="12" width="28.85546875" bestFit="1" customWidth="1"/>
    <col min="13" max="13" width="13.5703125" style="1" customWidth="1"/>
    <col min="14" max="14" width="9.140625" style="52"/>
    <col min="16" max="16" width="11.28515625" customWidth="1"/>
  </cols>
  <sheetData>
    <row r="1" spans="1:17" ht="45" x14ac:dyDescent="0.25">
      <c r="A1" s="3" t="s">
        <v>11</v>
      </c>
      <c r="B1" s="2" t="s">
        <v>155</v>
      </c>
      <c r="C1" s="2" t="s">
        <v>192</v>
      </c>
      <c r="D1" s="2" t="s">
        <v>247</v>
      </c>
      <c r="E1" s="2" t="s">
        <v>194</v>
      </c>
      <c r="F1" s="3" t="s">
        <v>20</v>
      </c>
      <c r="G1" s="3" t="s">
        <v>159</v>
      </c>
      <c r="H1" s="3" t="s">
        <v>33</v>
      </c>
      <c r="I1" s="3" t="s">
        <v>21</v>
      </c>
      <c r="J1" s="3" t="s">
        <v>25</v>
      </c>
      <c r="K1" s="71" t="s">
        <v>324</v>
      </c>
      <c r="M1" s="3" t="s">
        <v>324</v>
      </c>
      <c r="N1" s="51" t="s">
        <v>159</v>
      </c>
      <c r="O1" s="3" t="s">
        <v>25</v>
      </c>
      <c r="P1" s="3" t="s">
        <v>21</v>
      </c>
      <c r="Q1" s="3" t="s">
        <v>20</v>
      </c>
    </row>
    <row r="2" spans="1:17" x14ac:dyDescent="0.25">
      <c r="A2" t="s">
        <v>4</v>
      </c>
      <c r="B2" s="16" t="s">
        <v>156</v>
      </c>
      <c r="C2" s="16" t="s">
        <v>161</v>
      </c>
      <c r="D2" s="16" t="s">
        <v>19</v>
      </c>
      <c r="E2" s="16">
        <v>24</v>
      </c>
      <c r="F2" s="26">
        <v>40</v>
      </c>
      <c r="G2" s="16" t="s">
        <v>147</v>
      </c>
      <c r="H2" s="26">
        <v>199.99</v>
      </c>
      <c r="I2" s="26">
        <v>40</v>
      </c>
      <c r="J2" s="26">
        <v>0</v>
      </c>
      <c r="K2" s="72">
        <f>(H2/24)</f>
        <v>8.3329166666666676</v>
      </c>
      <c r="L2" t="str">
        <f>CONCATENATE(A2," ", C2, " ", B2)</f>
        <v>Verizon Discount Smartphone</v>
      </c>
      <c r="M2" s="57">
        <f>K2</f>
        <v>8.3329166666666676</v>
      </c>
      <c r="N2" s="16" t="s">
        <v>147</v>
      </c>
      <c r="O2" s="26">
        <v>0</v>
      </c>
      <c r="P2" s="26">
        <v>40</v>
      </c>
      <c r="Q2" s="26">
        <v>40</v>
      </c>
    </row>
    <row r="3" spans="1:17" x14ac:dyDescent="0.25">
      <c r="A3" t="s">
        <v>4</v>
      </c>
      <c r="B3" s="16" t="s">
        <v>156</v>
      </c>
      <c r="C3" s="16" t="s">
        <v>160</v>
      </c>
      <c r="D3" s="16" t="s">
        <v>19</v>
      </c>
      <c r="E3" s="16">
        <v>0</v>
      </c>
      <c r="F3" s="26">
        <v>40</v>
      </c>
      <c r="G3" s="16" t="s">
        <v>147</v>
      </c>
      <c r="H3" s="26">
        <v>649</v>
      </c>
      <c r="I3" s="26">
        <v>40</v>
      </c>
      <c r="J3" s="26">
        <v>0</v>
      </c>
      <c r="K3" s="72">
        <f t="shared" ref="K3:K61" si="0">(H3/24)</f>
        <v>27.041666666666668</v>
      </c>
      <c r="L3" t="str">
        <f t="shared" ref="L3:L61" si="1">CONCATENATE(A3," ", C3, " ", B3)</f>
        <v>Verizon Pay in Full Smartphone</v>
      </c>
      <c r="M3" s="57">
        <f t="shared" ref="M3:M61" si="2">K3</f>
        <v>27.041666666666668</v>
      </c>
      <c r="N3" s="16" t="s">
        <v>147</v>
      </c>
      <c r="O3" s="26">
        <v>0</v>
      </c>
      <c r="P3" s="26">
        <v>40</v>
      </c>
      <c r="Q3" s="26">
        <v>40</v>
      </c>
    </row>
    <row r="4" spans="1:17" x14ac:dyDescent="0.25">
      <c r="A4" t="s">
        <v>4</v>
      </c>
      <c r="B4" s="16" t="s">
        <v>156</v>
      </c>
      <c r="C4" s="16" t="s">
        <v>0</v>
      </c>
      <c r="D4" s="16" t="s">
        <v>19</v>
      </c>
      <c r="E4" s="16">
        <v>0</v>
      </c>
      <c r="F4" s="26">
        <v>40</v>
      </c>
      <c r="G4" s="24" t="s">
        <v>195</v>
      </c>
      <c r="H4" s="26">
        <v>649</v>
      </c>
      <c r="I4" s="26">
        <v>0</v>
      </c>
      <c r="J4" s="26">
        <v>100</v>
      </c>
      <c r="K4" s="72">
        <f t="shared" si="0"/>
        <v>27.041666666666668</v>
      </c>
      <c r="L4" t="str">
        <f t="shared" si="1"/>
        <v>Verizon Finance Smartphone</v>
      </c>
      <c r="M4" s="57">
        <f t="shared" si="2"/>
        <v>27.041666666666668</v>
      </c>
      <c r="N4" s="24" t="s">
        <v>195</v>
      </c>
      <c r="O4" s="26">
        <v>100</v>
      </c>
      <c r="P4" s="26">
        <v>0</v>
      </c>
      <c r="Q4" s="26">
        <v>40</v>
      </c>
    </row>
    <row r="5" spans="1:17" x14ac:dyDescent="0.25">
      <c r="A5" t="s">
        <v>4</v>
      </c>
      <c r="B5" s="16" t="s">
        <v>156</v>
      </c>
      <c r="C5" s="16" t="s">
        <v>193</v>
      </c>
      <c r="D5" s="16" t="s">
        <v>19</v>
      </c>
      <c r="E5" s="16">
        <v>0</v>
      </c>
      <c r="F5" s="26">
        <v>40</v>
      </c>
      <c r="G5" s="16" t="s">
        <v>147</v>
      </c>
      <c r="H5" s="26">
        <v>900</v>
      </c>
      <c r="I5" s="26">
        <v>40</v>
      </c>
      <c r="J5" s="26">
        <v>0</v>
      </c>
      <c r="K5" s="72">
        <f t="shared" si="0"/>
        <v>37.5</v>
      </c>
      <c r="L5" t="str">
        <f t="shared" si="1"/>
        <v>Verizon 3rd Party Smartphone</v>
      </c>
      <c r="M5" s="57">
        <f t="shared" si="2"/>
        <v>37.5</v>
      </c>
      <c r="N5" s="16" t="s">
        <v>147</v>
      </c>
      <c r="O5" s="26">
        <v>0</v>
      </c>
      <c r="P5" s="26">
        <v>40</v>
      </c>
      <c r="Q5" s="26">
        <v>40</v>
      </c>
    </row>
    <row r="6" spans="1:17" x14ac:dyDescent="0.25">
      <c r="A6" t="s">
        <v>4</v>
      </c>
      <c r="B6" s="16" t="s">
        <v>156</v>
      </c>
      <c r="C6" s="16" t="s">
        <v>196</v>
      </c>
      <c r="D6" s="16" t="s">
        <v>19</v>
      </c>
      <c r="E6" s="16">
        <v>0</v>
      </c>
      <c r="F6" s="26">
        <v>40</v>
      </c>
      <c r="G6" s="16" t="s">
        <v>147</v>
      </c>
      <c r="H6" s="26">
        <v>0</v>
      </c>
      <c r="I6" s="26">
        <v>40</v>
      </c>
      <c r="J6" s="26">
        <v>0</v>
      </c>
      <c r="K6" s="72">
        <f t="shared" si="0"/>
        <v>0</v>
      </c>
      <c r="L6" t="str">
        <f t="shared" si="1"/>
        <v>Verizon Bring your Own  Smartphone</v>
      </c>
      <c r="M6" s="57">
        <f t="shared" si="2"/>
        <v>0</v>
      </c>
      <c r="N6" s="16" t="s">
        <v>147</v>
      </c>
      <c r="O6" s="26">
        <v>0</v>
      </c>
      <c r="P6" s="26">
        <v>40</v>
      </c>
      <c r="Q6" s="26">
        <v>40</v>
      </c>
    </row>
    <row r="7" spans="1:17" x14ac:dyDescent="0.25">
      <c r="A7" t="s">
        <v>4</v>
      </c>
      <c r="B7" s="16" t="s">
        <v>156</v>
      </c>
      <c r="C7" s="16" t="s">
        <v>289</v>
      </c>
      <c r="D7" s="16" t="s">
        <v>19</v>
      </c>
      <c r="E7" s="27" t="s">
        <v>202</v>
      </c>
      <c r="F7" s="27" t="s">
        <v>202</v>
      </c>
      <c r="G7" s="27" t="s">
        <v>202</v>
      </c>
      <c r="H7" s="27" t="s">
        <v>202</v>
      </c>
      <c r="I7" s="27" t="s">
        <v>202</v>
      </c>
      <c r="J7" s="27" t="s">
        <v>202</v>
      </c>
      <c r="K7" s="73" t="s">
        <v>202</v>
      </c>
      <c r="L7" t="str">
        <f t="shared" si="1"/>
        <v>Verizon Lease (24 months) Smartphone</v>
      </c>
      <c r="M7" s="57" t="str">
        <f t="shared" si="2"/>
        <v>N/A</v>
      </c>
      <c r="N7" s="52" t="s">
        <v>202</v>
      </c>
      <c r="O7" s="27" t="s">
        <v>202</v>
      </c>
      <c r="P7" s="27" t="s">
        <v>202</v>
      </c>
      <c r="Q7" s="27" t="s">
        <v>202</v>
      </c>
    </row>
    <row r="8" spans="1:17" x14ac:dyDescent="0.25">
      <c r="A8" t="s">
        <v>4</v>
      </c>
      <c r="B8" s="16" t="s">
        <v>157</v>
      </c>
      <c r="C8" s="16" t="s">
        <v>161</v>
      </c>
      <c r="D8" s="16" t="s">
        <v>19</v>
      </c>
      <c r="E8" s="16">
        <v>24</v>
      </c>
      <c r="F8" s="26">
        <v>20</v>
      </c>
      <c r="G8" s="16" t="s">
        <v>147</v>
      </c>
      <c r="H8" s="26">
        <v>49.99</v>
      </c>
      <c r="I8" s="25">
        <v>40</v>
      </c>
      <c r="J8" s="26">
        <v>0</v>
      </c>
      <c r="K8" s="72">
        <f t="shared" si="0"/>
        <v>2.0829166666666667</v>
      </c>
      <c r="L8" t="str">
        <f t="shared" si="1"/>
        <v>Verizon Discount Basic phone</v>
      </c>
      <c r="M8" s="57">
        <f t="shared" si="2"/>
        <v>2.0829166666666667</v>
      </c>
      <c r="N8" s="52" t="s">
        <v>147</v>
      </c>
      <c r="O8" s="26">
        <v>0</v>
      </c>
      <c r="P8" s="25">
        <v>40</v>
      </c>
      <c r="Q8" s="26">
        <v>20</v>
      </c>
    </row>
    <row r="9" spans="1:17" x14ac:dyDescent="0.25">
      <c r="A9" t="s">
        <v>4</v>
      </c>
      <c r="B9" s="16" t="s">
        <v>157</v>
      </c>
      <c r="C9" s="16" t="s">
        <v>160</v>
      </c>
      <c r="D9" s="16" t="s">
        <v>19</v>
      </c>
      <c r="E9" s="16">
        <v>0</v>
      </c>
      <c r="F9" s="26">
        <v>20</v>
      </c>
      <c r="G9" s="16" t="s">
        <v>195</v>
      </c>
      <c r="H9" s="26">
        <v>149.99</v>
      </c>
      <c r="I9" s="25">
        <v>40</v>
      </c>
      <c r="J9" s="26">
        <v>0</v>
      </c>
      <c r="K9" s="72">
        <f t="shared" si="0"/>
        <v>6.2495833333333337</v>
      </c>
      <c r="L9" t="str">
        <f t="shared" si="1"/>
        <v>Verizon Pay in Full Basic phone</v>
      </c>
      <c r="M9" s="57">
        <f t="shared" si="2"/>
        <v>6.2495833333333337</v>
      </c>
      <c r="N9" s="52" t="s">
        <v>195</v>
      </c>
      <c r="O9" s="26">
        <v>0</v>
      </c>
      <c r="P9" s="25">
        <v>40</v>
      </c>
      <c r="Q9" s="26">
        <v>20</v>
      </c>
    </row>
    <row r="10" spans="1:17" x14ac:dyDescent="0.25">
      <c r="A10" t="s">
        <v>4</v>
      </c>
      <c r="B10" s="16" t="s">
        <v>157</v>
      </c>
      <c r="C10" s="16" t="s">
        <v>0</v>
      </c>
      <c r="D10" s="16" t="s">
        <v>19</v>
      </c>
      <c r="E10" s="16">
        <v>0</v>
      </c>
      <c r="F10" s="26">
        <v>20</v>
      </c>
      <c r="G10" s="16" t="s">
        <v>195</v>
      </c>
      <c r="H10" s="26">
        <v>149.99</v>
      </c>
      <c r="I10" s="26">
        <v>0</v>
      </c>
      <c r="J10" s="26">
        <v>0</v>
      </c>
      <c r="K10" s="72">
        <f t="shared" si="0"/>
        <v>6.2495833333333337</v>
      </c>
      <c r="L10" t="str">
        <f t="shared" si="1"/>
        <v>Verizon Finance Basic phone</v>
      </c>
      <c r="M10" s="57">
        <f t="shared" si="2"/>
        <v>6.2495833333333337</v>
      </c>
      <c r="N10" s="52" t="s">
        <v>195</v>
      </c>
      <c r="O10" s="26">
        <v>0</v>
      </c>
      <c r="P10" s="26">
        <v>0</v>
      </c>
      <c r="Q10" s="26">
        <v>20</v>
      </c>
    </row>
    <row r="11" spans="1:17" x14ac:dyDescent="0.25">
      <c r="A11" t="s">
        <v>4</v>
      </c>
      <c r="B11" s="16" t="s">
        <v>157</v>
      </c>
      <c r="C11" s="16" t="s">
        <v>193</v>
      </c>
      <c r="D11" s="16" t="s">
        <v>19</v>
      </c>
      <c r="E11" s="16">
        <v>0</v>
      </c>
      <c r="F11" s="26">
        <v>20</v>
      </c>
      <c r="G11" s="16" t="s">
        <v>195</v>
      </c>
      <c r="H11" s="26">
        <v>75</v>
      </c>
      <c r="I11" s="25">
        <v>40</v>
      </c>
      <c r="J11" s="26">
        <v>0</v>
      </c>
      <c r="K11" s="72">
        <f t="shared" si="0"/>
        <v>3.125</v>
      </c>
      <c r="L11" t="str">
        <f t="shared" si="1"/>
        <v>Verizon 3rd Party Basic phone</v>
      </c>
      <c r="M11" s="57">
        <f t="shared" si="2"/>
        <v>3.125</v>
      </c>
      <c r="N11" s="52" t="s">
        <v>195</v>
      </c>
      <c r="O11" s="26">
        <v>0</v>
      </c>
      <c r="P11" s="25">
        <v>40</v>
      </c>
      <c r="Q11" s="26">
        <v>20</v>
      </c>
    </row>
    <row r="12" spans="1:17" x14ac:dyDescent="0.25">
      <c r="A12" t="s">
        <v>4</v>
      </c>
      <c r="B12" s="16" t="s">
        <v>157</v>
      </c>
      <c r="C12" s="16" t="s">
        <v>196</v>
      </c>
      <c r="D12" s="16" t="s">
        <v>19</v>
      </c>
      <c r="E12" s="16">
        <v>0</v>
      </c>
      <c r="F12" s="26">
        <v>20</v>
      </c>
      <c r="G12" s="16" t="s">
        <v>195</v>
      </c>
      <c r="H12" s="26">
        <v>0</v>
      </c>
      <c r="I12" s="25">
        <v>40</v>
      </c>
      <c r="J12" s="26">
        <v>0</v>
      </c>
      <c r="K12" s="72">
        <f t="shared" si="0"/>
        <v>0</v>
      </c>
      <c r="L12" t="str">
        <f t="shared" si="1"/>
        <v>Verizon Bring your Own  Basic phone</v>
      </c>
      <c r="M12" s="57">
        <f t="shared" si="2"/>
        <v>0</v>
      </c>
      <c r="N12" s="52" t="s">
        <v>195</v>
      </c>
      <c r="O12" s="26">
        <v>0</v>
      </c>
      <c r="P12" s="25">
        <v>40</v>
      </c>
      <c r="Q12" s="26">
        <v>20</v>
      </c>
    </row>
    <row r="13" spans="1:17" x14ac:dyDescent="0.25">
      <c r="A13" t="s">
        <v>4</v>
      </c>
      <c r="B13" s="16" t="s">
        <v>157</v>
      </c>
      <c r="C13" s="16" t="s">
        <v>289</v>
      </c>
      <c r="D13" s="16" t="s">
        <v>19</v>
      </c>
      <c r="E13" s="27" t="s">
        <v>202</v>
      </c>
      <c r="F13" s="27" t="s">
        <v>202</v>
      </c>
      <c r="G13" s="27" t="s">
        <v>202</v>
      </c>
      <c r="H13" s="27" t="s">
        <v>202</v>
      </c>
      <c r="I13" s="27" t="s">
        <v>202</v>
      </c>
      <c r="J13" s="27" t="s">
        <v>202</v>
      </c>
      <c r="K13" s="73" t="s">
        <v>202</v>
      </c>
      <c r="L13" t="str">
        <f t="shared" si="1"/>
        <v>Verizon Lease (24 months) Basic phone</v>
      </c>
      <c r="M13" s="57" t="str">
        <f t="shared" si="2"/>
        <v>N/A</v>
      </c>
      <c r="N13" s="52" t="s">
        <v>202</v>
      </c>
      <c r="O13" s="27" t="s">
        <v>202</v>
      </c>
      <c r="P13" s="27" t="s">
        <v>202</v>
      </c>
      <c r="Q13" s="27" t="s">
        <v>202</v>
      </c>
    </row>
    <row r="14" spans="1:17" x14ac:dyDescent="0.25">
      <c r="A14" t="s">
        <v>305</v>
      </c>
      <c r="B14" s="16" t="s">
        <v>156</v>
      </c>
      <c r="C14" s="16" t="s">
        <v>161</v>
      </c>
      <c r="D14" s="16" t="s">
        <v>19</v>
      </c>
      <c r="E14" s="27" t="s">
        <v>202</v>
      </c>
      <c r="F14" s="27" t="s">
        <v>202</v>
      </c>
      <c r="G14" s="27" t="s">
        <v>202</v>
      </c>
      <c r="H14" s="27" t="s">
        <v>202</v>
      </c>
      <c r="I14" s="27" t="s">
        <v>202</v>
      </c>
      <c r="J14" s="27" t="s">
        <v>202</v>
      </c>
      <c r="K14" s="73" t="s">
        <v>202</v>
      </c>
      <c r="L14" t="str">
        <f t="shared" si="1"/>
        <v>T-Mobile Discount Smartphone</v>
      </c>
      <c r="M14" s="57" t="str">
        <f t="shared" si="2"/>
        <v>N/A</v>
      </c>
      <c r="N14" s="52" t="s">
        <v>202</v>
      </c>
      <c r="O14" s="27" t="s">
        <v>202</v>
      </c>
      <c r="P14" s="27" t="s">
        <v>202</v>
      </c>
      <c r="Q14" s="27" t="s">
        <v>202</v>
      </c>
    </row>
    <row r="15" spans="1:17" x14ac:dyDescent="0.25">
      <c r="A15" t="s">
        <v>305</v>
      </c>
      <c r="B15" s="16" t="s">
        <v>156</v>
      </c>
      <c r="C15" s="16" t="s">
        <v>160</v>
      </c>
      <c r="D15" s="16" t="s">
        <v>19</v>
      </c>
      <c r="E15" s="16">
        <v>0</v>
      </c>
      <c r="F15" s="26">
        <v>0</v>
      </c>
      <c r="G15" s="27" t="s">
        <v>202</v>
      </c>
      <c r="H15" s="26">
        <v>649</v>
      </c>
      <c r="I15" s="26">
        <v>15</v>
      </c>
      <c r="J15" s="26">
        <v>0</v>
      </c>
      <c r="K15" s="72">
        <f t="shared" si="0"/>
        <v>27.041666666666668</v>
      </c>
      <c r="L15" t="str">
        <f t="shared" si="1"/>
        <v>T-Mobile Pay in Full Smartphone</v>
      </c>
      <c r="M15" s="57">
        <f t="shared" si="2"/>
        <v>27.041666666666668</v>
      </c>
      <c r="N15" s="52" t="s">
        <v>202</v>
      </c>
      <c r="O15" s="26">
        <v>0</v>
      </c>
      <c r="P15" s="26">
        <v>15</v>
      </c>
      <c r="Q15" s="26">
        <v>0</v>
      </c>
    </row>
    <row r="16" spans="1:17" x14ac:dyDescent="0.25">
      <c r="A16" t="s">
        <v>305</v>
      </c>
      <c r="B16" s="16" t="s">
        <v>156</v>
      </c>
      <c r="C16" s="16" t="s">
        <v>0</v>
      </c>
      <c r="D16" s="16" t="s">
        <v>19</v>
      </c>
      <c r="E16" s="16">
        <v>0</v>
      </c>
      <c r="F16" s="26">
        <v>0</v>
      </c>
      <c r="G16" s="27" t="s">
        <v>202</v>
      </c>
      <c r="H16" s="26">
        <v>649</v>
      </c>
      <c r="I16" s="26">
        <v>15</v>
      </c>
      <c r="J16" s="26">
        <v>0</v>
      </c>
      <c r="K16" s="72">
        <f t="shared" si="0"/>
        <v>27.041666666666668</v>
      </c>
      <c r="L16" t="str">
        <f t="shared" si="1"/>
        <v>T-Mobile Finance Smartphone</v>
      </c>
      <c r="M16" s="57">
        <f t="shared" si="2"/>
        <v>27.041666666666668</v>
      </c>
      <c r="N16" s="52" t="s">
        <v>202</v>
      </c>
      <c r="O16" s="26">
        <v>0</v>
      </c>
      <c r="P16" s="26">
        <v>15</v>
      </c>
      <c r="Q16" s="26">
        <v>0</v>
      </c>
    </row>
    <row r="17" spans="1:17" x14ac:dyDescent="0.25">
      <c r="A17" t="s">
        <v>305</v>
      </c>
      <c r="B17" s="16" t="s">
        <v>156</v>
      </c>
      <c r="C17" s="16" t="s">
        <v>193</v>
      </c>
      <c r="D17" s="16" t="s">
        <v>19</v>
      </c>
      <c r="E17" s="16">
        <v>0</v>
      </c>
      <c r="F17" s="26">
        <v>0</v>
      </c>
      <c r="G17" s="27" t="s">
        <v>202</v>
      </c>
      <c r="H17" s="26">
        <v>900</v>
      </c>
      <c r="I17" s="26">
        <v>15</v>
      </c>
      <c r="J17" s="26">
        <v>0</v>
      </c>
      <c r="K17" s="72">
        <f t="shared" si="0"/>
        <v>37.5</v>
      </c>
      <c r="L17" t="str">
        <f t="shared" si="1"/>
        <v>T-Mobile 3rd Party Smartphone</v>
      </c>
      <c r="M17" s="57">
        <f t="shared" si="2"/>
        <v>37.5</v>
      </c>
      <c r="N17" s="52" t="s">
        <v>202</v>
      </c>
      <c r="O17" s="26">
        <v>0</v>
      </c>
      <c r="P17" s="26">
        <v>15</v>
      </c>
      <c r="Q17" s="26">
        <v>0</v>
      </c>
    </row>
    <row r="18" spans="1:17" x14ac:dyDescent="0.25">
      <c r="A18" t="s">
        <v>305</v>
      </c>
      <c r="B18" s="16" t="s">
        <v>156</v>
      </c>
      <c r="C18" s="16" t="s">
        <v>196</v>
      </c>
      <c r="D18" s="16" t="s">
        <v>19</v>
      </c>
      <c r="E18" s="16">
        <v>0</v>
      </c>
      <c r="F18" s="26">
        <v>0</v>
      </c>
      <c r="G18" s="27" t="s">
        <v>202</v>
      </c>
      <c r="H18" s="26">
        <v>0</v>
      </c>
      <c r="I18" s="26">
        <v>15</v>
      </c>
      <c r="J18" s="26">
        <v>0</v>
      </c>
      <c r="K18" s="72">
        <f t="shared" si="0"/>
        <v>0</v>
      </c>
      <c r="L18" t="str">
        <f t="shared" si="1"/>
        <v>T-Mobile Bring your Own  Smartphone</v>
      </c>
      <c r="M18" s="57">
        <f t="shared" si="2"/>
        <v>0</v>
      </c>
      <c r="N18" s="52" t="s">
        <v>202</v>
      </c>
      <c r="O18" s="26">
        <v>0</v>
      </c>
      <c r="P18" s="26">
        <v>15</v>
      </c>
      <c r="Q18" s="26">
        <v>0</v>
      </c>
    </row>
    <row r="19" spans="1:17" x14ac:dyDescent="0.25">
      <c r="A19" t="s">
        <v>305</v>
      </c>
      <c r="B19" s="16" t="s">
        <v>156</v>
      </c>
      <c r="C19" s="16" t="s">
        <v>289</v>
      </c>
      <c r="D19" s="16" t="s">
        <v>19</v>
      </c>
      <c r="E19" s="27" t="s">
        <v>202</v>
      </c>
      <c r="F19" s="27" t="s">
        <v>202</v>
      </c>
      <c r="G19" s="27" t="s">
        <v>202</v>
      </c>
      <c r="H19" s="27" t="s">
        <v>202</v>
      </c>
      <c r="I19" s="27" t="s">
        <v>202</v>
      </c>
      <c r="J19" s="27" t="s">
        <v>202</v>
      </c>
      <c r="K19" s="73" t="s">
        <v>202</v>
      </c>
      <c r="L19" t="str">
        <f t="shared" si="1"/>
        <v>T-Mobile Lease (24 months) Smartphone</v>
      </c>
      <c r="M19" s="57" t="str">
        <f t="shared" si="2"/>
        <v>N/A</v>
      </c>
      <c r="N19" s="52" t="s">
        <v>202</v>
      </c>
      <c r="O19" s="27" t="s">
        <v>202</v>
      </c>
      <c r="P19" s="27" t="s">
        <v>202</v>
      </c>
      <c r="Q19" s="27" t="s">
        <v>202</v>
      </c>
    </row>
    <row r="20" spans="1:17" x14ac:dyDescent="0.25">
      <c r="A20" t="s">
        <v>305</v>
      </c>
      <c r="B20" s="16" t="s">
        <v>157</v>
      </c>
      <c r="C20" s="16" t="s">
        <v>161</v>
      </c>
      <c r="D20" s="16" t="s">
        <v>19</v>
      </c>
      <c r="E20" s="27" t="s">
        <v>202</v>
      </c>
      <c r="F20" s="27" t="s">
        <v>202</v>
      </c>
      <c r="G20" s="27" t="s">
        <v>202</v>
      </c>
      <c r="H20" s="27" t="s">
        <v>202</v>
      </c>
      <c r="I20" s="27" t="s">
        <v>202</v>
      </c>
      <c r="J20" s="27" t="s">
        <v>202</v>
      </c>
      <c r="K20" s="73" t="s">
        <v>202</v>
      </c>
      <c r="L20" t="str">
        <f t="shared" si="1"/>
        <v>T-Mobile Discount Basic phone</v>
      </c>
      <c r="M20" s="57" t="str">
        <f t="shared" si="2"/>
        <v>N/A</v>
      </c>
      <c r="N20" s="52" t="s">
        <v>202</v>
      </c>
      <c r="O20" s="27" t="s">
        <v>202</v>
      </c>
      <c r="P20" s="27" t="s">
        <v>202</v>
      </c>
      <c r="Q20" s="27" t="s">
        <v>202</v>
      </c>
    </row>
    <row r="21" spans="1:17" x14ac:dyDescent="0.25">
      <c r="A21" t="s">
        <v>305</v>
      </c>
      <c r="B21" s="16" t="s">
        <v>157</v>
      </c>
      <c r="C21" s="16" t="s">
        <v>160</v>
      </c>
      <c r="D21" s="16" t="s">
        <v>19</v>
      </c>
      <c r="E21" s="16">
        <v>0</v>
      </c>
      <c r="F21" s="26">
        <v>0</v>
      </c>
      <c r="G21" s="27" t="s">
        <v>202</v>
      </c>
      <c r="H21" s="26">
        <v>60</v>
      </c>
      <c r="I21" s="26">
        <v>15</v>
      </c>
      <c r="J21" s="26">
        <v>0</v>
      </c>
      <c r="K21" s="72">
        <f t="shared" si="0"/>
        <v>2.5</v>
      </c>
      <c r="L21" t="str">
        <f t="shared" si="1"/>
        <v>T-Mobile Pay in Full Basic phone</v>
      </c>
      <c r="M21" s="57">
        <f t="shared" si="2"/>
        <v>2.5</v>
      </c>
      <c r="N21" s="52" t="s">
        <v>202</v>
      </c>
      <c r="O21" s="26">
        <v>0</v>
      </c>
      <c r="P21" s="26">
        <v>15</v>
      </c>
      <c r="Q21" s="26">
        <v>0</v>
      </c>
    </row>
    <row r="22" spans="1:17" x14ac:dyDescent="0.25">
      <c r="A22" t="s">
        <v>305</v>
      </c>
      <c r="B22" s="16" t="s">
        <v>157</v>
      </c>
      <c r="C22" s="16" t="s">
        <v>0</v>
      </c>
      <c r="D22" s="16" t="s">
        <v>19</v>
      </c>
      <c r="E22" s="16">
        <v>0</v>
      </c>
      <c r="F22" s="26">
        <v>0</v>
      </c>
      <c r="G22" s="27" t="s">
        <v>202</v>
      </c>
      <c r="H22" s="26">
        <v>60</v>
      </c>
      <c r="I22" s="26">
        <v>15</v>
      </c>
      <c r="J22" s="26">
        <v>0</v>
      </c>
      <c r="K22" s="72">
        <f t="shared" si="0"/>
        <v>2.5</v>
      </c>
      <c r="L22" t="str">
        <f t="shared" si="1"/>
        <v>T-Mobile Finance Basic phone</v>
      </c>
      <c r="M22" s="57">
        <f t="shared" si="2"/>
        <v>2.5</v>
      </c>
      <c r="N22" s="52" t="s">
        <v>202</v>
      </c>
      <c r="O22" s="26">
        <v>0</v>
      </c>
      <c r="P22" s="26">
        <v>15</v>
      </c>
      <c r="Q22" s="26">
        <v>0</v>
      </c>
    </row>
    <row r="23" spans="1:17" x14ac:dyDescent="0.25">
      <c r="A23" t="s">
        <v>305</v>
      </c>
      <c r="B23" s="16" t="s">
        <v>157</v>
      </c>
      <c r="C23" s="16" t="s">
        <v>193</v>
      </c>
      <c r="D23" s="16" t="s">
        <v>19</v>
      </c>
      <c r="E23" s="16">
        <v>0</v>
      </c>
      <c r="F23" s="26">
        <v>0</v>
      </c>
      <c r="G23" s="27" t="s">
        <v>202</v>
      </c>
      <c r="H23" s="26">
        <v>30</v>
      </c>
      <c r="I23" s="26">
        <v>15</v>
      </c>
      <c r="J23" s="26">
        <v>0</v>
      </c>
      <c r="K23" s="72">
        <f t="shared" si="0"/>
        <v>1.25</v>
      </c>
      <c r="L23" t="str">
        <f t="shared" si="1"/>
        <v>T-Mobile 3rd Party Basic phone</v>
      </c>
      <c r="M23" s="57">
        <f t="shared" si="2"/>
        <v>1.25</v>
      </c>
      <c r="N23" s="52" t="s">
        <v>202</v>
      </c>
      <c r="O23" s="26">
        <v>0</v>
      </c>
      <c r="P23" s="26">
        <v>15</v>
      </c>
      <c r="Q23" s="26">
        <v>0</v>
      </c>
    </row>
    <row r="24" spans="1:17" x14ac:dyDescent="0.25">
      <c r="A24" t="s">
        <v>305</v>
      </c>
      <c r="B24" s="16" t="s">
        <v>157</v>
      </c>
      <c r="C24" s="16" t="s">
        <v>196</v>
      </c>
      <c r="D24" s="16" t="s">
        <v>19</v>
      </c>
      <c r="E24" s="16">
        <v>0</v>
      </c>
      <c r="F24" s="26">
        <v>0</v>
      </c>
      <c r="G24" s="27" t="s">
        <v>202</v>
      </c>
      <c r="H24" s="26">
        <v>0</v>
      </c>
      <c r="I24" s="26">
        <v>15</v>
      </c>
      <c r="J24" s="26">
        <v>0</v>
      </c>
      <c r="K24" s="72">
        <f t="shared" si="0"/>
        <v>0</v>
      </c>
      <c r="L24" t="str">
        <f t="shared" si="1"/>
        <v>T-Mobile Bring your Own  Basic phone</v>
      </c>
      <c r="M24" s="57">
        <f t="shared" si="2"/>
        <v>0</v>
      </c>
      <c r="N24" s="52" t="s">
        <v>202</v>
      </c>
      <c r="O24" s="26">
        <v>0</v>
      </c>
      <c r="P24" s="26">
        <v>15</v>
      </c>
      <c r="Q24" s="26">
        <v>0</v>
      </c>
    </row>
    <row r="25" spans="1:17" x14ac:dyDescent="0.25">
      <c r="A25" t="s">
        <v>305</v>
      </c>
      <c r="B25" s="16" t="s">
        <v>157</v>
      </c>
      <c r="C25" s="16" t="s">
        <v>289</v>
      </c>
      <c r="D25" s="16" t="s">
        <v>19</v>
      </c>
      <c r="E25" s="27" t="s">
        <v>202</v>
      </c>
      <c r="F25" s="27" t="s">
        <v>202</v>
      </c>
      <c r="G25" s="27" t="s">
        <v>202</v>
      </c>
      <c r="H25" s="27" t="s">
        <v>202</v>
      </c>
      <c r="I25" s="27" t="s">
        <v>202</v>
      </c>
      <c r="J25" s="27" t="s">
        <v>202</v>
      </c>
      <c r="K25" s="73" t="s">
        <v>202</v>
      </c>
      <c r="L25" t="str">
        <f t="shared" si="1"/>
        <v>T-Mobile Lease (24 months) Basic phone</v>
      </c>
      <c r="M25" s="57" t="str">
        <f t="shared" si="2"/>
        <v>N/A</v>
      </c>
      <c r="N25" s="52" t="s">
        <v>202</v>
      </c>
      <c r="O25" s="27" t="s">
        <v>202</v>
      </c>
      <c r="P25" s="27" t="s">
        <v>202</v>
      </c>
      <c r="Q25" s="27" t="s">
        <v>202</v>
      </c>
    </row>
    <row r="26" spans="1:17" x14ac:dyDescent="0.25">
      <c r="A26" t="s">
        <v>54</v>
      </c>
      <c r="B26" s="16" t="s">
        <v>156</v>
      </c>
      <c r="C26" s="16" t="s">
        <v>161</v>
      </c>
      <c r="D26" s="16" t="s">
        <v>19</v>
      </c>
      <c r="E26" s="16">
        <v>24</v>
      </c>
      <c r="F26" s="26">
        <v>40</v>
      </c>
      <c r="G26" s="16" t="s">
        <v>147</v>
      </c>
      <c r="H26" s="26">
        <v>199.99</v>
      </c>
      <c r="I26" s="26">
        <v>40</v>
      </c>
      <c r="J26" s="26">
        <v>0</v>
      </c>
      <c r="K26" s="72">
        <f t="shared" si="0"/>
        <v>8.3329166666666676</v>
      </c>
      <c r="L26" t="str">
        <f t="shared" si="1"/>
        <v>ATT Discount Smartphone</v>
      </c>
      <c r="M26" s="57">
        <f t="shared" si="2"/>
        <v>8.3329166666666676</v>
      </c>
      <c r="N26" s="52" t="s">
        <v>147</v>
      </c>
      <c r="O26" s="26">
        <v>0</v>
      </c>
      <c r="P26" s="26">
        <v>40</v>
      </c>
      <c r="Q26" s="26">
        <v>40</v>
      </c>
    </row>
    <row r="27" spans="1:17" x14ac:dyDescent="0.25">
      <c r="A27" t="s">
        <v>54</v>
      </c>
      <c r="B27" s="16" t="s">
        <v>156</v>
      </c>
      <c r="C27" s="16" t="s">
        <v>160</v>
      </c>
      <c r="D27" s="16" t="s">
        <v>19</v>
      </c>
      <c r="E27" s="16">
        <v>0</v>
      </c>
      <c r="F27" s="26">
        <v>40</v>
      </c>
      <c r="G27" s="16" t="s">
        <v>195</v>
      </c>
      <c r="H27" s="26">
        <v>649</v>
      </c>
      <c r="I27" s="26">
        <v>40</v>
      </c>
      <c r="J27" s="26">
        <v>0</v>
      </c>
      <c r="K27" s="72">
        <f t="shared" si="0"/>
        <v>27.041666666666668</v>
      </c>
      <c r="L27" t="str">
        <f t="shared" si="1"/>
        <v>ATT Pay in Full Smartphone</v>
      </c>
      <c r="M27" s="57">
        <f t="shared" si="2"/>
        <v>27.041666666666668</v>
      </c>
      <c r="N27" s="52" t="s">
        <v>195</v>
      </c>
      <c r="O27" s="26">
        <v>0</v>
      </c>
      <c r="P27" s="26">
        <v>40</v>
      </c>
      <c r="Q27" s="26">
        <v>40</v>
      </c>
    </row>
    <row r="28" spans="1:17" x14ac:dyDescent="0.25">
      <c r="A28" t="s">
        <v>54</v>
      </c>
      <c r="B28" s="16" t="s">
        <v>156</v>
      </c>
      <c r="C28" s="16" t="s">
        <v>0</v>
      </c>
      <c r="D28" s="16" t="s">
        <v>19</v>
      </c>
      <c r="E28" s="16">
        <v>0</v>
      </c>
      <c r="F28" s="26">
        <v>40</v>
      </c>
      <c r="G28" s="16" t="s">
        <v>195</v>
      </c>
      <c r="H28" s="26">
        <v>649</v>
      </c>
      <c r="I28" s="26">
        <v>0</v>
      </c>
      <c r="J28" s="26">
        <v>0</v>
      </c>
      <c r="K28" s="72">
        <f t="shared" si="0"/>
        <v>27.041666666666668</v>
      </c>
      <c r="L28" t="str">
        <f t="shared" si="1"/>
        <v>ATT Finance Smartphone</v>
      </c>
      <c r="M28" s="57">
        <f t="shared" si="2"/>
        <v>27.041666666666668</v>
      </c>
      <c r="N28" s="52" t="s">
        <v>195</v>
      </c>
      <c r="O28" s="26">
        <v>0</v>
      </c>
      <c r="P28" s="26">
        <v>0</v>
      </c>
      <c r="Q28" s="26">
        <v>40</v>
      </c>
    </row>
    <row r="29" spans="1:17" x14ac:dyDescent="0.25">
      <c r="A29" t="s">
        <v>54</v>
      </c>
      <c r="B29" s="16" t="s">
        <v>156</v>
      </c>
      <c r="C29" s="16" t="s">
        <v>193</v>
      </c>
      <c r="D29" s="16" t="s">
        <v>19</v>
      </c>
      <c r="E29" s="16">
        <v>0</v>
      </c>
      <c r="F29" s="26">
        <v>40</v>
      </c>
      <c r="G29" s="16" t="s">
        <v>195</v>
      </c>
      <c r="H29" s="26">
        <v>900</v>
      </c>
      <c r="I29" s="26">
        <v>40</v>
      </c>
      <c r="J29" s="26">
        <v>0</v>
      </c>
      <c r="K29" s="72">
        <f t="shared" si="0"/>
        <v>37.5</v>
      </c>
      <c r="L29" t="str">
        <f t="shared" si="1"/>
        <v>ATT 3rd Party Smartphone</v>
      </c>
      <c r="M29" s="57">
        <f t="shared" si="2"/>
        <v>37.5</v>
      </c>
      <c r="N29" s="52" t="s">
        <v>195</v>
      </c>
      <c r="O29" s="26">
        <v>0</v>
      </c>
      <c r="P29" s="26">
        <v>40</v>
      </c>
      <c r="Q29" s="26">
        <v>40</v>
      </c>
    </row>
    <row r="30" spans="1:17" x14ac:dyDescent="0.25">
      <c r="A30" t="s">
        <v>54</v>
      </c>
      <c r="B30" s="16" t="s">
        <v>156</v>
      </c>
      <c r="C30" s="16" t="s">
        <v>196</v>
      </c>
      <c r="D30" s="16" t="s">
        <v>19</v>
      </c>
      <c r="E30" s="16">
        <v>0</v>
      </c>
      <c r="F30" s="26">
        <v>40</v>
      </c>
      <c r="G30" s="16" t="s">
        <v>195</v>
      </c>
      <c r="H30" s="26">
        <v>0</v>
      </c>
      <c r="I30" s="26">
        <v>40</v>
      </c>
      <c r="J30" s="26">
        <v>0</v>
      </c>
      <c r="K30" s="72">
        <f t="shared" si="0"/>
        <v>0</v>
      </c>
      <c r="L30" t="str">
        <f t="shared" si="1"/>
        <v>ATT Bring your Own  Smartphone</v>
      </c>
      <c r="M30" s="57">
        <f t="shared" si="2"/>
        <v>0</v>
      </c>
      <c r="N30" s="52" t="s">
        <v>195</v>
      </c>
      <c r="O30" s="26">
        <v>0</v>
      </c>
      <c r="P30" s="26">
        <v>40</v>
      </c>
      <c r="Q30" s="26">
        <v>40</v>
      </c>
    </row>
    <row r="31" spans="1:17" x14ac:dyDescent="0.25">
      <c r="A31" t="s">
        <v>54</v>
      </c>
      <c r="B31" s="16" t="s">
        <v>156</v>
      </c>
      <c r="C31" s="16" t="s">
        <v>289</v>
      </c>
      <c r="D31" s="16" t="s">
        <v>19</v>
      </c>
      <c r="E31" s="27" t="s">
        <v>202</v>
      </c>
      <c r="F31" s="27" t="s">
        <v>202</v>
      </c>
      <c r="G31" s="27" t="s">
        <v>202</v>
      </c>
      <c r="H31" s="27" t="s">
        <v>202</v>
      </c>
      <c r="I31" s="27" t="s">
        <v>202</v>
      </c>
      <c r="J31" s="27" t="s">
        <v>202</v>
      </c>
      <c r="K31" s="73" t="s">
        <v>202</v>
      </c>
      <c r="L31" t="str">
        <f t="shared" si="1"/>
        <v>ATT Lease (24 months) Smartphone</v>
      </c>
      <c r="M31" s="57" t="str">
        <f t="shared" si="2"/>
        <v>N/A</v>
      </c>
      <c r="N31" s="52" t="s">
        <v>202</v>
      </c>
      <c r="O31" s="27" t="s">
        <v>202</v>
      </c>
      <c r="P31" s="27" t="s">
        <v>202</v>
      </c>
      <c r="Q31" s="27" t="s">
        <v>202</v>
      </c>
    </row>
    <row r="32" spans="1:17" x14ac:dyDescent="0.25">
      <c r="A32" t="s">
        <v>54</v>
      </c>
      <c r="B32" s="16" t="s">
        <v>157</v>
      </c>
      <c r="C32" s="16" t="s">
        <v>161</v>
      </c>
      <c r="D32" s="16" t="s">
        <v>19</v>
      </c>
      <c r="E32" s="16">
        <v>24</v>
      </c>
      <c r="F32" s="26">
        <v>20</v>
      </c>
      <c r="G32" s="16" t="s">
        <v>147</v>
      </c>
      <c r="H32" s="26">
        <v>49.99</v>
      </c>
      <c r="I32" s="25">
        <v>40</v>
      </c>
      <c r="J32" s="26">
        <v>0</v>
      </c>
      <c r="K32" s="72">
        <f t="shared" si="0"/>
        <v>2.0829166666666667</v>
      </c>
      <c r="L32" t="str">
        <f t="shared" si="1"/>
        <v>ATT Discount Basic phone</v>
      </c>
      <c r="M32" s="57">
        <f t="shared" si="2"/>
        <v>2.0829166666666667</v>
      </c>
      <c r="N32" s="52" t="s">
        <v>147</v>
      </c>
      <c r="O32" s="26">
        <v>0</v>
      </c>
      <c r="P32" s="25">
        <v>40</v>
      </c>
      <c r="Q32" s="26">
        <v>20</v>
      </c>
    </row>
    <row r="33" spans="1:17" x14ac:dyDescent="0.25">
      <c r="A33" t="s">
        <v>54</v>
      </c>
      <c r="B33" s="16" t="s">
        <v>157</v>
      </c>
      <c r="C33" s="16" t="s">
        <v>160</v>
      </c>
      <c r="D33" s="16" t="s">
        <v>19</v>
      </c>
      <c r="E33" s="16">
        <v>0</v>
      </c>
      <c r="F33" s="26">
        <v>20</v>
      </c>
      <c r="G33" s="16" t="s">
        <v>195</v>
      </c>
      <c r="H33" s="26">
        <v>149.99</v>
      </c>
      <c r="I33" s="25">
        <v>40</v>
      </c>
      <c r="J33" s="26">
        <v>0</v>
      </c>
      <c r="K33" s="72">
        <f t="shared" si="0"/>
        <v>6.2495833333333337</v>
      </c>
      <c r="L33" t="str">
        <f t="shared" si="1"/>
        <v>ATT Pay in Full Basic phone</v>
      </c>
      <c r="M33" s="57">
        <f t="shared" si="2"/>
        <v>6.2495833333333337</v>
      </c>
      <c r="N33" s="52" t="s">
        <v>195</v>
      </c>
      <c r="O33" s="26">
        <v>0</v>
      </c>
      <c r="P33" s="25">
        <v>40</v>
      </c>
      <c r="Q33" s="26">
        <v>20</v>
      </c>
    </row>
    <row r="34" spans="1:17" x14ac:dyDescent="0.25">
      <c r="A34" t="s">
        <v>54</v>
      </c>
      <c r="B34" s="16" t="s">
        <v>157</v>
      </c>
      <c r="C34" s="16" t="s">
        <v>0</v>
      </c>
      <c r="D34" s="16" t="s">
        <v>19</v>
      </c>
      <c r="E34" s="16">
        <v>0</v>
      </c>
      <c r="F34" s="26">
        <v>20</v>
      </c>
      <c r="G34" s="16" t="s">
        <v>195</v>
      </c>
      <c r="H34" s="26">
        <v>149.99</v>
      </c>
      <c r="I34" s="26">
        <v>0</v>
      </c>
      <c r="J34" s="26">
        <v>0</v>
      </c>
      <c r="K34" s="72">
        <f t="shared" si="0"/>
        <v>6.2495833333333337</v>
      </c>
      <c r="L34" t="str">
        <f t="shared" si="1"/>
        <v>ATT Finance Basic phone</v>
      </c>
      <c r="M34" s="57">
        <f t="shared" si="2"/>
        <v>6.2495833333333337</v>
      </c>
      <c r="N34" s="52" t="s">
        <v>195</v>
      </c>
      <c r="O34" s="26">
        <v>0</v>
      </c>
      <c r="P34" s="26">
        <v>0</v>
      </c>
      <c r="Q34" s="26">
        <v>20</v>
      </c>
    </row>
    <row r="35" spans="1:17" x14ac:dyDescent="0.25">
      <c r="A35" t="s">
        <v>54</v>
      </c>
      <c r="B35" s="16" t="s">
        <v>157</v>
      </c>
      <c r="C35" s="16" t="s">
        <v>193</v>
      </c>
      <c r="D35" s="16" t="s">
        <v>19</v>
      </c>
      <c r="E35" s="16">
        <v>0</v>
      </c>
      <c r="F35" s="26">
        <v>20</v>
      </c>
      <c r="G35" s="16" t="s">
        <v>195</v>
      </c>
      <c r="H35" s="26">
        <v>75</v>
      </c>
      <c r="I35" s="25">
        <v>40</v>
      </c>
      <c r="J35" s="26">
        <v>0</v>
      </c>
      <c r="K35" s="72">
        <f t="shared" si="0"/>
        <v>3.125</v>
      </c>
      <c r="L35" t="str">
        <f t="shared" si="1"/>
        <v>ATT 3rd Party Basic phone</v>
      </c>
      <c r="M35" s="57">
        <f t="shared" si="2"/>
        <v>3.125</v>
      </c>
      <c r="N35" s="52" t="s">
        <v>195</v>
      </c>
      <c r="O35" s="26">
        <v>0</v>
      </c>
      <c r="P35" s="25">
        <v>40</v>
      </c>
      <c r="Q35" s="26">
        <v>20</v>
      </c>
    </row>
    <row r="36" spans="1:17" x14ac:dyDescent="0.25">
      <c r="A36" t="s">
        <v>54</v>
      </c>
      <c r="B36" s="16" t="s">
        <v>157</v>
      </c>
      <c r="C36" s="16" t="s">
        <v>196</v>
      </c>
      <c r="D36" s="16" t="s">
        <v>19</v>
      </c>
      <c r="E36" s="16">
        <v>0</v>
      </c>
      <c r="F36" s="26">
        <v>20</v>
      </c>
      <c r="G36" s="16" t="s">
        <v>195</v>
      </c>
      <c r="H36" s="26">
        <v>0</v>
      </c>
      <c r="I36" s="25">
        <v>40</v>
      </c>
      <c r="J36" s="26">
        <v>0</v>
      </c>
      <c r="K36" s="72">
        <f t="shared" si="0"/>
        <v>0</v>
      </c>
      <c r="L36" t="str">
        <f t="shared" si="1"/>
        <v>ATT Bring your Own  Basic phone</v>
      </c>
      <c r="M36" s="57">
        <f t="shared" si="2"/>
        <v>0</v>
      </c>
      <c r="N36" s="52" t="s">
        <v>195</v>
      </c>
      <c r="O36" s="26">
        <v>0</v>
      </c>
      <c r="P36" s="25">
        <v>40</v>
      </c>
      <c r="Q36" s="26">
        <v>20</v>
      </c>
    </row>
    <row r="37" spans="1:17" x14ac:dyDescent="0.25">
      <c r="A37" t="s">
        <v>54</v>
      </c>
      <c r="B37" s="16" t="s">
        <v>157</v>
      </c>
      <c r="C37" s="16" t="s">
        <v>289</v>
      </c>
      <c r="D37" s="16" t="s">
        <v>19</v>
      </c>
      <c r="E37" s="27" t="s">
        <v>202</v>
      </c>
      <c r="F37" s="27" t="s">
        <v>202</v>
      </c>
      <c r="G37" s="27" t="s">
        <v>202</v>
      </c>
      <c r="H37" s="27" t="s">
        <v>202</v>
      </c>
      <c r="I37" s="27" t="s">
        <v>202</v>
      </c>
      <c r="J37" s="27" t="s">
        <v>202</v>
      </c>
      <c r="K37" s="73" t="s">
        <v>202</v>
      </c>
      <c r="L37" t="str">
        <f t="shared" si="1"/>
        <v>ATT Lease (24 months) Basic phone</v>
      </c>
      <c r="M37" s="57" t="str">
        <f t="shared" si="2"/>
        <v>N/A</v>
      </c>
      <c r="N37" s="52" t="s">
        <v>202</v>
      </c>
      <c r="O37" s="27" t="s">
        <v>202</v>
      </c>
      <c r="P37" s="27" t="s">
        <v>202</v>
      </c>
      <c r="Q37" s="27" t="s">
        <v>202</v>
      </c>
    </row>
    <row r="38" spans="1:17" x14ac:dyDescent="0.25">
      <c r="A38" t="s">
        <v>205</v>
      </c>
      <c r="B38" s="16" t="s">
        <v>156</v>
      </c>
      <c r="C38" s="16" t="s">
        <v>161</v>
      </c>
      <c r="D38" s="16" t="s">
        <v>19</v>
      </c>
      <c r="E38" s="27" t="s">
        <v>202</v>
      </c>
      <c r="F38" s="27" t="s">
        <v>202</v>
      </c>
      <c r="G38" s="27" t="s">
        <v>202</v>
      </c>
      <c r="H38" s="27" t="s">
        <v>202</v>
      </c>
      <c r="I38" s="27" t="s">
        <v>202</v>
      </c>
      <c r="J38" s="27" t="s">
        <v>202</v>
      </c>
      <c r="K38" s="73" t="s">
        <v>202</v>
      </c>
      <c r="L38" t="str">
        <f t="shared" si="1"/>
        <v>Straight Talk Discount Smartphone</v>
      </c>
      <c r="M38" s="57" t="str">
        <f t="shared" si="2"/>
        <v>N/A</v>
      </c>
      <c r="N38" s="52" t="s">
        <v>202</v>
      </c>
      <c r="O38" s="27" t="s">
        <v>202</v>
      </c>
      <c r="P38" s="27" t="s">
        <v>202</v>
      </c>
      <c r="Q38" s="27" t="s">
        <v>202</v>
      </c>
    </row>
    <row r="39" spans="1:17" x14ac:dyDescent="0.25">
      <c r="A39" t="s">
        <v>205</v>
      </c>
      <c r="B39" s="16" t="s">
        <v>156</v>
      </c>
      <c r="C39" s="16" t="s">
        <v>160</v>
      </c>
      <c r="D39" s="16" t="s">
        <v>19</v>
      </c>
      <c r="E39" s="16">
        <v>0</v>
      </c>
      <c r="F39" s="26">
        <v>0</v>
      </c>
      <c r="G39" s="16" t="s">
        <v>147</v>
      </c>
      <c r="H39" s="26">
        <v>650</v>
      </c>
      <c r="I39" s="26">
        <v>0.99</v>
      </c>
      <c r="J39" s="26">
        <v>0</v>
      </c>
      <c r="K39" s="72">
        <f t="shared" si="0"/>
        <v>27.083333333333332</v>
      </c>
      <c r="L39" t="str">
        <f t="shared" si="1"/>
        <v>Straight Talk Pay in Full Smartphone</v>
      </c>
      <c r="M39" s="57">
        <f t="shared" si="2"/>
        <v>27.083333333333332</v>
      </c>
      <c r="N39" s="52" t="s">
        <v>147</v>
      </c>
      <c r="O39" s="26">
        <v>0</v>
      </c>
      <c r="P39" s="26">
        <v>0.99</v>
      </c>
      <c r="Q39" s="26">
        <v>0</v>
      </c>
    </row>
    <row r="40" spans="1:17" x14ac:dyDescent="0.25">
      <c r="A40" t="s">
        <v>205</v>
      </c>
      <c r="B40" s="16" t="s">
        <v>156</v>
      </c>
      <c r="C40" s="16" t="s">
        <v>0</v>
      </c>
      <c r="D40" s="16" t="s">
        <v>19</v>
      </c>
      <c r="E40" s="16">
        <v>0</v>
      </c>
      <c r="G40" s="16" t="s">
        <v>147</v>
      </c>
      <c r="H40" s="26">
        <v>888</v>
      </c>
      <c r="I40" s="26">
        <v>0.99</v>
      </c>
      <c r="J40" s="26">
        <v>0</v>
      </c>
      <c r="K40" s="72">
        <f t="shared" si="0"/>
        <v>37</v>
      </c>
      <c r="L40" t="str">
        <f t="shared" si="1"/>
        <v>Straight Talk Finance Smartphone</v>
      </c>
      <c r="M40" s="57">
        <f t="shared" si="2"/>
        <v>37</v>
      </c>
      <c r="N40" s="52" t="s">
        <v>147</v>
      </c>
      <c r="O40" s="26">
        <v>0</v>
      </c>
      <c r="P40" s="26">
        <v>0.99</v>
      </c>
    </row>
    <row r="41" spans="1:17" x14ac:dyDescent="0.25">
      <c r="A41" t="s">
        <v>205</v>
      </c>
      <c r="B41" s="16" t="s">
        <v>156</v>
      </c>
      <c r="C41" s="16" t="s">
        <v>193</v>
      </c>
      <c r="D41" s="16" t="s">
        <v>19</v>
      </c>
      <c r="E41" s="16">
        <v>0</v>
      </c>
      <c r="G41" s="16" t="s">
        <v>147</v>
      </c>
      <c r="H41" s="26">
        <v>900</v>
      </c>
      <c r="I41" s="26">
        <v>0.99</v>
      </c>
      <c r="J41" s="26">
        <v>0</v>
      </c>
      <c r="K41" s="72">
        <f t="shared" si="0"/>
        <v>37.5</v>
      </c>
      <c r="L41" t="str">
        <f t="shared" si="1"/>
        <v>Straight Talk 3rd Party Smartphone</v>
      </c>
      <c r="M41" s="57">
        <f t="shared" si="2"/>
        <v>37.5</v>
      </c>
      <c r="N41" s="52" t="s">
        <v>147</v>
      </c>
      <c r="O41" s="26">
        <v>0</v>
      </c>
      <c r="P41" s="26">
        <v>0.99</v>
      </c>
    </row>
    <row r="42" spans="1:17" x14ac:dyDescent="0.25">
      <c r="A42" t="s">
        <v>205</v>
      </c>
      <c r="B42" s="16" t="s">
        <v>156</v>
      </c>
      <c r="C42" s="16" t="s">
        <v>196</v>
      </c>
      <c r="D42" s="16" t="s">
        <v>19</v>
      </c>
      <c r="E42" s="16">
        <v>0</v>
      </c>
      <c r="G42" s="16" t="s">
        <v>147</v>
      </c>
      <c r="H42" s="26">
        <v>0</v>
      </c>
      <c r="I42" s="26">
        <v>0.99</v>
      </c>
      <c r="J42" s="26">
        <v>0</v>
      </c>
      <c r="K42" s="72">
        <f t="shared" si="0"/>
        <v>0</v>
      </c>
      <c r="L42" t="str">
        <f t="shared" si="1"/>
        <v>Straight Talk Bring your Own  Smartphone</v>
      </c>
      <c r="M42" s="57">
        <f t="shared" si="2"/>
        <v>0</v>
      </c>
      <c r="N42" s="52" t="s">
        <v>147</v>
      </c>
      <c r="O42" s="26">
        <v>0</v>
      </c>
      <c r="P42" s="26">
        <v>0.99</v>
      </c>
    </row>
    <row r="43" spans="1:17" x14ac:dyDescent="0.25">
      <c r="A43" t="s">
        <v>205</v>
      </c>
      <c r="B43" s="16" t="s">
        <v>156</v>
      </c>
      <c r="C43" s="16" t="s">
        <v>289</v>
      </c>
      <c r="D43" s="16" t="s">
        <v>19</v>
      </c>
      <c r="E43" s="27" t="s">
        <v>202</v>
      </c>
      <c r="F43" s="27" t="s">
        <v>202</v>
      </c>
      <c r="G43" s="27" t="s">
        <v>202</v>
      </c>
      <c r="H43" s="27" t="s">
        <v>202</v>
      </c>
      <c r="I43" s="27" t="s">
        <v>202</v>
      </c>
      <c r="J43" s="27" t="s">
        <v>202</v>
      </c>
      <c r="K43" s="73" t="s">
        <v>202</v>
      </c>
      <c r="L43" t="str">
        <f t="shared" si="1"/>
        <v>Straight Talk Lease (24 months) Smartphone</v>
      </c>
      <c r="M43" s="57" t="str">
        <f t="shared" si="2"/>
        <v>N/A</v>
      </c>
      <c r="N43" s="52" t="s">
        <v>202</v>
      </c>
      <c r="O43" s="27" t="s">
        <v>202</v>
      </c>
      <c r="P43" s="27" t="s">
        <v>202</v>
      </c>
      <c r="Q43" s="27" t="s">
        <v>202</v>
      </c>
    </row>
    <row r="44" spans="1:17" x14ac:dyDescent="0.25">
      <c r="A44" t="s">
        <v>205</v>
      </c>
      <c r="B44" s="16" t="s">
        <v>157</v>
      </c>
      <c r="C44" s="16" t="s">
        <v>161</v>
      </c>
      <c r="D44" s="16" t="s">
        <v>19</v>
      </c>
      <c r="E44" s="27" t="s">
        <v>202</v>
      </c>
      <c r="F44" s="27" t="s">
        <v>202</v>
      </c>
      <c r="G44" s="27" t="s">
        <v>202</v>
      </c>
      <c r="H44" s="27" t="s">
        <v>202</v>
      </c>
      <c r="I44" s="27" t="s">
        <v>202</v>
      </c>
      <c r="J44" s="27" t="s">
        <v>202</v>
      </c>
      <c r="K44" s="73" t="s">
        <v>202</v>
      </c>
      <c r="L44" t="str">
        <f t="shared" si="1"/>
        <v>Straight Talk Discount Basic phone</v>
      </c>
      <c r="M44" s="57" t="str">
        <f t="shared" si="2"/>
        <v>N/A</v>
      </c>
      <c r="N44" s="52" t="s">
        <v>202</v>
      </c>
      <c r="O44" s="27" t="s">
        <v>202</v>
      </c>
      <c r="P44" s="27" t="s">
        <v>202</v>
      </c>
      <c r="Q44" s="27" t="s">
        <v>202</v>
      </c>
    </row>
    <row r="45" spans="1:17" x14ac:dyDescent="0.25">
      <c r="A45" t="s">
        <v>205</v>
      </c>
      <c r="B45" s="16" t="s">
        <v>157</v>
      </c>
      <c r="C45" s="16" t="s">
        <v>160</v>
      </c>
      <c r="D45" s="16" t="s">
        <v>19</v>
      </c>
      <c r="E45" s="16">
        <v>0</v>
      </c>
      <c r="F45" s="26">
        <v>0</v>
      </c>
      <c r="G45" s="16" t="s">
        <v>147</v>
      </c>
      <c r="H45" s="26">
        <v>39</v>
      </c>
      <c r="I45" s="26">
        <v>0.99</v>
      </c>
      <c r="J45" s="26">
        <v>0</v>
      </c>
      <c r="K45" s="72">
        <f t="shared" si="0"/>
        <v>1.625</v>
      </c>
      <c r="L45" t="str">
        <f t="shared" si="1"/>
        <v>Straight Talk Pay in Full Basic phone</v>
      </c>
      <c r="M45" s="57">
        <f t="shared" si="2"/>
        <v>1.625</v>
      </c>
      <c r="N45" s="52" t="s">
        <v>147</v>
      </c>
      <c r="O45" s="26">
        <v>0</v>
      </c>
      <c r="P45" s="26">
        <v>0.99</v>
      </c>
      <c r="Q45" s="26">
        <v>0</v>
      </c>
    </row>
    <row r="46" spans="1:17" x14ac:dyDescent="0.25">
      <c r="A46" t="s">
        <v>205</v>
      </c>
      <c r="B46" s="16" t="s">
        <v>157</v>
      </c>
      <c r="C46" s="16" t="s">
        <v>0</v>
      </c>
      <c r="D46" s="16" t="s">
        <v>19</v>
      </c>
      <c r="E46" s="16">
        <v>0</v>
      </c>
      <c r="F46" s="26">
        <v>0</v>
      </c>
      <c r="G46" s="16" t="s">
        <v>147</v>
      </c>
      <c r="H46" s="26">
        <f>8*24</f>
        <v>192</v>
      </c>
      <c r="I46" s="26">
        <v>0.99</v>
      </c>
      <c r="J46" s="26">
        <v>0</v>
      </c>
      <c r="K46" s="72">
        <f t="shared" si="0"/>
        <v>8</v>
      </c>
      <c r="L46" t="str">
        <f t="shared" si="1"/>
        <v>Straight Talk Finance Basic phone</v>
      </c>
      <c r="M46" s="57">
        <f t="shared" si="2"/>
        <v>8</v>
      </c>
      <c r="N46" s="52" t="s">
        <v>147</v>
      </c>
      <c r="O46" s="26">
        <v>0</v>
      </c>
      <c r="P46" s="26">
        <v>0.99</v>
      </c>
      <c r="Q46" s="26">
        <v>0</v>
      </c>
    </row>
    <row r="47" spans="1:17" x14ac:dyDescent="0.25">
      <c r="A47" t="s">
        <v>205</v>
      </c>
      <c r="B47" s="16" t="s">
        <v>157</v>
      </c>
      <c r="C47" s="16" t="s">
        <v>193</v>
      </c>
      <c r="D47" s="16" t="s">
        <v>19</v>
      </c>
      <c r="E47" s="16">
        <v>0</v>
      </c>
      <c r="F47" s="26">
        <v>0</v>
      </c>
      <c r="G47" s="16" t="s">
        <v>147</v>
      </c>
      <c r="H47" s="26">
        <v>75</v>
      </c>
      <c r="I47" s="26">
        <v>0.99</v>
      </c>
      <c r="J47" s="26">
        <v>0</v>
      </c>
      <c r="K47" s="72">
        <f t="shared" si="0"/>
        <v>3.125</v>
      </c>
      <c r="L47" t="str">
        <f t="shared" si="1"/>
        <v>Straight Talk 3rd Party Basic phone</v>
      </c>
      <c r="M47" s="57">
        <f t="shared" si="2"/>
        <v>3.125</v>
      </c>
      <c r="N47" s="52" t="s">
        <v>147</v>
      </c>
      <c r="O47" s="26">
        <v>0</v>
      </c>
      <c r="P47" s="26">
        <v>0.99</v>
      </c>
      <c r="Q47" s="26">
        <v>0</v>
      </c>
    </row>
    <row r="48" spans="1:17" x14ac:dyDescent="0.25">
      <c r="A48" t="s">
        <v>205</v>
      </c>
      <c r="B48" s="16" t="s">
        <v>157</v>
      </c>
      <c r="C48" s="16" t="s">
        <v>196</v>
      </c>
      <c r="D48" s="16" t="s">
        <v>19</v>
      </c>
      <c r="E48" s="16">
        <v>0</v>
      </c>
      <c r="F48" s="26">
        <v>0</v>
      </c>
      <c r="G48" s="16" t="s">
        <v>147</v>
      </c>
      <c r="H48" s="26">
        <v>0</v>
      </c>
      <c r="I48" s="26">
        <v>0.99</v>
      </c>
      <c r="J48" s="26">
        <v>0</v>
      </c>
      <c r="K48" s="72">
        <f t="shared" si="0"/>
        <v>0</v>
      </c>
      <c r="L48" t="str">
        <f t="shared" si="1"/>
        <v>Straight Talk Bring your Own  Basic phone</v>
      </c>
      <c r="M48" s="57">
        <f t="shared" si="2"/>
        <v>0</v>
      </c>
      <c r="N48" s="52" t="s">
        <v>147</v>
      </c>
      <c r="O48" s="26">
        <v>0</v>
      </c>
      <c r="P48" s="26">
        <v>0.99</v>
      </c>
      <c r="Q48" s="26">
        <v>0</v>
      </c>
    </row>
    <row r="49" spans="1:17" x14ac:dyDescent="0.25">
      <c r="A49" t="s">
        <v>205</v>
      </c>
      <c r="B49" s="16" t="s">
        <v>157</v>
      </c>
      <c r="C49" s="16" t="s">
        <v>289</v>
      </c>
      <c r="D49" s="16" t="s">
        <v>19</v>
      </c>
      <c r="E49" s="27" t="s">
        <v>202</v>
      </c>
      <c r="F49" s="27" t="s">
        <v>202</v>
      </c>
      <c r="G49" s="27" t="s">
        <v>202</v>
      </c>
      <c r="H49" s="27" t="s">
        <v>202</v>
      </c>
      <c r="I49" s="27" t="s">
        <v>202</v>
      </c>
      <c r="J49" s="27" t="s">
        <v>202</v>
      </c>
      <c r="K49" s="73" t="s">
        <v>202</v>
      </c>
      <c r="L49" t="str">
        <f t="shared" si="1"/>
        <v>Straight Talk Lease (24 months) Basic phone</v>
      </c>
      <c r="M49" s="57" t="str">
        <f t="shared" si="2"/>
        <v>N/A</v>
      </c>
      <c r="N49" s="52" t="s">
        <v>202</v>
      </c>
      <c r="O49" s="27" t="s">
        <v>202</v>
      </c>
      <c r="P49" s="27" t="s">
        <v>202</v>
      </c>
      <c r="Q49" s="27" t="s">
        <v>202</v>
      </c>
    </row>
    <row r="50" spans="1:17" x14ac:dyDescent="0.25">
      <c r="A50" t="s">
        <v>133</v>
      </c>
      <c r="B50" s="16" t="s">
        <v>156</v>
      </c>
      <c r="C50" s="16" t="s">
        <v>161</v>
      </c>
      <c r="D50" s="16" t="s">
        <v>19</v>
      </c>
      <c r="E50" s="16">
        <v>24</v>
      </c>
      <c r="F50" s="26">
        <v>40</v>
      </c>
      <c r="G50" s="16" t="s">
        <v>147</v>
      </c>
      <c r="H50" s="26">
        <v>199</v>
      </c>
      <c r="I50" s="26">
        <v>36</v>
      </c>
      <c r="J50" s="26">
        <v>0</v>
      </c>
      <c r="K50" s="72">
        <f t="shared" si="0"/>
        <v>8.2916666666666661</v>
      </c>
      <c r="L50" t="str">
        <f t="shared" si="1"/>
        <v>Sprint Discount Smartphone</v>
      </c>
      <c r="M50" s="57">
        <f t="shared" si="2"/>
        <v>8.2916666666666661</v>
      </c>
      <c r="N50" s="52" t="s">
        <v>147</v>
      </c>
      <c r="O50" s="26">
        <v>0</v>
      </c>
      <c r="P50" s="26">
        <v>36</v>
      </c>
      <c r="Q50" s="26">
        <v>40</v>
      </c>
    </row>
    <row r="51" spans="1:17" x14ac:dyDescent="0.25">
      <c r="A51" t="s">
        <v>133</v>
      </c>
      <c r="B51" s="16" t="s">
        <v>156</v>
      </c>
      <c r="C51" s="16" t="s">
        <v>160</v>
      </c>
      <c r="D51" s="16" t="s">
        <v>19</v>
      </c>
      <c r="E51" s="16">
        <v>0</v>
      </c>
      <c r="F51" s="26">
        <v>40</v>
      </c>
      <c r="G51" s="16" t="s">
        <v>195</v>
      </c>
      <c r="H51" s="26">
        <v>650</v>
      </c>
      <c r="I51" s="26">
        <v>36</v>
      </c>
      <c r="J51" s="26">
        <v>0</v>
      </c>
      <c r="K51" s="72">
        <f t="shared" si="0"/>
        <v>27.083333333333332</v>
      </c>
      <c r="L51" t="str">
        <f t="shared" si="1"/>
        <v>Sprint Pay in Full Smartphone</v>
      </c>
      <c r="M51" s="57">
        <f t="shared" si="2"/>
        <v>27.083333333333332</v>
      </c>
      <c r="N51" s="52" t="s">
        <v>195</v>
      </c>
      <c r="O51" s="26">
        <v>0</v>
      </c>
      <c r="P51" s="26">
        <v>36</v>
      </c>
      <c r="Q51" s="26">
        <v>40</v>
      </c>
    </row>
    <row r="52" spans="1:17" x14ac:dyDescent="0.25">
      <c r="A52" t="s">
        <v>133</v>
      </c>
      <c r="B52" s="16" t="s">
        <v>156</v>
      </c>
      <c r="C52" s="16" t="s">
        <v>0</v>
      </c>
      <c r="D52" s="16" t="s">
        <v>19</v>
      </c>
      <c r="E52" s="16">
        <v>0</v>
      </c>
      <c r="F52" s="26">
        <v>40</v>
      </c>
      <c r="G52" s="16" t="s">
        <v>195</v>
      </c>
      <c r="H52" s="26">
        <v>650</v>
      </c>
      <c r="I52" s="26">
        <v>36</v>
      </c>
      <c r="J52" s="26">
        <v>0</v>
      </c>
      <c r="K52" s="72">
        <f t="shared" si="0"/>
        <v>27.083333333333332</v>
      </c>
      <c r="L52" t="str">
        <f t="shared" si="1"/>
        <v>Sprint Finance Smartphone</v>
      </c>
      <c r="M52" s="57">
        <f t="shared" si="2"/>
        <v>27.083333333333332</v>
      </c>
      <c r="N52" s="52" t="s">
        <v>195</v>
      </c>
      <c r="O52" s="26">
        <v>0</v>
      </c>
      <c r="P52" s="26">
        <v>36</v>
      </c>
      <c r="Q52" s="26">
        <v>40</v>
      </c>
    </row>
    <row r="53" spans="1:17" x14ac:dyDescent="0.25">
      <c r="A53" t="s">
        <v>133</v>
      </c>
      <c r="B53" s="16" t="s">
        <v>156</v>
      </c>
      <c r="C53" s="16" t="s">
        <v>193</v>
      </c>
      <c r="D53" s="16" t="s">
        <v>19</v>
      </c>
      <c r="E53" s="16">
        <v>0</v>
      </c>
      <c r="F53" s="26">
        <v>40</v>
      </c>
      <c r="G53" s="16" t="s">
        <v>195</v>
      </c>
      <c r="H53" s="26">
        <v>900</v>
      </c>
      <c r="I53" s="26">
        <v>36</v>
      </c>
      <c r="J53" s="26">
        <v>0</v>
      </c>
      <c r="K53" s="72">
        <f t="shared" si="0"/>
        <v>37.5</v>
      </c>
      <c r="L53" t="str">
        <f t="shared" si="1"/>
        <v>Sprint 3rd Party Smartphone</v>
      </c>
      <c r="M53" s="57">
        <f t="shared" si="2"/>
        <v>37.5</v>
      </c>
      <c r="N53" s="52" t="s">
        <v>195</v>
      </c>
      <c r="O53" s="26">
        <v>0</v>
      </c>
      <c r="P53" s="26">
        <v>36</v>
      </c>
      <c r="Q53" s="26">
        <v>40</v>
      </c>
    </row>
    <row r="54" spans="1:17" x14ac:dyDescent="0.25">
      <c r="A54" t="s">
        <v>133</v>
      </c>
      <c r="B54" s="16" t="s">
        <v>156</v>
      </c>
      <c r="C54" s="16" t="s">
        <v>196</v>
      </c>
      <c r="D54" s="16" t="s">
        <v>19</v>
      </c>
      <c r="E54" s="16">
        <v>0</v>
      </c>
      <c r="F54" s="26">
        <v>40</v>
      </c>
      <c r="G54" s="16" t="s">
        <v>195</v>
      </c>
      <c r="H54" s="26">
        <v>0</v>
      </c>
      <c r="I54" s="26">
        <v>36</v>
      </c>
      <c r="J54" s="26">
        <v>0</v>
      </c>
      <c r="K54" s="72">
        <f t="shared" si="0"/>
        <v>0</v>
      </c>
      <c r="L54" t="str">
        <f t="shared" si="1"/>
        <v>Sprint Bring your Own  Smartphone</v>
      </c>
      <c r="M54" s="57">
        <f t="shared" si="2"/>
        <v>0</v>
      </c>
      <c r="N54" s="52" t="s">
        <v>195</v>
      </c>
      <c r="O54" s="26">
        <v>0</v>
      </c>
      <c r="P54" s="26">
        <v>36</v>
      </c>
      <c r="Q54" s="26">
        <v>40</v>
      </c>
    </row>
    <row r="55" spans="1:17" x14ac:dyDescent="0.25">
      <c r="A55" t="s">
        <v>133</v>
      </c>
      <c r="B55" s="16" t="s">
        <v>156</v>
      </c>
      <c r="C55" s="16" t="s">
        <v>289</v>
      </c>
      <c r="D55" s="16" t="s">
        <v>19</v>
      </c>
      <c r="E55" s="16">
        <v>0</v>
      </c>
      <c r="F55" s="26">
        <v>40</v>
      </c>
      <c r="G55" s="16" t="s">
        <v>195</v>
      </c>
      <c r="H55" s="26">
        <f>20*24</f>
        <v>480</v>
      </c>
      <c r="I55" s="26">
        <v>36</v>
      </c>
      <c r="J55" s="26">
        <v>0</v>
      </c>
      <c r="K55" s="72">
        <f t="shared" si="0"/>
        <v>20</v>
      </c>
      <c r="L55" t="str">
        <f t="shared" si="1"/>
        <v>Sprint Lease (24 months) Smartphone</v>
      </c>
      <c r="M55" s="57">
        <f t="shared" si="2"/>
        <v>20</v>
      </c>
      <c r="N55" s="52" t="s">
        <v>195</v>
      </c>
      <c r="O55" s="26">
        <v>0</v>
      </c>
      <c r="P55" s="26">
        <v>36</v>
      </c>
      <c r="Q55" s="26">
        <v>40</v>
      </c>
    </row>
    <row r="56" spans="1:17" x14ac:dyDescent="0.25">
      <c r="A56" t="s">
        <v>133</v>
      </c>
      <c r="B56" s="16" t="s">
        <v>157</v>
      </c>
      <c r="C56" s="16" t="s">
        <v>161</v>
      </c>
      <c r="D56" s="16" t="s">
        <v>19</v>
      </c>
      <c r="E56" s="16">
        <v>24</v>
      </c>
      <c r="F56" s="26">
        <v>40</v>
      </c>
      <c r="G56" s="16" t="s">
        <v>147</v>
      </c>
      <c r="H56" s="26">
        <v>0</v>
      </c>
      <c r="I56" s="26">
        <v>36</v>
      </c>
      <c r="J56" s="26">
        <v>0</v>
      </c>
      <c r="K56" s="72">
        <f t="shared" si="0"/>
        <v>0</v>
      </c>
      <c r="L56" t="str">
        <f t="shared" si="1"/>
        <v>Sprint Discount Basic phone</v>
      </c>
      <c r="M56" s="57">
        <f t="shared" si="2"/>
        <v>0</v>
      </c>
      <c r="N56" s="52" t="s">
        <v>147</v>
      </c>
      <c r="O56" s="26">
        <v>0</v>
      </c>
      <c r="P56" s="26">
        <v>36</v>
      </c>
      <c r="Q56" s="26">
        <v>40</v>
      </c>
    </row>
    <row r="57" spans="1:17" x14ac:dyDescent="0.25">
      <c r="A57" t="s">
        <v>133</v>
      </c>
      <c r="B57" s="16" t="s">
        <v>157</v>
      </c>
      <c r="C57" s="16" t="s">
        <v>160</v>
      </c>
      <c r="D57" s="16" t="s">
        <v>19</v>
      </c>
      <c r="E57" s="16">
        <v>0</v>
      </c>
      <c r="F57" s="26">
        <v>40</v>
      </c>
      <c r="G57" s="16" t="s">
        <v>195</v>
      </c>
      <c r="H57" s="26">
        <v>0</v>
      </c>
      <c r="I57" s="26">
        <v>36</v>
      </c>
      <c r="J57" s="26">
        <v>0</v>
      </c>
      <c r="K57" s="72">
        <f t="shared" si="0"/>
        <v>0</v>
      </c>
      <c r="L57" t="str">
        <f t="shared" si="1"/>
        <v>Sprint Pay in Full Basic phone</v>
      </c>
      <c r="M57" s="57">
        <f t="shared" si="2"/>
        <v>0</v>
      </c>
      <c r="N57" s="52" t="s">
        <v>195</v>
      </c>
      <c r="O57" s="26">
        <v>0</v>
      </c>
      <c r="P57" s="26">
        <v>36</v>
      </c>
      <c r="Q57" s="26">
        <v>40</v>
      </c>
    </row>
    <row r="58" spans="1:17" x14ac:dyDescent="0.25">
      <c r="A58" t="s">
        <v>133</v>
      </c>
      <c r="B58" s="16" t="s">
        <v>157</v>
      </c>
      <c r="C58" s="16" t="s">
        <v>0</v>
      </c>
      <c r="D58" s="16" t="s">
        <v>19</v>
      </c>
      <c r="E58" s="16">
        <v>0</v>
      </c>
      <c r="F58" s="26">
        <v>40</v>
      </c>
      <c r="G58" s="16" t="s">
        <v>195</v>
      </c>
      <c r="H58" s="26">
        <v>0</v>
      </c>
      <c r="I58" s="26">
        <v>36</v>
      </c>
      <c r="J58" s="26">
        <v>0</v>
      </c>
      <c r="K58" s="72">
        <f t="shared" si="0"/>
        <v>0</v>
      </c>
      <c r="L58" t="str">
        <f t="shared" si="1"/>
        <v>Sprint Finance Basic phone</v>
      </c>
      <c r="M58" s="57">
        <f t="shared" si="2"/>
        <v>0</v>
      </c>
      <c r="N58" s="52" t="s">
        <v>195</v>
      </c>
      <c r="O58" s="26">
        <v>0</v>
      </c>
      <c r="P58" s="26">
        <v>36</v>
      </c>
      <c r="Q58" s="26">
        <v>40</v>
      </c>
    </row>
    <row r="59" spans="1:17" x14ac:dyDescent="0.25">
      <c r="A59" t="s">
        <v>133</v>
      </c>
      <c r="B59" s="16" t="s">
        <v>157</v>
      </c>
      <c r="C59" s="16" t="s">
        <v>193</v>
      </c>
      <c r="D59" s="16" t="s">
        <v>19</v>
      </c>
      <c r="E59" s="16">
        <v>0</v>
      </c>
      <c r="F59" s="26">
        <v>40</v>
      </c>
      <c r="G59" s="16" t="s">
        <v>195</v>
      </c>
      <c r="H59" s="26">
        <v>0</v>
      </c>
      <c r="I59" s="26">
        <v>36</v>
      </c>
      <c r="J59" s="26">
        <v>0</v>
      </c>
      <c r="K59" s="72">
        <f t="shared" si="0"/>
        <v>0</v>
      </c>
      <c r="L59" t="str">
        <f t="shared" si="1"/>
        <v>Sprint 3rd Party Basic phone</v>
      </c>
      <c r="M59" s="57">
        <f t="shared" si="2"/>
        <v>0</v>
      </c>
      <c r="N59" s="52" t="s">
        <v>195</v>
      </c>
      <c r="O59" s="26">
        <v>0</v>
      </c>
      <c r="P59" s="26">
        <v>36</v>
      </c>
      <c r="Q59" s="26">
        <v>40</v>
      </c>
    </row>
    <row r="60" spans="1:17" x14ac:dyDescent="0.25">
      <c r="A60" t="s">
        <v>133</v>
      </c>
      <c r="B60" s="16" t="s">
        <v>157</v>
      </c>
      <c r="C60" s="16" t="s">
        <v>196</v>
      </c>
      <c r="D60" s="16" t="s">
        <v>19</v>
      </c>
      <c r="E60" s="16">
        <v>0</v>
      </c>
      <c r="F60" s="26">
        <v>40</v>
      </c>
      <c r="G60" s="16" t="s">
        <v>195</v>
      </c>
      <c r="H60" s="26">
        <v>0</v>
      </c>
      <c r="I60" s="26">
        <v>36</v>
      </c>
      <c r="J60" s="26">
        <v>0</v>
      </c>
      <c r="K60" s="72">
        <f t="shared" si="0"/>
        <v>0</v>
      </c>
      <c r="L60" t="str">
        <f t="shared" si="1"/>
        <v>Sprint Bring your Own  Basic phone</v>
      </c>
      <c r="M60" s="57">
        <f t="shared" si="2"/>
        <v>0</v>
      </c>
      <c r="N60" s="52" t="s">
        <v>195</v>
      </c>
      <c r="O60" s="26">
        <v>0</v>
      </c>
      <c r="P60" s="26">
        <v>36</v>
      </c>
      <c r="Q60" s="26">
        <v>40</v>
      </c>
    </row>
    <row r="61" spans="1:17" x14ac:dyDescent="0.25">
      <c r="A61" t="s">
        <v>133</v>
      </c>
      <c r="B61" s="16" t="s">
        <v>157</v>
      </c>
      <c r="C61" s="16" t="s">
        <v>289</v>
      </c>
      <c r="D61" s="16" t="s">
        <v>19</v>
      </c>
      <c r="E61" s="16">
        <v>0</v>
      </c>
      <c r="F61" s="26">
        <v>40</v>
      </c>
      <c r="G61" s="16" t="s">
        <v>195</v>
      </c>
      <c r="H61" s="26">
        <v>0</v>
      </c>
      <c r="I61" s="26">
        <v>36</v>
      </c>
      <c r="J61" s="26">
        <v>0</v>
      </c>
      <c r="K61" s="72">
        <f t="shared" si="0"/>
        <v>0</v>
      </c>
      <c r="L61" t="str">
        <f t="shared" si="1"/>
        <v>Sprint Lease (24 months) Basic phone</v>
      </c>
      <c r="M61" s="57">
        <f t="shared" si="2"/>
        <v>0</v>
      </c>
      <c r="N61" s="52" t="s">
        <v>195</v>
      </c>
      <c r="O61" s="26">
        <v>0</v>
      </c>
      <c r="P61" s="26">
        <v>36</v>
      </c>
      <c r="Q61" s="26">
        <v>40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H48"/>
  <sheetViews>
    <sheetView zoomScaleNormal="100" workbookViewId="0">
      <selection activeCell="G17" sqref="G17"/>
    </sheetView>
  </sheetViews>
  <sheetFormatPr defaultRowHeight="15" x14ac:dyDescent="0.25"/>
  <sheetData>
    <row r="2" spans="1:6" x14ac:dyDescent="0.25">
      <c r="B2" t="s">
        <v>148</v>
      </c>
      <c r="C2" t="s">
        <v>199</v>
      </c>
      <c r="D2" t="s">
        <v>189</v>
      </c>
      <c r="E2" t="s">
        <v>184</v>
      </c>
      <c r="F2" t="s">
        <v>202</v>
      </c>
    </row>
    <row r="3" spans="1:6" x14ac:dyDescent="0.25">
      <c r="A3" t="s">
        <v>185</v>
      </c>
      <c r="B3" s="1">
        <v>50</v>
      </c>
      <c r="C3" s="1">
        <v>60</v>
      </c>
      <c r="D3" s="1">
        <v>70</v>
      </c>
      <c r="E3" s="1">
        <v>80</v>
      </c>
      <c r="F3" s="1">
        <v>0</v>
      </c>
    </row>
    <row r="4" spans="1:6" x14ac:dyDescent="0.25">
      <c r="A4" t="s">
        <v>186</v>
      </c>
      <c r="B4" s="1">
        <v>30</v>
      </c>
      <c r="C4" s="1">
        <v>40</v>
      </c>
      <c r="D4" s="1">
        <v>50</v>
      </c>
      <c r="E4" s="1">
        <v>60</v>
      </c>
      <c r="F4" s="1">
        <v>0</v>
      </c>
    </row>
    <row r="5" spans="1:6" x14ac:dyDescent="0.25">
      <c r="A5" t="s">
        <v>187</v>
      </c>
      <c r="B5" s="1">
        <v>10</v>
      </c>
      <c r="C5" s="1">
        <v>20</v>
      </c>
      <c r="D5" s="1">
        <v>30</v>
      </c>
      <c r="E5" s="1">
        <v>40</v>
      </c>
      <c r="F5" s="1">
        <v>0</v>
      </c>
    </row>
    <row r="6" spans="1:6" x14ac:dyDescent="0.25">
      <c r="A6" t="s">
        <v>188</v>
      </c>
      <c r="B6" s="1">
        <v>10</v>
      </c>
      <c r="C6" s="1">
        <v>20</v>
      </c>
      <c r="D6" s="1">
        <v>30</v>
      </c>
      <c r="E6" s="1">
        <v>40</v>
      </c>
      <c r="F6" s="1">
        <v>0</v>
      </c>
    </row>
    <row r="7" spans="1:6" x14ac:dyDescent="0.25">
      <c r="A7" t="s">
        <v>190</v>
      </c>
      <c r="B7" s="1">
        <v>10</v>
      </c>
      <c r="C7" s="1">
        <v>20</v>
      </c>
      <c r="D7" s="1">
        <v>30</v>
      </c>
      <c r="E7" s="1">
        <v>40</v>
      </c>
      <c r="F7" s="1">
        <v>0</v>
      </c>
    </row>
    <row r="8" spans="1:6" x14ac:dyDescent="0.25">
      <c r="A8" t="s">
        <v>191</v>
      </c>
      <c r="B8" s="1">
        <v>10</v>
      </c>
      <c r="C8" s="1">
        <v>20</v>
      </c>
      <c r="D8" s="1">
        <v>30</v>
      </c>
      <c r="E8" s="1">
        <v>40</v>
      </c>
      <c r="F8" s="1">
        <v>0</v>
      </c>
    </row>
    <row r="11" spans="1:6" x14ac:dyDescent="0.25">
      <c r="A11" t="s">
        <v>185</v>
      </c>
      <c r="B11" t="s">
        <v>148</v>
      </c>
      <c r="C11" s="1">
        <f t="shared" ref="C11:C16" si="0">IF(B11=$B$2,B3,IF(B11=$C$2,C3,IF(B11=$D$2,D3,IF(B11=$E$2,E3,IF(B11=$F$2,F3,0)))))</f>
        <v>50</v>
      </c>
    </row>
    <row r="12" spans="1:6" x14ac:dyDescent="0.25">
      <c r="A12" t="s">
        <v>186</v>
      </c>
      <c r="B12" t="s">
        <v>189</v>
      </c>
      <c r="C12" s="1">
        <f t="shared" si="0"/>
        <v>50</v>
      </c>
    </row>
    <row r="13" spans="1:6" x14ac:dyDescent="0.25">
      <c r="A13" t="s">
        <v>187</v>
      </c>
      <c r="B13" t="s">
        <v>189</v>
      </c>
      <c r="C13" s="1">
        <f t="shared" si="0"/>
        <v>30</v>
      </c>
    </row>
    <row r="14" spans="1:6" x14ac:dyDescent="0.25">
      <c r="A14" t="s">
        <v>188</v>
      </c>
      <c r="B14" t="s">
        <v>148</v>
      </c>
      <c r="C14" s="1">
        <f t="shared" si="0"/>
        <v>10</v>
      </c>
    </row>
    <row r="15" spans="1:6" x14ac:dyDescent="0.25">
      <c r="A15" t="s">
        <v>190</v>
      </c>
      <c r="B15" t="s">
        <v>199</v>
      </c>
      <c r="C15" s="1">
        <f t="shared" si="0"/>
        <v>20</v>
      </c>
    </row>
    <row r="16" spans="1:6" x14ac:dyDescent="0.25">
      <c r="A16" t="s">
        <v>191</v>
      </c>
      <c r="B16" t="s">
        <v>184</v>
      </c>
      <c r="C16" s="1">
        <f t="shared" si="0"/>
        <v>40</v>
      </c>
    </row>
    <row r="17" spans="1:8" x14ac:dyDescent="0.25">
      <c r="A17" t="s">
        <v>204</v>
      </c>
      <c r="C17" s="1">
        <f>SUM(C11:C16)</f>
        <v>200</v>
      </c>
      <c r="D17">
        <v>51</v>
      </c>
      <c r="E17" s="1">
        <f>D17+C17</f>
        <v>251</v>
      </c>
      <c r="H17" s="1"/>
    </row>
    <row r="19" spans="1:8" x14ac:dyDescent="0.25">
      <c r="B19" t="s">
        <v>296</v>
      </c>
      <c r="C19" t="s">
        <v>230</v>
      </c>
      <c r="D19" t="s">
        <v>297</v>
      </c>
      <c r="E19" t="s">
        <v>290</v>
      </c>
    </row>
    <row r="20" spans="1:8" x14ac:dyDescent="0.25">
      <c r="A20" t="s">
        <v>185</v>
      </c>
      <c r="B20" t="s">
        <v>148</v>
      </c>
      <c r="C20" t="s">
        <v>199</v>
      </c>
      <c r="D20" t="s">
        <v>189</v>
      </c>
      <c r="E20" t="s">
        <v>184</v>
      </c>
    </row>
    <row r="21" spans="1:8" x14ac:dyDescent="0.25">
      <c r="A21" t="s">
        <v>186</v>
      </c>
      <c r="B21" t="s">
        <v>148</v>
      </c>
      <c r="C21" t="s">
        <v>199</v>
      </c>
      <c r="D21" t="s">
        <v>189</v>
      </c>
      <c r="E21" t="s">
        <v>184</v>
      </c>
      <c r="F21" s="1"/>
    </row>
    <row r="22" spans="1:8" x14ac:dyDescent="0.25">
      <c r="A22" t="s">
        <v>187</v>
      </c>
      <c r="B22" t="s">
        <v>148</v>
      </c>
      <c r="C22" t="s">
        <v>148</v>
      </c>
      <c r="D22" t="s">
        <v>199</v>
      </c>
      <c r="E22" t="s">
        <v>184</v>
      </c>
      <c r="F22" s="1"/>
    </row>
    <row r="23" spans="1:8" x14ac:dyDescent="0.25">
      <c r="A23" t="s">
        <v>188</v>
      </c>
      <c r="B23" t="s">
        <v>148</v>
      </c>
      <c r="C23" t="s">
        <v>148</v>
      </c>
      <c r="D23" t="s">
        <v>148</v>
      </c>
      <c r="E23" t="s">
        <v>184</v>
      </c>
      <c r="F23" s="1"/>
    </row>
    <row r="24" spans="1:8" x14ac:dyDescent="0.25">
      <c r="A24" t="s">
        <v>190</v>
      </c>
      <c r="B24" t="s">
        <v>148</v>
      </c>
      <c r="C24" t="s">
        <v>148</v>
      </c>
      <c r="D24" t="s">
        <v>148</v>
      </c>
      <c r="E24" t="s">
        <v>184</v>
      </c>
      <c r="F24" s="1"/>
    </row>
    <row r="25" spans="1:8" x14ac:dyDescent="0.25">
      <c r="A25" t="s">
        <v>191</v>
      </c>
      <c r="B25" t="s">
        <v>148</v>
      </c>
      <c r="C25" t="s">
        <v>148</v>
      </c>
      <c r="D25" t="s">
        <v>148</v>
      </c>
      <c r="E25" t="s">
        <v>184</v>
      </c>
      <c r="F25" s="1"/>
    </row>
    <row r="26" spans="1:8" x14ac:dyDescent="0.25">
      <c r="F26" s="1"/>
    </row>
    <row r="27" spans="1:8" x14ac:dyDescent="0.25">
      <c r="B27" t="s">
        <v>296</v>
      </c>
      <c r="C27" t="s">
        <v>230</v>
      </c>
      <c r="D27" t="s">
        <v>229</v>
      </c>
      <c r="E27" t="s">
        <v>290</v>
      </c>
    </row>
    <row r="28" spans="1:8" x14ac:dyDescent="0.25">
      <c r="A28" t="s">
        <v>298</v>
      </c>
      <c r="B28" s="1">
        <v>50</v>
      </c>
      <c r="C28" s="1">
        <v>60</v>
      </c>
      <c r="D28" s="1">
        <v>70</v>
      </c>
      <c r="E28" s="1">
        <v>80</v>
      </c>
    </row>
    <row r="29" spans="1:8" x14ac:dyDescent="0.25">
      <c r="A29" t="s">
        <v>299</v>
      </c>
      <c r="B29" s="1">
        <f>B3+B4</f>
        <v>80</v>
      </c>
      <c r="C29" s="1">
        <f>C3+C4</f>
        <v>100</v>
      </c>
      <c r="D29" s="1">
        <f>D3+D4</f>
        <v>120</v>
      </c>
      <c r="E29" s="1">
        <f>E3+E4</f>
        <v>140</v>
      </c>
    </row>
    <row r="30" spans="1:8" x14ac:dyDescent="0.25">
      <c r="A30" t="s">
        <v>300</v>
      </c>
      <c r="B30" s="1">
        <f>B3+B4+B5</f>
        <v>90</v>
      </c>
      <c r="C30" s="1">
        <f>C3+C4+B5</f>
        <v>110</v>
      </c>
      <c r="D30" s="1">
        <f>D3+D4+C5</f>
        <v>140</v>
      </c>
      <c r="E30" s="1">
        <f>E3+E4+E5</f>
        <v>180</v>
      </c>
    </row>
    <row r="31" spans="1:8" x14ac:dyDescent="0.25">
      <c r="A31" t="s">
        <v>301</v>
      </c>
      <c r="B31" s="1">
        <f>B3+B4+B5+B6</f>
        <v>100</v>
      </c>
      <c r="C31" s="1">
        <f>C3+C4+B5+B6</f>
        <v>120</v>
      </c>
      <c r="D31" s="1">
        <f>D3+D4+C5+B6</f>
        <v>150</v>
      </c>
      <c r="E31" s="1">
        <f>E3+E4+E5+E6</f>
        <v>220</v>
      </c>
    </row>
    <row r="33" spans="1:3" x14ac:dyDescent="0.25">
      <c r="A33" t="s">
        <v>293</v>
      </c>
      <c r="B33" t="s">
        <v>148</v>
      </c>
      <c r="C33" s="1">
        <v>50</v>
      </c>
    </row>
    <row r="34" spans="1:3" x14ac:dyDescent="0.25">
      <c r="A34" t="s">
        <v>298</v>
      </c>
      <c r="B34" t="s">
        <v>199</v>
      </c>
      <c r="C34" s="1">
        <v>60</v>
      </c>
    </row>
    <row r="35" spans="1:3" x14ac:dyDescent="0.25">
      <c r="A35" t="s">
        <v>293</v>
      </c>
      <c r="B35" t="s">
        <v>189</v>
      </c>
      <c r="C35" s="1">
        <v>70</v>
      </c>
    </row>
    <row r="36" spans="1:3" x14ac:dyDescent="0.25">
      <c r="A36" t="s">
        <v>293</v>
      </c>
      <c r="B36" t="s">
        <v>184</v>
      </c>
      <c r="C36" s="1">
        <v>80</v>
      </c>
    </row>
    <row r="37" spans="1:3" x14ac:dyDescent="0.25">
      <c r="A37" t="s">
        <v>294</v>
      </c>
      <c r="B37" t="s">
        <v>131</v>
      </c>
      <c r="C37" s="1">
        <v>80</v>
      </c>
    </row>
    <row r="38" spans="1:3" x14ac:dyDescent="0.25">
      <c r="A38" t="s">
        <v>294</v>
      </c>
      <c r="B38" t="s">
        <v>150</v>
      </c>
      <c r="C38" s="1">
        <v>100</v>
      </c>
    </row>
    <row r="39" spans="1:3" x14ac:dyDescent="0.25">
      <c r="A39" t="s">
        <v>294</v>
      </c>
      <c r="B39" t="s">
        <v>152</v>
      </c>
      <c r="C39" s="1">
        <v>120</v>
      </c>
    </row>
    <row r="40" spans="1:3" x14ac:dyDescent="0.25">
      <c r="A40" t="s">
        <v>294</v>
      </c>
      <c r="B40" t="s">
        <v>184</v>
      </c>
      <c r="C40" s="1">
        <v>140</v>
      </c>
    </row>
    <row r="41" spans="1:3" x14ac:dyDescent="0.25">
      <c r="A41" t="s">
        <v>292</v>
      </c>
      <c r="B41" t="s">
        <v>199</v>
      </c>
      <c r="C41" s="1">
        <v>90</v>
      </c>
    </row>
    <row r="42" spans="1:3" x14ac:dyDescent="0.25">
      <c r="A42" t="s">
        <v>292</v>
      </c>
      <c r="B42" t="s">
        <v>302</v>
      </c>
      <c r="C42" s="1">
        <v>110</v>
      </c>
    </row>
    <row r="43" spans="1:3" x14ac:dyDescent="0.25">
      <c r="A43" t="s">
        <v>292</v>
      </c>
      <c r="B43" t="s">
        <v>303</v>
      </c>
      <c r="C43" s="1">
        <v>140</v>
      </c>
    </row>
    <row r="44" spans="1:3" x14ac:dyDescent="0.25">
      <c r="A44" t="s">
        <v>292</v>
      </c>
      <c r="B44" t="s">
        <v>184</v>
      </c>
      <c r="C44" s="1">
        <v>180</v>
      </c>
    </row>
    <row r="45" spans="1:3" x14ac:dyDescent="0.25">
      <c r="A45" t="s">
        <v>295</v>
      </c>
      <c r="B45" t="s">
        <v>149</v>
      </c>
      <c r="C45" s="1">
        <v>100</v>
      </c>
    </row>
    <row r="46" spans="1:3" x14ac:dyDescent="0.25">
      <c r="A46" t="s">
        <v>295</v>
      </c>
      <c r="B46" t="s">
        <v>151</v>
      </c>
      <c r="C46" s="1">
        <v>120</v>
      </c>
    </row>
    <row r="47" spans="1:3" x14ac:dyDescent="0.25">
      <c r="A47" t="s">
        <v>295</v>
      </c>
      <c r="B47" t="s">
        <v>304</v>
      </c>
      <c r="C47" s="1">
        <v>150</v>
      </c>
    </row>
    <row r="48" spans="1:3" x14ac:dyDescent="0.25">
      <c r="A48" t="s">
        <v>295</v>
      </c>
      <c r="B48" t="s">
        <v>184</v>
      </c>
      <c r="C48" s="1">
        <v>220</v>
      </c>
    </row>
  </sheetData>
  <dataValidations count="1">
    <dataValidation type="list" allowBlank="1" showInputMessage="1" showErrorMessage="1" sqref="B11:B16">
      <formula1>$B$2:$E$2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2:I59"/>
  <sheetViews>
    <sheetView zoomScaleNormal="100" workbookViewId="0">
      <selection activeCell="D4" sqref="D4:F4"/>
    </sheetView>
  </sheetViews>
  <sheetFormatPr defaultRowHeight="15" x14ac:dyDescent="0.25"/>
  <cols>
    <col min="1" max="1" width="9.140625" style="11"/>
    <col min="2" max="2" width="33.5703125" style="11" bestFit="1" customWidth="1"/>
    <col min="3" max="3" width="3.28515625" style="11" customWidth="1"/>
    <col min="4" max="6" width="39" style="11" customWidth="1"/>
    <col min="7" max="7" width="3.85546875" style="11" customWidth="1"/>
    <col min="8" max="8" width="22.28515625" style="11" bestFit="1" customWidth="1"/>
    <col min="9" max="16384" width="9.140625" style="11"/>
  </cols>
  <sheetData>
    <row r="2" spans="2:8" x14ac:dyDescent="0.25">
      <c r="B2" s="13" t="s">
        <v>81</v>
      </c>
      <c r="D2" s="167" t="s">
        <v>82</v>
      </c>
      <c r="E2" s="167"/>
      <c r="F2" s="167"/>
      <c r="H2" s="13" t="s">
        <v>75</v>
      </c>
    </row>
    <row r="3" spans="2:8" x14ac:dyDescent="0.25">
      <c r="B3" s="14" t="s">
        <v>9</v>
      </c>
      <c r="D3" s="15" t="s">
        <v>62</v>
      </c>
      <c r="E3" s="15" t="s">
        <v>63</v>
      </c>
      <c r="F3" s="15" t="s">
        <v>64</v>
      </c>
      <c r="H3" s="12" t="s">
        <v>72</v>
      </c>
    </row>
    <row r="4" spans="2:8" x14ac:dyDescent="0.25">
      <c r="B4" s="12" t="s">
        <v>21</v>
      </c>
      <c r="D4" s="168" t="s">
        <v>9</v>
      </c>
      <c r="E4" s="169"/>
      <c r="F4" s="170"/>
      <c r="H4" s="12" t="s">
        <v>33</v>
      </c>
    </row>
    <row r="5" spans="2:8" x14ac:dyDescent="0.25">
      <c r="B5" s="12" t="s">
        <v>11</v>
      </c>
      <c r="D5" s="171" t="s">
        <v>11</v>
      </c>
      <c r="E5" s="172"/>
      <c r="F5" s="173"/>
      <c r="H5" s="12" t="s">
        <v>92</v>
      </c>
    </row>
    <row r="6" spans="2:8" x14ac:dyDescent="0.25">
      <c r="B6" s="12" t="s">
        <v>76</v>
      </c>
      <c r="D6" s="10" t="s">
        <v>77</v>
      </c>
      <c r="E6" s="10" t="s">
        <v>21</v>
      </c>
      <c r="F6" s="10" t="s">
        <v>76</v>
      </c>
      <c r="H6" s="12" t="s">
        <v>93</v>
      </c>
    </row>
    <row r="7" spans="2:8" x14ac:dyDescent="0.25">
      <c r="B7" s="12" t="s">
        <v>71</v>
      </c>
      <c r="D7" s="10"/>
      <c r="E7" s="10" t="s">
        <v>25</v>
      </c>
      <c r="F7" s="10" t="s">
        <v>74</v>
      </c>
      <c r="H7" s="12" t="s">
        <v>91</v>
      </c>
    </row>
    <row r="8" spans="2:8" x14ac:dyDescent="0.25">
      <c r="B8" s="12" t="s">
        <v>65</v>
      </c>
      <c r="D8" s="10" t="s">
        <v>79</v>
      </c>
      <c r="E8" s="10" t="s">
        <v>71</v>
      </c>
      <c r="F8" s="10" t="s">
        <v>65</v>
      </c>
    </row>
    <row r="9" spans="2:8" x14ac:dyDescent="0.25">
      <c r="B9" s="10" t="s">
        <v>80</v>
      </c>
      <c r="D9" s="164" t="s">
        <v>33</v>
      </c>
      <c r="E9" s="164" t="s">
        <v>80</v>
      </c>
      <c r="F9" s="12" t="s">
        <v>88</v>
      </c>
      <c r="H9" s="11" t="s">
        <v>97</v>
      </c>
    </row>
    <row r="10" spans="2:8" x14ac:dyDescent="0.25">
      <c r="B10" s="12" t="s">
        <v>9</v>
      </c>
      <c r="D10" s="165"/>
      <c r="E10" s="165"/>
      <c r="F10" s="12" t="s">
        <v>95</v>
      </c>
    </row>
    <row r="11" spans="2:8" x14ac:dyDescent="0.25">
      <c r="B11" s="12" t="s">
        <v>66</v>
      </c>
      <c r="D11" s="166"/>
      <c r="E11" s="166"/>
      <c r="F11" s="12" t="s">
        <v>96</v>
      </c>
    </row>
    <row r="12" spans="2:8" x14ac:dyDescent="0.25">
      <c r="B12" s="12" t="s">
        <v>33</v>
      </c>
      <c r="D12" s="10" t="s">
        <v>68</v>
      </c>
      <c r="E12" s="10" t="s">
        <v>70</v>
      </c>
      <c r="F12" s="10"/>
    </row>
    <row r="13" spans="2:8" x14ac:dyDescent="0.25">
      <c r="B13" s="12" t="s">
        <v>68</v>
      </c>
      <c r="D13" s="10"/>
      <c r="E13" s="10" t="s">
        <v>83</v>
      </c>
      <c r="F13" s="10" t="s">
        <v>66</v>
      </c>
    </row>
    <row r="14" spans="2:8" x14ac:dyDescent="0.25">
      <c r="B14" s="12" t="s">
        <v>70</v>
      </c>
      <c r="D14" s="10"/>
      <c r="E14" s="10" t="s">
        <v>84</v>
      </c>
      <c r="F14" s="10" t="s">
        <v>67</v>
      </c>
    </row>
    <row r="15" spans="2:8" x14ac:dyDescent="0.25">
      <c r="B15" s="12" t="s">
        <v>73</v>
      </c>
      <c r="D15" s="10"/>
      <c r="E15" s="10" t="s">
        <v>73</v>
      </c>
      <c r="F15" s="10" t="s">
        <v>85</v>
      </c>
    </row>
    <row r="16" spans="2:8" x14ac:dyDescent="0.25">
      <c r="B16" s="12" t="s">
        <v>69</v>
      </c>
      <c r="D16" s="10"/>
      <c r="E16" s="10" t="s">
        <v>86</v>
      </c>
      <c r="F16" s="10" t="s">
        <v>87</v>
      </c>
    </row>
    <row r="17" spans="2:9" x14ac:dyDescent="0.25">
      <c r="B17" s="12" t="s">
        <v>25</v>
      </c>
      <c r="D17" s="12"/>
      <c r="E17" s="12" t="s">
        <v>78</v>
      </c>
      <c r="F17" s="12" t="s">
        <v>90</v>
      </c>
    </row>
    <row r="18" spans="2:9" x14ac:dyDescent="0.25">
      <c r="B18" s="12" t="s">
        <v>67</v>
      </c>
      <c r="D18" s="10" t="s">
        <v>69</v>
      </c>
      <c r="E18" s="12"/>
      <c r="F18" s="12"/>
    </row>
    <row r="19" spans="2:9" x14ac:dyDescent="0.25">
      <c r="B19" s="12" t="s">
        <v>74</v>
      </c>
      <c r="F19" s="11" t="s">
        <v>126</v>
      </c>
    </row>
    <row r="20" spans="2:9" x14ac:dyDescent="0.25">
      <c r="B20" s="12" t="s">
        <v>77</v>
      </c>
    </row>
    <row r="21" spans="2:9" x14ac:dyDescent="0.25">
      <c r="B21" s="12" t="s">
        <v>78</v>
      </c>
      <c r="F21" s="11" t="s">
        <v>123</v>
      </c>
    </row>
    <row r="22" spans="2:9" x14ac:dyDescent="0.25">
      <c r="B22" s="12" t="s">
        <v>79</v>
      </c>
      <c r="E22" s="163"/>
      <c r="F22" s="11" t="s">
        <v>117</v>
      </c>
    </row>
    <row r="23" spans="2:9" x14ac:dyDescent="0.25">
      <c r="B23" s="12" t="s">
        <v>83</v>
      </c>
      <c r="E23" s="163"/>
      <c r="F23" s="11" t="s">
        <v>119</v>
      </c>
    </row>
    <row r="24" spans="2:9" x14ac:dyDescent="0.25">
      <c r="B24" s="12" t="s">
        <v>84</v>
      </c>
      <c r="E24" s="163"/>
      <c r="F24" s="11" t="s">
        <v>118</v>
      </c>
      <c r="I24" s="11" t="s">
        <v>124</v>
      </c>
    </row>
    <row r="25" spans="2:9" x14ac:dyDescent="0.25">
      <c r="B25" s="12" t="s">
        <v>85</v>
      </c>
      <c r="E25" s="163"/>
      <c r="F25" s="11" t="s">
        <v>121</v>
      </c>
      <c r="I25" s="11" t="s">
        <v>114</v>
      </c>
    </row>
    <row r="26" spans="2:9" x14ac:dyDescent="0.25">
      <c r="B26" s="12" t="s">
        <v>86</v>
      </c>
      <c r="E26" s="163"/>
      <c r="F26" s="11" t="s">
        <v>125</v>
      </c>
      <c r="I26" s="11" t="s">
        <v>120</v>
      </c>
    </row>
    <row r="27" spans="2:9" x14ac:dyDescent="0.25">
      <c r="B27" s="12" t="s">
        <v>87</v>
      </c>
      <c r="E27" s="163"/>
      <c r="F27" s="11" t="s">
        <v>122</v>
      </c>
      <c r="I27" s="11" t="s">
        <v>115</v>
      </c>
    </row>
    <row r="28" spans="2:9" x14ac:dyDescent="0.25">
      <c r="B28" s="12" t="s">
        <v>88</v>
      </c>
      <c r="E28" s="163"/>
      <c r="F28" s="11" t="s">
        <v>127</v>
      </c>
      <c r="I28" s="11" t="s">
        <v>116</v>
      </c>
    </row>
    <row r="29" spans="2:9" x14ac:dyDescent="0.25">
      <c r="B29" s="12" t="s">
        <v>94</v>
      </c>
      <c r="E29" s="163"/>
    </row>
    <row r="30" spans="2:9" x14ac:dyDescent="0.25">
      <c r="B30" s="12" t="s">
        <v>89</v>
      </c>
      <c r="E30" s="163"/>
    </row>
    <row r="31" spans="2:9" x14ac:dyDescent="0.25">
      <c r="B31" s="12" t="s">
        <v>90</v>
      </c>
      <c r="E31" s="163"/>
    </row>
    <row r="32" spans="2:9" x14ac:dyDescent="0.25">
      <c r="E32" s="163"/>
    </row>
    <row r="33" spans="5:5" x14ac:dyDescent="0.25">
      <c r="E33" s="163"/>
    </row>
    <row r="34" spans="5:5" x14ac:dyDescent="0.25">
      <c r="E34" s="163"/>
    </row>
    <row r="35" spans="5:5" x14ac:dyDescent="0.25">
      <c r="E35" s="163"/>
    </row>
    <row r="36" spans="5:5" x14ac:dyDescent="0.25">
      <c r="E36" s="163"/>
    </row>
    <row r="37" spans="5:5" x14ac:dyDescent="0.25">
      <c r="E37" s="163"/>
    </row>
    <row r="38" spans="5:5" x14ac:dyDescent="0.25">
      <c r="E38" s="163"/>
    </row>
    <row r="39" spans="5:5" x14ac:dyDescent="0.25">
      <c r="E39" s="163"/>
    </row>
    <row r="40" spans="5:5" x14ac:dyDescent="0.25">
      <c r="E40" s="163"/>
    </row>
    <row r="41" spans="5:5" x14ac:dyDescent="0.25">
      <c r="E41" s="163"/>
    </row>
    <row r="42" spans="5:5" x14ac:dyDescent="0.25">
      <c r="E42" s="163"/>
    </row>
    <row r="43" spans="5:5" x14ac:dyDescent="0.25">
      <c r="E43" s="163"/>
    </row>
    <row r="44" spans="5:5" x14ac:dyDescent="0.25">
      <c r="E44" s="163"/>
    </row>
    <row r="45" spans="5:5" x14ac:dyDescent="0.25">
      <c r="E45" s="163"/>
    </row>
    <row r="46" spans="5:5" x14ac:dyDescent="0.25">
      <c r="E46" s="163"/>
    </row>
    <row r="47" spans="5:5" x14ac:dyDescent="0.25">
      <c r="E47" s="163"/>
    </row>
    <row r="48" spans="5:5" x14ac:dyDescent="0.25">
      <c r="E48" s="163"/>
    </row>
    <row r="49" spans="5:5" x14ac:dyDescent="0.25">
      <c r="E49" s="163"/>
    </row>
    <row r="50" spans="5:5" x14ac:dyDescent="0.25">
      <c r="E50" s="163"/>
    </row>
    <row r="51" spans="5:5" x14ac:dyDescent="0.25">
      <c r="E51" s="163"/>
    </row>
    <row r="52" spans="5:5" x14ac:dyDescent="0.25">
      <c r="E52" s="163"/>
    </row>
    <row r="53" spans="5:5" x14ac:dyDescent="0.25">
      <c r="E53" s="163"/>
    </row>
    <row r="54" spans="5:5" x14ac:dyDescent="0.25">
      <c r="E54" s="163"/>
    </row>
    <row r="55" spans="5:5" x14ac:dyDescent="0.25">
      <c r="E55" s="163"/>
    </row>
    <row r="56" spans="5:5" x14ac:dyDescent="0.25">
      <c r="E56" s="163"/>
    </row>
    <row r="57" spans="5:5" x14ac:dyDescent="0.25">
      <c r="E57" s="163"/>
    </row>
    <row r="58" spans="5:5" x14ac:dyDescent="0.25">
      <c r="E58" s="163"/>
    </row>
    <row r="59" spans="5:5" x14ac:dyDescent="0.25">
      <c r="E59" s="163"/>
    </row>
  </sheetData>
  <sortState ref="B21:B40">
    <sortCondition ref="B20"/>
  </sortState>
  <mergeCells count="14">
    <mergeCell ref="D2:F2"/>
    <mergeCell ref="D4:F4"/>
    <mergeCell ref="D5:F5"/>
    <mergeCell ref="E22:E25"/>
    <mergeCell ref="E26:E31"/>
    <mergeCell ref="E52:E55"/>
    <mergeCell ref="E56:E59"/>
    <mergeCell ref="D9:D11"/>
    <mergeCell ref="E9:E11"/>
    <mergeCell ref="E32:E38"/>
    <mergeCell ref="E39:E41"/>
    <mergeCell ref="E42:E45"/>
    <mergeCell ref="E46:E48"/>
    <mergeCell ref="E49:E51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G22" sqref="G22"/>
    </sheetView>
  </sheetViews>
  <sheetFormatPr defaultRowHeight="15" x14ac:dyDescent="0.25"/>
  <sheetData>
    <row r="3" spans="2:3" x14ac:dyDescent="0.25">
      <c r="B3" t="s">
        <v>347</v>
      </c>
    </row>
    <row r="5" spans="2:3" x14ac:dyDescent="0.25">
      <c r="B5" t="s">
        <v>348</v>
      </c>
    </row>
    <row r="6" spans="2:3" x14ac:dyDescent="0.25">
      <c r="C6" t="s">
        <v>349</v>
      </c>
    </row>
    <row r="7" spans="2:3" x14ac:dyDescent="0.25">
      <c r="C7" t="s">
        <v>350</v>
      </c>
    </row>
    <row r="9" spans="2:3" x14ac:dyDescent="0.25">
      <c r="B9" t="s">
        <v>351</v>
      </c>
    </row>
    <row r="11" spans="2:3" x14ac:dyDescent="0.25">
      <c r="B11" t="s">
        <v>352</v>
      </c>
    </row>
    <row r="13" spans="2:3" x14ac:dyDescent="0.25">
      <c r="B13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K15" sqref="K15"/>
    </sheetView>
  </sheetViews>
  <sheetFormatPr defaultRowHeight="15" x14ac:dyDescent="0.25"/>
  <cols>
    <col min="2" max="3" width="11.85546875" hidden="1" customWidth="1"/>
    <col min="4" max="4" width="11.85546875" customWidth="1"/>
    <col min="5" max="6" width="11.7109375" hidden="1" customWidth="1"/>
    <col min="7" max="7" width="11.7109375" customWidth="1"/>
  </cols>
  <sheetData>
    <row r="1" spans="1:20" x14ac:dyDescent="0.25">
      <c r="B1" s="174" t="s">
        <v>54</v>
      </c>
      <c r="C1" s="174"/>
      <c r="D1" s="174"/>
      <c r="E1" s="174" t="s">
        <v>44</v>
      </c>
      <c r="F1" s="174"/>
      <c r="G1" s="174"/>
      <c r="H1" t="s">
        <v>22</v>
      </c>
      <c r="O1" s="5" t="s">
        <v>54</v>
      </c>
      <c r="P1" s="5" t="s">
        <v>44</v>
      </c>
      <c r="Q1" t="s">
        <v>59</v>
      </c>
    </row>
    <row r="2" spans="1:20" x14ac:dyDescent="0.25">
      <c r="B2" s="5" t="s">
        <v>57</v>
      </c>
      <c r="C2" s="5" t="s">
        <v>20</v>
      </c>
      <c r="D2" s="5" t="s">
        <v>58</v>
      </c>
      <c r="E2" s="5" t="s">
        <v>57</v>
      </c>
      <c r="F2" s="5" t="s">
        <v>20</v>
      </c>
      <c r="G2" s="5" t="s">
        <v>58</v>
      </c>
      <c r="H2" s="5" t="s">
        <v>58</v>
      </c>
      <c r="I2" s="5"/>
      <c r="O2" t="s">
        <v>58</v>
      </c>
      <c r="P2" t="s">
        <v>58</v>
      </c>
      <c r="Q2" t="s">
        <v>58</v>
      </c>
    </row>
    <row r="3" spans="1:20" x14ac:dyDescent="0.25">
      <c r="A3" t="s">
        <v>53</v>
      </c>
      <c r="B3" s="1">
        <v>20</v>
      </c>
      <c r="C3" s="1">
        <v>40</v>
      </c>
      <c r="D3" s="1">
        <f>C3+B3</f>
        <v>60</v>
      </c>
      <c r="E3" s="1">
        <v>20</v>
      </c>
      <c r="F3" s="1">
        <v>40</v>
      </c>
      <c r="G3" s="1">
        <f t="shared" ref="G3:G19" si="0">F3+E3</f>
        <v>60</v>
      </c>
      <c r="H3" s="1">
        <v>50</v>
      </c>
      <c r="N3" t="s">
        <v>53</v>
      </c>
      <c r="O3" s="1">
        <v>60</v>
      </c>
      <c r="P3" s="1">
        <v>60</v>
      </c>
      <c r="Q3" s="1">
        <v>50</v>
      </c>
      <c r="R3" s="1">
        <f t="shared" ref="R3:R5" si="1">P3-Q3</f>
        <v>10</v>
      </c>
      <c r="S3" s="1">
        <f>O3-P3</f>
        <v>0</v>
      </c>
    </row>
    <row r="4" spans="1:20" x14ac:dyDescent="0.25">
      <c r="A4" t="s">
        <v>47</v>
      </c>
      <c r="B4" s="1">
        <v>25</v>
      </c>
      <c r="C4" s="1">
        <v>40</v>
      </c>
      <c r="D4" s="1">
        <f t="shared" ref="D4:D7" si="2">C4+B4</f>
        <v>65</v>
      </c>
      <c r="E4" s="1">
        <v>20</v>
      </c>
      <c r="F4" s="1">
        <v>40</v>
      </c>
      <c r="G4" s="1">
        <f t="shared" si="0"/>
        <v>60</v>
      </c>
      <c r="H4" s="1">
        <v>50</v>
      </c>
      <c r="N4" t="s">
        <v>47</v>
      </c>
      <c r="O4" s="1">
        <v>65</v>
      </c>
      <c r="P4" s="1">
        <v>60</v>
      </c>
      <c r="Q4" s="1">
        <v>50</v>
      </c>
      <c r="R4" s="1">
        <f t="shared" si="1"/>
        <v>10</v>
      </c>
      <c r="S4" s="1">
        <f>O4-P4</f>
        <v>5</v>
      </c>
    </row>
    <row r="5" spans="1:20" x14ac:dyDescent="0.25">
      <c r="A5" t="s">
        <v>5</v>
      </c>
      <c r="B5" s="1">
        <v>25</v>
      </c>
      <c r="C5" s="1">
        <v>40</v>
      </c>
      <c r="D5" s="1">
        <f t="shared" si="2"/>
        <v>65</v>
      </c>
      <c r="E5" s="1">
        <v>30</v>
      </c>
      <c r="F5" s="1">
        <v>40</v>
      </c>
      <c r="G5" s="1">
        <f t="shared" si="0"/>
        <v>70</v>
      </c>
      <c r="H5" s="1">
        <v>50</v>
      </c>
      <c r="N5" t="s">
        <v>5</v>
      </c>
      <c r="O5" s="1">
        <v>65</v>
      </c>
      <c r="P5" s="1">
        <v>70</v>
      </c>
      <c r="Q5" s="1">
        <v>50</v>
      </c>
      <c r="R5" s="1">
        <f t="shared" si="1"/>
        <v>20</v>
      </c>
      <c r="S5" s="1">
        <f t="shared" ref="S5:S19" si="3">O5-P5</f>
        <v>-5</v>
      </c>
    </row>
    <row r="6" spans="1:20" x14ac:dyDescent="0.25">
      <c r="A6" t="s">
        <v>6</v>
      </c>
      <c r="B6" s="1">
        <v>40</v>
      </c>
      <c r="C6" s="1">
        <v>40</v>
      </c>
      <c r="D6" s="1">
        <f t="shared" si="2"/>
        <v>80</v>
      </c>
      <c r="E6" s="1">
        <v>40</v>
      </c>
      <c r="F6" s="1">
        <v>40</v>
      </c>
      <c r="G6" s="1">
        <f t="shared" si="0"/>
        <v>80</v>
      </c>
      <c r="H6" s="1">
        <v>60</v>
      </c>
      <c r="N6" t="s">
        <v>6</v>
      </c>
      <c r="O6" s="1">
        <v>80</v>
      </c>
      <c r="P6" s="1">
        <v>80</v>
      </c>
      <c r="Q6" s="1">
        <v>60</v>
      </c>
      <c r="R6" s="1">
        <f>P6-Q6</f>
        <v>20</v>
      </c>
      <c r="S6" s="1">
        <f t="shared" si="3"/>
        <v>0</v>
      </c>
    </row>
    <row r="7" spans="1:20" x14ac:dyDescent="0.25">
      <c r="A7" t="s">
        <v>7</v>
      </c>
      <c r="B7" s="1">
        <v>40</v>
      </c>
      <c r="C7" s="1">
        <v>40</v>
      </c>
      <c r="D7" s="1">
        <f t="shared" si="2"/>
        <v>80</v>
      </c>
      <c r="E7" s="1">
        <v>50</v>
      </c>
      <c r="F7" s="1">
        <v>40</v>
      </c>
      <c r="G7" s="1">
        <f t="shared" si="0"/>
        <v>90</v>
      </c>
      <c r="H7" s="1">
        <v>60</v>
      </c>
      <c r="N7" t="s">
        <v>7</v>
      </c>
      <c r="O7" s="1">
        <v>80</v>
      </c>
      <c r="P7" s="1">
        <v>90</v>
      </c>
      <c r="Q7" s="1">
        <v>60</v>
      </c>
      <c r="R7" s="1">
        <f t="shared" ref="R7:R19" si="4">P7-Q7</f>
        <v>30</v>
      </c>
      <c r="S7" s="1">
        <f t="shared" si="3"/>
        <v>-10</v>
      </c>
    </row>
    <row r="8" spans="1:20" x14ac:dyDescent="0.25">
      <c r="A8" t="s">
        <v>8</v>
      </c>
      <c r="B8" s="1">
        <v>70</v>
      </c>
      <c r="C8" s="1">
        <v>40</v>
      </c>
      <c r="D8" s="1">
        <f t="shared" ref="D8:D9" si="5">C8+B8</f>
        <v>110</v>
      </c>
      <c r="E8" s="1">
        <v>60</v>
      </c>
      <c r="F8" s="1">
        <v>40</v>
      </c>
      <c r="G8" s="1">
        <f t="shared" si="0"/>
        <v>100</v>
      </c>
      <c r="H8" s="1">
        <v>70</v>
      </c>
      <c r="N8" t="s">
        <v>8</v>
      </c>
      <c r="O8" s="1">
        <v>110</v>
      </c>
      <c r="P8" s="1">
        <v>100</v>
      </c>
      <c r="Q8" s="1">
        <v>70</v>
      </c>
      <c r="R8" s="1">
        <f t="shared" si="4"/>
        <v>30</v>
      </c>
      <c r="S8" s="1">
        <f t="shared" si="3"/>
        <v>10</v>
      </c>
    </row>
    <row r="9" spans="1:20" x14ac:dyDescent="0.25">
      <c r="A9" t="s">
        <v>46</v>
      </c>
      <c r="B9" s="1">
        <v>70</v>
      </c>
      <c r="C9" s="1">
        <v>40</v>
      </c>
      <c r="D9" s="1">
        <f t="shared" si="5"/>
        <v>110</v>
      </c>
      <c r="E9" s="1">
        <v>70</v>
      </c>
      <c r="F9" s="1">
        <v>40</v>
      </c>
      <c r="G9" s="1">
        <f t="shared" si="0"/>
        <v>110</v>
      </c>
      <c r="H9" s="1">
        <v>70</v>
      </c>
      <c r="N9" t="s">
        <v>46</v>
      </c>
      <c r="O9" s="1">
        <v>110</v>
      </c>
      <c r="P9" s="1">
        <v>110</v>
      </c>
      <c r="Q9" s="1">
        <v>70</v>
      </c>
      <c r="R9" s="1">
        <f t="shared" si="4"/>
        <v>40</v>
      </c>
      <c r="S9" s="1">
        <f t="shared" si="3"/>
        <v>0</v>
      </c>
    </row>
    <row r="10" spans="1:20" x14ac:dyDescent="0.25">
      <c r="A10" t="s">
        <v>10</v>
      </c>
      <c r="B10" s="1">
        <v>70</v>
      </c>
      <c r="C10" s="1">
        <v>40</v>
      </c>
      <c r="D10" s="1">
        <f>C10+B10</f>
        <v>110</v>
      </c>
      <c r="E10" s="1">
        <v>70</v>
      </c>
      <c r="F10" s="1">
        <v>40</v>
      </c>
      <c r="G10" s="1">
        <f t="shared" si="0"/>
        <v>110</v>
      </c>
      <c r="H10" s="1">
        <v>80</v>
      </c>
      <c r="N10" t="s">
        <v>10</v>
      </c>
      <c r="O10" s="1">
        <v>110</v>
      </c>
      <c r="P10" s="1">
        <v>110</v>
      </c>
      <c r="Q10" s="1">
        <v>80</v>
      </c>
      <c r="R10" s="1">
        <f t="shared" si="4"/>
        <v>30</v>
      </c>
      <c r="S10" s="1">
        <f t="shared" si="3"/>
        <v>0</v>
      </c>
      <c r="T10" s="1"/>
    </row>
    <row r="11" spans="1:20" x14ac:dyDescent="0.25">
      <c r="A11" t="s">
        <v>48</v>
      </c>
      <c r="B11" s="1">
        <v>75</v>
      </c>
      <c r="C11" s="1">
        <v>40</v>
      </c>
      <c r="D11" s="1">
        <f>C11+B11</f>
        <v>115</v>
      </c>
      <c r="E11" s="1">
        <v>85</v>
      </c>
      <c r="F11" s="1">
        <v>40</v>
      </c>
      <c r="G11" s="1">
        <f t="shared" si="0"/>
        <v>125</v>
      </c>
      <c r="H11" s="1">
        <v>80</v>
      </c>
      <c r="N11" t="s">
        <v>48</v>
      </c>
      <c r="O11" s="1">
        <v>115</v>
      </c>
      <c r="P11" s="1">
        <v>125</v>
      </c>
      <c r="Q11" s="1">
        <v>80</v>
      </c>
      <c r="R11" s="1">
        <f t="shared" si="4"/>
        <v>45</v>
      </c>
      <c r="S11" s="1">
        <f t="shared" si="3"/>
        <v>-10</v>
      </c>
    </row>
    <row r="12" spans="1:20" x14ac:dyDescent="0.25">
      <c r="A12" t="s">
        <v>14</v>
      </c>
      <c r="B12" s="1">
        <v>100</v>
      </c>
      <c r="C12" s="1">
        <v>40</v>
      </c>
      <c r="D12" s="1">
        <f t="shared" ref="D12:D13" si="6">C12+B12</f>
        <v>140</v>
      </c>
      <c r="E12" s="1">
        <v>85</v>
      </c>
      <c r="F12" s="1">
        <v>40</v>
      </c>
      <c r="G12" s="1">
        <f t="shared" si="0"/>
        <v>125</v>
      </c>
      <c r="H12" s="1">
        <v>80</v>
      </c>
      <c r="N12" t="s">
        <v>14</v>
      </c>
      <c r="O12" s="1">
        <v>140</v>
      </c>
      <c r="P12" s="1">
        <v>125</v>
      </c>
      <c r="Q12" s="1">
        <v>80</v>
      </c>
      <c r="R12" s="1">
        <f t="shared" si="4"/>
        <v>45</v>
      </c>
      <c r="S12" s="1">
        <f t="shared" si="3"/>
        <v>15</v>
      </c>
    </row>
    <row r="13" spans="1:20" x14ac:dyDescent="0.25">
      <c r="A13" t="s">
        <v>49</v>
      </c>
      <c r="B13" s="1">
        <v>100</v>
      </c>
      <c r="C13" s="1">
        <v>40</v>
      </c>
      <c r="D13" s="1">
        <f t="shared" si="6"/>
        <v>140</v>
      </c>
      <c r="E13" s="1">
        <v>100</v>
      </c>
      <c r="F13" s="1">
        <v>40</v>
      </c>
      <c r="G13" s="1">
        <f t="shared" si="0"/>
        <v>140</v>
      </c>
      <c r="H13" s="1">
        <v>80</v>
      </c>
      <c r="N13" t="s">
        <v>49</v>
      </c>
      <c r="O13" s="1">
        <v>140</v>
      </c>
      <c r="P13" s="1">
        <v>140</v>
      </c>
      <c r="Q13" s="1">
        <v>80</v>
      </c>
      <c r="R13" s="1">
        <f t="shared" si="4"/>
        <v>60</v>
      </c>
      <c r="S13" s="1">
        <f t="shared" si="3"/>
        <v>0</v>
      </c>
    </row>
    <row r="14" spans="1:20" x14ac:dyDescent="0.25">
      <c r="A14" t="s">
        <v>15</v>
      </c>
      <c r="B14" s="1">
        <v>100</v>
      </c>
      <c r="C14" s="1">
        <v>40</v>
      </c>
      <c r="D14" s="1">
        <f>C14+B14</f>
        <v>140</v>
      </c>
      <c r="E14" s="1">
        <v>100</v>
      </c>
      <c r="F14" s="1">
        <v>40</v>
      </c>
      <c r="G14" s="1">
        <f t="shared" si="0"/>
        <v>140</v>
      </c>
      <c r="H14" s="1">
        <v>80</v>
      </c>
      <c r="K14" s="1"/>
      <c r="L14" s="1"/>
      <c r="M14" s="1"/>
      <c r="N14" s="1" t="s">
        <v>15</v>
      </c>
      <c r="O14" s="1">
        <v>140</v>
      </c>
      <c r="P14" s="1">
        <v>140</v>
      </c>
      <c r="Q14" s="1">
        <v>80</v>
      </c>
      <c r="R14" s="1">
        <f t="shared" si="4"/>
        <v>60</v>
      </c>
      <c r="S14" s="1">
        <f t="shared" si="3"/>
        <v>0</v>
      </c>
    </row>
    <row r="15" spans="1:20" x14ac:dyDescent="0.25">
      <c r="A15" t="s">
        <v>50</v>
      </c>
      <c r="B15" s="1">
        <v>130</v>
      </c>
      <c r="C15" s="1">
        <v>40</v>
      </c>
      <c r="D15" s="1">
        <f t="shared" ref="D15:D16" si="7">C15+B15</f>
        <v>170</v>
      </c>
      <c r="E15" s="1">
        <v>110</v>
      </c>
      <c r="F15" s="1">
        <v>40</v>
      </c>
      <c r="G15" s="1">
        <f t="shared" si="0"/>
        <v>150</v>
      </c>
      <c r="H15" s="1">
        <v>80</v>
      </c>
      <c r="N15" t="s">
        <v>50</v>
      </c>
      <c r="O15" s="1">
        <v>170</v>
      </c>
      <c r="P15" s="1">
        <v>150</v>
      </c>
      <c r="Q15" s="1">
        <v>80</v>
      </c>
      <c r="R15" s="1">
        <f t="shared" si="4"/>
        <v>70</v>
      </c>
      <c r="S15" s="1">
        <f t="shared" si="3"/>
        <v>20</v>
      </c>
    </row>
    <row r="16" spans="1:20" x14ac:dyDescent="0.25">
      <c r="A16" t="s">
        <v>51</v>
      </c>
      <c r="B16" s="1">
        <v>130</v>
      </c>
      <c r="C16" s="1">
        <v>40</v>
      </c>
      <c r="D16" s="1">
        <f t="shared" si="7"/>
        <v>170</v>
      </c>
      <c r="E16" s="1">
        <v>120</v>
      </c>
      <c r="F16" s="1">
        <v>40</v>
      </c>
      <c r="G16" s="1">
        <f t="shared" si="0"/>
        <v>160</v>
      </c>
      <c r="H16" s="1">
        <v>80</v>
      </c>
      <c r="N16" t="s">
        <v>51</v>
      </c>
      <c r="O16" s="1">
        <v>170</v>
      </c>
      <c r="P16" s="1">
        <v>160</v>
      </c>
      <c r="Q16" s="1">
        <v>80</v>
      </c>
      <c r="R16" s="1">
        <f t="shared" si="4"/>
        <v>80</v>
      </c>
      <c r="S16" s="1">
        <f t="shared" si="3"/>
        <v>10</v>
      </c>
    </row>
    <row r="17" spans="1:19" x14ac:dyDescent="0.25">
      <c r="A17" t="s">
        <v>52</v>
      </c>
      <c r="B17" s="1">
        <v>130</v>
      </c>
      <c r="C17" s="1">
        <v>40</v>
      </c>
      <c r="D17" s="1">
        <f>C17+B17</f>
        <v>170</v>
      </c>
      <c r="E17" s="1">
        <v>130</v>
      </c>
      <c r="F17" s="1">
        <v>40</v>
      </c>
      <c r="G17" s="1">
        <f t="shared" si="0"/>
        <v>170</v>
      </c>
      <c r="H17" s="1">
        <v>80</v>
      </c>
      <c r="N17" t="s">
        <v>52</v>
      </c>
      <c r="O17" s="1">
        <v>170</v>
      </c>
      <c r="P17" s="1">
        <v>170</v>
      </c>
      <c r="Q17" s="1">
        <v>80</v>
      </c>
      <c r="R17" s="1">
        <f t="shared" si="4"/>
        <v>90</v>
      </c>
      <c r="S17" s="1">
        <f t="shared" si="3"/>
        <v>0</v>
      </c>
    </row>
    <row r="18" spans="1:19" x14ac:dyDescent="0.25">
      <c r="A18" t="s">
        <v>55</v>
      </c>
      <c r="B18" s="1">
        <v>150</v>
      </c>
      <c r="C18" s="1">
        <v>40</v>
      </c>
      <c r="D18" s="1">
        <f t="shared" ref="D18" si="8">C18+B18</f>
        <v>190</v>
      </c>
      <c r="E18" s="1">
        <v>130</v>
      </c>
      <c r="F18" s="1">
        <v>40</v>
      </c>
      <c r="G18" s="1">
        <f t="shared" si="0"/>
        <v>170</v>
      </c>
      <c r="H18" s="1">
        <v>80</v>
      </c>
      <c r="N18" t="s">
        <v>55</v>
      </c>
      <c r="O18" s="1">
        <v>190</v>
      </c>
      <c r="P18" s="1">
        <v>170</v>
      </c>
      <c r="Q18" s="1">
        <v>80</v>
      </c>
      <c r="R18" s="1">
        <f t="shared" si="4"/>
        <v>90</v>
      </c>
      <c r="S18" s="1">
        <f t="shared" si="3"/>
        <v>20</v>
      </c>
    </row>
    <row r="19" spans="1:19" x14ac:dyDescent="0.25">
      <c r="A19" t="s">
        <v>56</v>
      </c>
      <c r="B19" s="1">
        <v>150</v>
      </c>
      <c r="C19" s="1">
        <v>40</v>
      </c>
      <c r="D19" s="1">
        <f>C19+B19</f>
        <v>190</v>
      </c>
      <c r="E19" s="1">
        <v>140</v>
      </c>
      <c r="F19" s="1">
        <v>40</v>
      </c>
      <c r="G19" s="1">
        <f t="shared" si="0"/>
        <v>180</v>
      </c>
      <c r="H19" s="1">
        <v>80</v>
      </c>
      <c r="N19" t="s">
        <v>56</v>
      </c>
      <c r="O19" s="1">
        <v>190</v>
      </c>
      <c r="P19" s="1">
        <v>180</v>
      </c>
      <c r="Q19" s="1">
        <v>80</v>
      </c>
      <c r="R19" s="1">
        <f t="shared" si="4"/>
        <v>100</v>
      </c>
      <c r="S19" s="1">
        <f t="shared" si="3"/>
        <v>10</v>
      </c>
    </row>
    <row r="20" spans="1:19" x14ac:dyDescent="0.25">
      <c r="S20" s="1"/>
    </row>
  </sheetData>
  <mergeCells count="2">
    <mergeCell ref="B1:D1"/>
    <mergeCell ref="E1:G1"/>
  </mergeCells>
  <conditionalFormatting sqref="O3:Q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Q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Q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Q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Q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Q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9:Q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:Q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Q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2:Q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:Q1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:Q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:Q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:Q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7:Q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Q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:Q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Single Line- Phone Choice</vt:lpstr>
      <vt:lpstr>Sample Database</vt:lpstr>
      <vt:lpstr>Biz Requirements</vt:lpstr>
      <vt:lpstr>Plan Options</vt:lpstr>
      <vt:lpstr>Profiling Process</vt:lpstr>
      <vt:lpstr>Input-Output summary</vt:lpstr>
      <vt:lpstr>Calculator detail</vt:lpstr>
      <vt:lpstr>questions</vt:lpstr>
      <vt:lpstr>Phone Pricing</vt:lpstr>
      <vt:lpstr>Plan Database</vt:lpstr>
      <vt:lpstr>Phone Purchase Database</vt:lpstr>
      <vt:lpstr>T Mobile Pricing Matrix</vt:lpstr>
      <vt:lpstr>Phone, Plan and User Variables</vt:lpstr>
      <vt:lpstr>Sheet1</vt:lpstr>
      <vt:lpstr>Plan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Baker</dc:creator>
  <cp:lastModifiedBy>local user</cp:lastModifiedBy>
  <dcterms:created xsi:type="dcterms:W3CDTF">2015-02-10T13:43:07Z</dcterms:created>
  <dcterms:modified xsi:type="dcterms:W3CDTF">2015-05-29T20:05:24Z</dcterms:modified>
</cp:coreProperties>
</file>